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24226"/>
  <mc:AlternateContent xmlns:mc="http://schemas.openxmlformats.org/markup-compatibility/2006">
    <mc:Choice Requires="x15">
      <x15ac:absPath xmlns:x15ac="http://schemas.microsoft.com/office/spreadsheetml/2010/11/ac" url="C:\Users\RLKor\Box\B_WORK\Lunar Meteorites Website - working\"/>
    </mc:Choice>
  </mc:AlternateContent>
  <xr:revisionPtr revIDLastSave="0" documentId="13_ncr:1_{636D6855-6086-49D5-928D-355BFC25F403}" xr6:coauthVersionLast="47" xr6:coauthVersionMax="47" xr10:uidLastSave="{00000000-0000-0000-0000-000000000000}"/>
  <bookViews>
    <workbookView xWindow="1545" yWindow="0" windowWidth="26610" windowHeight="15210" xr2:uid="{00000000-000D-0000-FFFF-FFFF00000000}"/>
  </bookViews>
  <sheets>
    <sheet name="moon_meteorites_list_alumina" sheetId="1" r:id="rId1"/>
  </sheets>
  <externalReferences>
    <externalReference r:id="rId2"/>
  </externalReferences>
  <definedNames>
    <definedName name="ABAR">moon_meteorites_list_alumina!$C$168</definedName>
    <definedName name="Adrar_012">moon_meteorites_list_alumina!$C$318</definedName>
    <definedName name="Adrar_014">moon_meteorites_list_alumina!$C$319</definedName>
    <definedName name="Adrar_017">moon_meteorites_list_alumina!$C$320</definedName>
    <definedName name="AeF_001">moon_meteorites_list_alumina!$B$321</definedName>
    <definedName name="AgMa001">moon_meteorites_list_alumina!$C$322</definedName>
    <definedName name="Ajd">moon_meteorites_list_alumina!$C$323</definedName>
    <definedName name="Ajd_007">moon_meteorites_list_alumina!$C$324</definedName>
    <definedName name="AlAw">moon_meteorites_list_alumina!$C$325</definedName>
    <definedName name="ALHA_81005">moon_meteorites_list_alumina!$C$191</definedName>
    <definedName name="ALL">moon_meteorites_list_alumina!$B$1:$N$691</definedName>
    <definedName name="AQS_001">moon_meteorites_list_alumina!$C$326</definedName>
    <definedName name="Araouane_001">moon_meteorites_list_alumina!$C$328</definedName>
    <definedName name="Arguin_002">moon_meteorites_list_alumina!$C$329</definedName>
    <definedName name="Aridal_019">moon_meteorites_list_alumina!$C$330</definedName>
    <definedName name="Aridal_020">moon_meteorites_list_alumina!$C$331</definedName>
    <definedName name="Aridal_022">moon_meteorites_list_alumina!$C$332</definedName>
    <definedName name="ArPe007">moon_meteorites_list_alumina!$B$327</definedName>
    <definedName name="Ash_Shaq">moon_meteorites_list_alumina!$C$333</definedName>
    <definedName name="Asuka_88">moon_meteorites_list_alumina!$B$313</definedName>
    <definedName name="ATOP">moon_meteorites_list_alumina!$B$13</definedName>
    <definedName name="Bechar_003">moon_meteorites_list_alumina!$C$334</definedName>
    <definedName name="BiG_003">moon_meteorites_list_alumina!$C$335</definedName>
    <definedName name="Bir_Ounane_005">moon_meteorites_list_alumina!$C$336</definedName>
    <definedName name="CALCR" localSheetId="0">moon_meteorites_list_alumina!$C$276</definedName>
    <definedName name="Choum_001">moon_meteorites_list_alumina!$B$337</definedName>
    <definedName name="DAG_262">moon_meteorites_list_alumina!$C$157</definedName>
    <definedName name="DAG_400">moon_meteorites_list_alumina!$C$138</definedName>
    <definedName name="DeA_003">moon_meteorites_list_alumina!$C$338</definedName>
    <definedName name="DEW_12007">moon_meteorites_list_alumina!$C$284</definedName>
    <definedName name="DHO_025">moon_meteorites_list_alumina!$C$189</definedName>
    <definedName name="DHO_026">moon_meteorites_list_alumina!$C$167</definedName>
    <definedName name="DHO_081">moon_meteorites_list_alumina!$C$131</definedName>
    <definedName name="DHO_1180">moon_meteorites_list_alumina!$C$265</definedName>
    <definedName name="DHO_1428">moon_meteorites_list_alumina!$C$159</definedName>
    <definedName name="DHO_1436">moon_meteorites_list_alumina!$C$203</definedName>
    <definedName name="DHO_1442">moon_meteorites_list_alumina!$C$279</definedName>
    <definedName name="DHO_1527">moon_meteorites_list_alumina!$C$221</definedName>
    <definedName name="DHO_1528">moon_meteorites_list_alumina!$C$214</definedName>
    <definedName name="DHO_1627">moon_meteorites_list_alumina!$C$199</definedName>
    <definedName name="DHO_1629">moon_meteorites_list_alumina!$C$266</definedName>
    <definedName name="DHO_1673">moon_meteorites_list_alumina!$C$200</definedName>
    <definedName name="DHO_1769">moon_meteorites_list_alumina!$C$204</definedName>
    <definedName name="Dho_2122">moon_meteorites_list_alumina!$C$339</definedName>
    <definedName name="DHO_287">moon_meteorites_list_alumina!$C$309</definedName>
    <definedName name="DHO_302">moon_meteorites_list_alumina!$C$140</definedName>
    <definedName name="DHO_303">moon_meteorites_list_alumina!$C$135</definedName>
    <definedName name="DHO_490">moon_meteorites_list_alumina!$C$146</definedName>
    <definedName name="DHO_733">moon_meteorites_list_alumina!$C$133</definedName>
    <definedName name="DHO_925">moon_meteorites_list_alumina!$C$258</definedName>
    <definedName name="DOM_18262">moon_meteorites_list_alumina!$C$340</definedName>
    <definedName name="EA_005">moon_meteorites_list_alumina!$C$346</definedName>
    <definedName name="EET_87521">moon_meteorites_list_alumina!$C$294</definedName>
    <definedName name="ElAtch_024">moon_meteorites_list_alumina!$C$341</definedName>
    <definedName name="ElH_001">moon_meteorites_list_alumina!$C$342</definedName>
    <definedName name="ElMilhas_001">moon_meteorites_list_alumina!$C$343</definedName>
    <definedName name="ElMilhas_002">moon_meteorites_list_alumina!$C$344</definedName>
    <definedName name="ElMilhas007">moon_meteorites_list_alumina!$C$345</definedName>
    <definedName name="Errachidia">moon_meteorites_list_alumina!$B$347</definedName>
    <definedName name="Gad_002">moon_meteorites_list_alumina!$C$348</definedName>
    <definedName name="Ghadd_001">moon_meteorites_list_alumina!$C$129</definedName>
    <definedName name="GHARD_001">moon_meteorites_list_alumina!$C$349</definedName>
    <definedName name="GHARD_002">moon_meteorites_list_alumina!#REF!</definedName>
    <definedName name="GRA_06157">moon_meteorites_list_alumina!$C$150</definedName>
    <definedName name="Grizim_002">moon_meteorites_list_alumina!$C$350</definedName>
    <definedName name="GRV_150357">moon_meteorites_list_alumina!$C$351</definedName>
    <definedName name="Guemar_002">moon_meteorites_list_alumina!$C$352</definedName>
    <definedName name="HasTou001">moon_meteorites_list_alumina!$B$355</definedName>
    <definedName name="HaZ_001">moon_meteorites_list_alumina!$C$356</definedName>
    <definedName name="HaZ_004">moon_meteorites_list_alumina!$C$357</definedName>
    <definedName name="HeB_004">moon_meteorites_list_alumina!$C$353</definedName>
    <definedName name="Heb_006">moon_meteorites_list_alumina!$C$354</definedName>
    <definedName name="InI">moon_meteorites_list_alumina!$B$358</definedName>
    <definedName name="Istifane">moon_meteorites_list_alumina!$C$359</definedName>
    <definedName name="JaH_1118">moon_meteorites_list_alumina!$C$360</definedName>
    <definedName name="JAH_348">moon_meteorites_list_alumina!$C$198</definedName>
    <definedName name="JAH_838">moon_meteorites_list_alumina!$C$182</definedName>
    <definedName name="KAL_008">moon_meteorites_list_alumina!$C$295</definedName>
    <definedName name="Laay_002">moon_meteorites_list_alumina!$C$361</definedName>
    <definedName name="Lahmada_020">moon_meteorites_list_alumina!$B$362</definedName>
    <definedName name="LAP_02205">moon_meteorites_list_alumina!$C$305</definedName>
    <definedName name="LAR_06638">moon_meteorites_list_alumina!$C$155</definedName>
    <definedName name="LYNCH" localSheetId="0">moon_meteorites_list_alumina!$C$277</definedName>
    <definedName name="MAC_88">moon_meteorites_list_alumina!$C$163</definedName>
    <definedName name="MET_01210">moon_meteorites_list_alumina!$C$292</definedName>
    <definedName name="MIL_05035">moon_meteorites_list_alumina!$C$312</definedName>
    <definedName name="MIL_07006">moon_meteorites_list_alumina!$C$196</definedName>
    <definedName name="MIL_090034">moon_meteorites_list_alumina!$C$137</definedName>
    <definedName name="MIL_090036">moon_meteorites_list_alumina!$C$171</definedName>
    <definedName name="MIL_13317">moon_meteorites_list_alumina!$C$275</definedName>
    <definedName name="NEA_001">moon_meteorites_list_alumina!$C$188</definedName>
    <definedName name="NEA_003">moon_meteorites_list_alumina!$C$308</definedName>
    <definedName name="nea_014">moon_meteorites_list_alumina!$B$363</definedName>
    <definedName name="NEA_039">moon_meteorites_list_alumina!$C$364</definedName>
    <definedName name="NEA_042">moon_meteorites_list_alumina!$C$365</definedName>
    <definedName name="NEA_063">moon_meteorites_list_alumina!$C$366</definedName>
    <definedName name="NEA_075">moon_meteorites_list_alumina!$C$367</definedName>
    <definedName name="NEA_076">moon_meteorites_list_alumina!$C$368</definedName>
    <definedName name="NEA_078">moon_meteorites_list_alumina!$C$369</definedName>
    <definedName name="NEA_079">moon_meteorites_list_alumina!$C$370</definedName>
    <definedName name="NEA_104">moon_meteorites_list_alumina!$C$371</definedName>
    <definedName name="NWA_032">moon_meteorites_list_alumina!$C$310</definedName>
    <definedName name="NWA_0482">moon_meteorites_list_alumina!$C$150</definedName>
    <definedName name="NWA_10073">moon_meteorites_list_alumina!$C$161</definedName>
    <definedName name="NWA_10141">moon_meteorites_list_alumina!$C$152</definedName>
    <definedName name="NWA_10404">moon_meteorites_list_alumina!$C$151</definedName>
    <definedName name="NWA_10447">moon_meteorites_list_alumina!$C$291</definedName>
    <definedName name="NWA_10495">moon_meteorites_list_alumina!$C$195</definedName>
    <definedName name="NWA_10509">moon_meteorites_list_alumina!$C$202</definedName>
    <definedName name="NWA_10608">moon_meteorites_list_alumina!$C$184</definedName>
    <definedName name="NWA_10626">moon_meteorites_list_alumina!$C$206</definedName>
    <definedName name="NWA_10665">moon_meteorites_list_alumina!$C$149</definedName>
    <definedName name="NWA_10678">moon_meteorites_list_alumina!$C$153</definedName>
    <definedName name="NWA_10713">moon_meteorites_list_alumina!$B$374</definedName>
    <definedName name="NWA_10783">moon_meteorites_list_alumina!$C$187</definedName>
    <definedName name="NWA_10973">moon_meteorites_list_alumina!$C$224</definedName>
    <definedName name="NWA_11006">moon_meteorites_list_alumina!$C$147</definedName>
    <definedName name="NWA_11061">moon_meteorites_list_alumina!$C$142</definedName>
    <definedName name="NWA_11077">moon_meteorites_list_alumina!$C$156</definedName>
    <definedName name="NWA_11127">moon_meteorites_list_alumina!$C$217</definedName>
    <definedName name="NWA_11159">moon_meteorites_list_alumina!$B$375</definedName>
    <definedName name="NWA_11182">moon_meteorites_list_alumina!$C$148</definedName>
    <definedName name="NWA_11223">moon_meteorites_list_alumina!$C$172</definedName>
    <definedName name="NWA_11243">moon_meteorites_list_alumina!$C$211</definedName>
    <definedName name="NWA_11352">moon_meteorites_list_alumina!$C$173</definedName>
    <definedName name="NWA_11367">moon_meteorites_list_alumina!$B$376</definedName>
    <definedName name="NWA_11457">moon_meteorites_list_alumina!$B$377</definedName>
    <definedName name="NWA_11472">moon_meteorites_list_alumina!$C$228</definedName>
    <definedName name="nwa_11474">moon_meteorites_list_alumina!$C$229</definedName>
    <definedName name="NWA_11523">moon_meteorites_list_alumina!$B$378</definedName>
    <definedName name="NWA_11524">moon_meteorites_list_alumina!$B$298</definedName>
    <definedName name="NWA_11783">moon_meteorites_list_alumina!$B$379</definedName>
    <definedName name="nwa_11801">moon_meteorites_list_alumina!$C$230</definedName>
    <definedName name="nwa_11828">moon_meteorites_list_alumina!$C$231</definedName>
    <definedName name="NWA_11851">moon_meteorites_list_alumina!$C$201</definedName>
    <definedName name="NWA_11871">moon_meteorites_list_alumina!$C$232</definedName>
    <definedName name="NWA_11886">moon_meteorites_list_alumina!$C$299</definedName>
    <definedName name="NWA_12008">moon_meteorites_list_alumina!$C$304</definedName>
    <definedName name="nwa_12216">moon_meteorites_list_alumina!$C$233</definedName>
    <definedName name="nwa_12248">moon_meteorites_list_alumina!$B$382</definedName>
    <definedName name="NWA_12270">moon_meteorites_list_alumina!$C$234</definedName>
    <definedName name="NWA_12279">moon_meteorites_list_alumina!$C$128</definedName>
    <definedName name="NWA_12368">moon_meteorites_list_alumina!$B$383</definedName>
    <definedName name="NWA_12384">moon_meteorites_list_alumina!$C$296</definedName>
    <definedName name="NWA_12393">moon_meteorites_list_alumina!$C$384</definedName>
    <definedName name="nwa_12422">moon_meteorites_list_alumina!$B$385</definedName>
    <definedName name="NWA_12427">moon_meteorites_list_alumina!$B$386</definedName>
    <definedName name="NWA_12428">moon_meteorites_list_alumina!$C$235</definedName>
    <definedName name="NWA_12592">moon_meteorites_list_alumina!$C$236</definedName>
    <definedName name="NWA_12603">moon_meteorites_list_alumina!$B$387</definedName>
    <definedName name="NWA_12604">moon_meteorites_list_alumina!$C$220</definedName>
    <definedName name="NWA_12643">moon_meteorites_list_alumina!$B$388</definedName>
    <definedName name="NWA_12697">moon_meteorites_list_alumina!$B$389</definedName>
    <definedName name="NWA_12765">moon_meteorites_list_alumina!$C$390</definedName>
    <definedName name="NWA_12788">moon_meteorites_list_alumina!$C$391</definedName>
    <definedName name="NWA_12789">moon_meteorites_list_alumina!$C$392</definedName>
    <definedName name="nwa_12790">moon_meteorites_list_alumina!$C$393</definedName>
    <definedName name="nwa_12826">moon_meteorites_list_alumina!$C$394</definedName>
    <definedName name="NWA_12830">moon_meteorites_list_alumina!$B$395</definedName>
    <definedName name="NWA_12831">moon_meteorites_list_alumina!$B$396</definedName>
    <definedName name="NWA_12839">moon_meteorites_list_alumina!$B$397</definedName>
    <definedName name="nwa_12870">moon_meteorites_list_alumina!$C$237</definedName>
    <definedName name="NWA_12909">moon_meteorites_list_alumina!$B$398</definedName>
    <definedName name="NWA_12952">moon_meteorites_list_alumina!$B$399</definedName>
    <definedName name="NWA_12971">moon_meteorites_list_alumina!$B$400</definedName>
    <definedName name="nwa_12980">moon_meteorites_list_alumina!$C$238</definedName>
    <definedName name="nwa_12985">moon_meteorites_list_alumina!$C$239</definedName>
    <definedName name="nwa_13036">moon_meteorites_list_alumina!$B$403</definedName>
    <definedName name="nwa_13112">moon_meteorites_list_alumina!$B$404</definedName>
    <definedName name="nwa_13119">moon_meteorites_list_alumina!$B$405</definedName>
    <definedName name="nwa_13138">moon_meteorites_list_alumina!$C$240</definedName>
    <definedName name="nwa_13185">moon_meteorites_list_alumina!$B$406</definedName>
    <definedName name="nwa_13191">moon_meteorites_list_alumina!$C$241</definedName>
    <definedName name="nwa_13216">moon_meteorites_list_alumina!$C$242</definedName>
    <definedName name="nwa_13225">moon_meteorites_list_alumina!$C$243</definedName>
    <definedName name="NWA_13256">moon_meteorites_list_alumina!$B$407</definedName>
    <definedName name="nwa_13259">moon_meteorites_list_alumina!$C$244</definedName>
    <definedName name="nwa_13283">moon_meteorites_list_alumina!$C$245</definedName>
    <definedName name="NWA_13306">moon_meteorites_list_alumina!$C$408</definedName>
    <definedName name="NWA_13346">moon_meteorites_list_alumina!$C$409</definedName>
    <definedName name="nwa_13408">moon_meteorites_list_alumina!$C$246</definedName>
    <definedName name="NWA_13450">moon_meteorites_list_alumina!$C$410</definedName>
    <definedName name="NWA_13478">moon_meteorites_list_alumina!$C$411</definedName>
    <definedName name="nwa_13484">moon_meteorites_list_alumina!$C$247</definedName>
    <definedName name="NWA_13531">moon_meteorites_list_alumina!$C$412</definedName>
    <definedName name="NWA_13546">moon_meteorites_list_alumina!$C$248</definedName>
    <definedName name="NWA_13568">moon_meteorites_list_alumina!$C$249</definedName>
    <definedName name="NWA_13582">moon_meteorites_list_alumina!$C$413</definedName>
    <definedName name="NWA_13625">moon_meteorites_list_alumina!$C$250</definedName>
    <definedName name="NWA_13637">moon_meteorites_list_alumina!#REF!</definedName>
    <definedName name="NWA_13638">moon_meteorites_list_alumina!$C$414</definedName>
    <definedName name="NWA_13676">moon_meteorites_list_alumina!$C$415</definedName>
    <definedName name="NWA_13714">moon_meteorites_list_alumina!$C$416</definedName>
    <definedName name="NWA_13715">moon_meteorites_list_alumina!$C$251</definedName>
    <definedName name="NWA_13717">moon_meteorites_list_alumina!$C$417</definedName>
    <definedName name="nwa_13739">moon_meteorites_list_alumina!#REF!</definedName>
    <definedName name="NWA_13779">moon_meteorites_list_alumina!$C$418</definedName>
    <definedName name="nwa_13785">moon_meteorites_list_alumina!$C$419</definedName>
    <definedName name="nwa_13788">moon_meteorites_list_alumina!$C$420</definedName>
    <definedName name="NWA_13837">moon_meteorites_list_alumina!$C$421</definedName>
    <definedName name="NWA_13859">moon_meteorites_list_alumina!$C$422</definedName>
    <definedName name="NWA_13892">moon_meteorites_list_alumina!$C$423</definedName>
    <definedName name="NWA_13896">moon_meteorites_list_alumina!$C$424</definedName>
    <definedName name="NWA_13899">moon_meteorites_list_alumina!$C$425</definedName>
    <definedName name="nwa_13907">moon_meteorites_list_alumina!$C$426</definedName>
    <definedName name="NWA_13916">moon_meteorites_list_alumina!$C$427</definedName>
    <definedName name="NWA_13930">moon_meteorites_list_alumina!$C$428</definedName>
    <definedName name="nwa_13937">moon_meteorites_list_alumina!$C$429</definedName>
    <definedName name="NWA_13942">moon_meteorites_list_alumina!$C$430</definedName>
    <definedName name="NWA_13951">moon_meteorites_list_alumina!$C$431</definedName>
    <definedName name="NWA_13957">moon_meteorites_list_alumina!$C$432</definedName>
    <definedName name="NWA_13964">moon_meteorites_list_alumina!$C$433</definedName>
    <definedName name="nwa_13967">moon_meteorites_list_alumina!$C$434</definedName>
    <definedName name="nwa_13974">moon_meteorites_list_alumina!$C$435</definedName>
    <definedName name="NWA_13979">moon_meteorites_list_alumina!$C$436</definedName>
    <definedName name="NWA_13989">moon_meteorites_list_alumina!$C$437</definedName>
    <definedName name="NWA_13992">moon_meteorites_list_alumina!$C$438</definedName>
    <definedName name="NWA_14005">moon_meteorites_list_alumina!$C$441</definedName>
    <definedName name="nwa_14012">moon_meteorites_list_alumina!$C$442</definedName>
    <definedName name="NWA_14019">moon_meteorites_list_alumina!$C$443</definedName>
    <definedName name="NWA_14035">moon_meteorites_list_alumina!$C$444</definedName>
    <definedName name="NWA_14041">moon_meteorites_list_alumina!$C$445</definedName>
    <definedName name="NWA_14050">moon_meteorites_list_alumina!$C$446</definedName>
    <definedName name="NWA_14063">moon_meteorites_list_alumina!$C$252</definedName>
    <definedName name="NWA_14064">moon_meteorites_list_alumina!#REF!</definedName>
    <definedName name="NWA_14071">moon_meteorites_list_alumina!$C$447</definedName>
    <definedName name="NWA_14088">moon_meteorites_list_alumina!$C$448</definedName>
    <definedName name="NWA_14134">moon_meteorites_list_alumina!#REF!</definedName>
    <definedName name="NWA_14137">moon_meteorites_list_alumina!$B$449</definedName>
    <definedName name="NWA_14140">moon_meteorites_list_alumina!$C$450</definedName>
    <definedName name="NWA_14178">moon_meteorites_list_alumina!$C$451</definedName>
    <definedName name="NWA_14188">moon_meteorites_list_alumina!$C$452</definedName>
    <definedName name="NWA_14202">moon_meteorites_list_alumina!$C$453</definedName>
    <definedName name="NWA_14258">moon_meteorites_list_alumina!$C$454</definedName>
    <definedName name="NWA_14280">moon_meteorites_list_alumina!$C$455</definedName>
    <definedName name="NWA_14323">moon_meteorites_list_alumina!$C$456</definedName>
    <definedName name="NWA_14338">moon_meteorites_list_alumina!$C$457</definedName>
    <definedName name="NWA_14341">moon_meteorites_list_alumina!$C$458</definedName>
    <definedName name="NWA_14358">moon_meteorites_list_alumina!$C$459</definedName>
    <definedName name="NWA_14372">moon_meteorites_list_alumina!$C$460</definedName>
    <definedName name="NWA_14415">moon_meteorites_list_alumina!$C$461</definedName>
    <definedName name="NWA_14446">moon_meteorites_list_alumina!$C$462</definedName>
    <definedName name="NWA_14523">moon_meteorites_list_alumina!$C$463</definedName>
    <definedName name="NWA_14524">moon_meteorites_list_alumina!$C$464</definedName>
    <definedName name="NWA_14526">moon_meteorites_list_alumina!$B$465</definedName>
    <definedName name="NWA_14527">moon_meteorites_list_alumina!$C$466</definedName>
    <definedName name="NWA_14531">moon_meteorites_list_alumina!$C$467</definedName>
    <definedName name="NWA_14540">moon_meteorites_list_alumina!$C$468</definedName>
    <definedName name="NWA_14576">moon_meteorites_list_alumina!$C$469</definedName>
    <definedName name="NWA_14577">moon_meteorites_list_alumina!$C$470</definedName>
    <definedName name="NWA_14594">moon_meteorites_list_alumina!$C$471</definedName>
    <definedName name="NWA_14657">moon_meteorites_list_alumina!$C$472</definedName>
    <definedName name="NWA_14681">moon_meteorites_list_alumina!$C$473</definedName>
    <definedName name="NWA_14686">moon_meteorites_list_alumina!$C$474</definedName>
    <definedName name="NWA_14687">moon_meteorites_list_alumina!$C$475</definedName>
    <definedName name="NWA_14695">moon_meteorites_list_alumina!$C$476</definedName>
    <definedName name="NWA_14703">moon_meteorites_list_alumina!$C$477</definedName>
    <definedName name="NWA_14704">moon_meteorites_list_alumina!$C$478</definedName>
    <definedName name="NWA_14705">moon_meteorites_list_alumina!$C$479</definedName>
    <definedName name="NWA_14706">moon_meteorites_list_alumina!$C$480</definedName>
    <definedName name="NWA_14727">moon_meteorites_list_alumina!$C$481</definedName>
    <definedName name="NWA_14729">moon_meteorites_list_alumina!$C$482</definedName>
    <definedName name="NWA_14730">moon_meteorites_list_alumina!$C$483</definedName>
    <definedName name="NWA_14731">moon_meteorites_list_alumina!#REF!</definedName>
    <definedName name="NWA_14741">moon_meteorites_list_alumina!$C$484</definedName>
    <definedName name="NWA_14747">moon_meteorites_list_alumina!$C$485</definedName>
    <definedName name="NWA_14755">moon_meteorites_list_alumina!$C$486</definedName>
    <definedName name="NWA_14761">moon_meteorites_list_alumina!#REF!</definedName>
    <definedName name="NWA_14769">moon_meteorites_list_alumina!$C$487</definedName>
    <definedName name="NWA_14798">moon_meteorites_list_alumina!$C$488</definedName>
    <definedName name="NWA_14836">moon_meteorites_list_alumina!$C$489</definedName>
    <definedName name="NWA_14884">moon_meteorites_list_alumina!$C$490</definedName>
    <definedName name="NWA_14900">moon_meteorites_list_alumina!$C$491</definedName>
    <definedName name="NWA_14905">moon_meteorites_list_alumina!$C$492</definedName>
    <definedName name="NWA_14908">moon_meteorites_list_alumina!$C$493</definedName>
    <definedName name="NWA_14969">moon_meteorites_list_alumina!$C$494</definedName>
    <definedName name="NWA_14977">moon_meteorites_list_alumina!$C$495</definedName>
    <definedName name="NWA_14992">moon_meteorites_list_alumina!#REF!</definedName>
    <definedName name="NWA_15018">moon_meteorites_list_alumina!$C$498</definedName>
    <definedName name="nwa_15026">moon_meteorites_list_alumina!$C$499</definedName>
    <definedName name="NWA_15051">moon_meteorites_list_alumina!$C$500</definedName>
    <definedName name="NWA_15052">moon_meteorites_list_alumina!$C$501</definedName>
    <definedName name="NWA_15059">moon_meteorites_list_alumina!$C$502</definedName>
    <definedName name="NWA_15062">moon_meteorites_list_alumina!$B$503</definedName>
    <definedName name="NWA_15069">moon_meteorites_list_alumina!$C$504</definedName>
    <definedName name="NWA_15099">moon_meteorites_list_alumina!$C$505</definedName>
    <definedName name="NWA_15169">moon_meteorites_list_alumina!$C$506</definedName>
    <definedName name="NWA_15172">moon_meteorites_list_alumina!$C$507</definedName>
    <definedName name="NWA_15192">moon_meteorites_list_alumina!$C$508</definedName>
    <definedName name="NWA_15216">moon_meteorites_list_alumina!#REF!</definedName>
    <definedName name="NWA_15286">moon_meteorites_list_alumina!$C$509</definedName>
    <definedName name="NWA_15288">moon_meteorites_list_alumina!$C$510</definedName>
    <definedName name="NWA_15300">moon_meteorites_list_alumina!$C$511</definedName>
    <definedName name="NWA_15312">moon_meteorites_list_alumina!$B$512</definedName>
    <definedName name="NWA_15343">moon_meteorites_list_alumina!$B$513</definedName>
    <definedName name="NWA_15348">moon_meteorites_list_alumina!$C$514</definedName>
    <definedName name="NWA_15349">moon_meteorites_list_alumina!$C$515</definedName>
    <definedName name="NWA_15367">moon_meteorites_list_alumina!$B$516</definedName>
    <definedName name="NWA_15368">moon_meteorites_list_alumina!$C$517</definedName>
    <definedName name="NWA_15373">moon_meteorites_list_alumina!$C$518</definedName>
    <definedName name="NWA_15374">moon_meteorites_list_alumina!$B$519</definedName>
    <definedName name="NWA_15375">moon_meteorites_list_alumina!$C$520</definedName>
    <definedName name="NWA_15377">moon_meteorites_list_alumina!$C$521</definedName>
    <definedName name="NWA_15431">moon_meteorites_list_alumina!$B$522</definedName>
    <definedName name="NWA_15432">moon_meteorites_list_alumina!$B$523</definedName>
    <definedName name="NWA_15433">moon_meteorites_list_alumina!$B$524</definedName>
    <definedName name="nwa_15482">moon_meteorites_list_alumina!$C$525</definedName>
    <definedName name="NWA_15483">moon_meteorites_list_alumina!$B$526</definedName>
    <definedName name="NWA_15500">moon_meteorites_list_alumina!$B$527</definedName>
    <definedName name="NWA_15528">moon_meteorites_list_alumina!$B$528</definedName>
    <definedName name="NWA_15533">moon_meteorites_list_alumina!$C$529</definedName>
    <definedName name="NWA_15583">moon_meteorites_list_alumina!$C$530</definedName>
    <definedName name="nwa_15603">moon_meteorites_list_alumina!$C$531</definedName>
    <definedName name="nwa_15604">moon_meteorites_list_alumina!$C$532</definedName>
    <definedName name="nwa_15605">moon_meteorites_list_alumina!$C$533</definedName>
    <definedName name="nwa_15612">moon_meteorites_list_alumina!$C$534</definedName>
    <definedName name="NWA_15629">moon_meteorites_list_alumina!$C$535</definedName>
    <definedName name="NWA_15655">moon_meteorites_list_alumina!$C$536</definedName>
    <definedName name="NWA_15686">moon_meteorites_list_alumina!$C$537</definedName>
    <definedName name="nwa_15714">moon_meteorites_list_alumina!$C$538</definedName>
    <definedName name="NWA_15782">moon_meteorites_list_alumina!$C$539</definedName>
    <definedName name="NWA_15800">moon_meteorites_list_alumina!$C$540</definedName>
    <definedName name="NWA_15806">moon_meteorites_list_alumina!$C$541</definedName>
    <definedName name="NWA_15807">moon_meteorites_list_alumina!$C$542</definedName>
    <definedName name="NWA_15859">moon_meteorites_list_alumina!$C$543</definedName>
    <definedName name="NWA_15945">moon_meteorites_list_alumina!$C$544</definedName>
    <definedName name="NWA_15952">moon_meteorites_list_alumina!$C$545</definedName>
    <definedName name="NWA_15954">moon_meteorites_list_alumina!$C$546</definedName>
    <definedName name="NWA_15963">moon_meteorites_list_alumina!$C$547</definedName>
    <definedName name="NWA_16002">moon_meteorites_list_alumina!$C$550</definedName>
    <definedName name="NWA_16008">moon_meteorites_list_alumina!$C$551</definedName>
    <definedName name="NWA_16095">moon_meteorites_list_alumina!$C$552</definedName>
    <definedName name="NWA_16106">moon_meteorites_list_alumina!$C$553</definedName>
    <definedName name="NWA_16132">moon_meteorites_list_alumina!$C$554</definedName>
    <definedName name="NWA_16134">moon_meteorites_list_alumina!$C$555</definedName>
    <definedName name="NWA_16173">moon_meteorites_list_alumina!$C$556</definedName>
    <definedName name="NWA_16189">moon_meteorites_list_alumina!$C$557</definedName>
    <definedName name="NWA_16200">moon_meteorites_list_alumina!$C$558</definedName>
    <definedName name="NWA_16238">moon_meteorites_list_alumina!$C$559</definedName>
    <definedName name="NWA_16256">moon_meteorites_list_alumina!$C$560</definedName>
    <definedName name="NWA_16267">moon_meteorites_list_alumina!$C$561</definedName>
    <definedName name="NWA_16277">moon_meteorites_list_alumina!$B$562</definedName>
    <definedName name="NWA_16278">moon_meteorites_list_alumina!$C$563</definedName>
    <definedName name="NWA_16282">moon_meteorites_list_alumina!$C$564</definedName>
    <definedName name="NWA_16283">moon_meteorites_list_alumina!$C$565</definedName>
    <definedName name="NWA_16286">moon_meteorites_list_alumina!$C$566</definedName>
    <definedName name="NWA_16292">moon_meteorites_list_alumina!$C$567</definedName>
    <definedName name="NWA_16294">moon_meteorites_list_alumina!$C$568</definedName>
    <definedName name="NWA_16315">moon_meteorites_list_alumina!$C$569</definedName>
    <definedName name="NWA_16349">moon_meteorites_list_alumina!$C$570</definedName>
    <definedName name="NWA_16366">moon_meteorites_list_alumina!$C$571</definedName>
    <definedName name="NWA_16372">moon_meteorites_list_alumina!$C$572</definedName>
    <definedName name="NWA_16400">moon_meteorites_list_alumina!$C$573</definedName>
    <definedName name="NWA_16460">moon_meteorites_list_alumina!$C$574</definedName>
    <definedName name="NWA_16470">moon_meteorites_list_alumina!$C$575</definedName>
    <definedName name="NWA_16484">moon_meteorites_list_alumina!$C$576</definedName>
    <definedName name="NWA_16507">moon_meteorites_list_alumina!$C$577</definedName>
    <definedName name="NWA_16520">moon_meteorites_list_alumina!$C$578</definedName>
    <definedName name="NWA_16530">moon_meteorites_list_alumina!$C$579</definedName>
    <definedName name="NWA_16531">moon_meteorites_list_alumina!$C$580</definedName>
    <definedName name="NWA_16535">moon_meteorites_list_alumina!$C$581</definedName>
    <definedName name="NWA_16557">moon_meteorites_list_alumina!$C$582</definedName>
    <definedName name="NWA_16569">moon_meteorites_list_alumina!#REF!</definedName>
    <definedName name="NWA_16625">moon_meteorites_list_alumina!$C$583</definedName>
    <definedName name="NWA_16626">moon_meteorites_list_alumina!$C$584</definedName>
    <definedName name="NWA_16657">moon_meteorites_list_alumina!$C$585</definedName>
    <definedName name="NWA_16660">moon_meteorites_list_alumina!$C$586</definedName>
    <definedName name="NWA_16683">moon_meteorites_list_alumina!$C$587</definedName>
    <definedName name="NWA_16684">moon_meteorites_list_alumina!$C$588</definedName>
    <definedName name="NWA_16690">moon_meteorites_list_alumina!$C$595</definedName>
    <definedName name="NWA_16716">moon_meteorites_list_alumina!$C$589</definedName>
    <definedName name="NWA_16717">moon_meteorites_list_alumina!$C$590</definedName>
    <definedName name="NWA_16718">moon_meteorites_list_alumina!$C$591</definedName>
    <definedName name="NWA_16720">moon_meteorites_list_alumina!$C$592</definedName>
    <definedName name="NWA_16727">moon_meteorites_list_alumina!$C$593</definedName>
    <definedName name="NWA_16760">moon_meteorites_list_alumina!$C$596</definedName>
    <definedName name="NWA_16761">moon_meteorites_list_alumina!$C$594</definedName>
    <definedName name="NWA_16784">moon_meteorites_list_alumina!$C$597</definedName>
    <definedName name="NWA_16881">moon_meteorites_list_alumina!$C$598</definedName>
    <definedName name="NWA_16882">moon_meteorites_list_alumina!$C$599</definedName>
    <definedName name="NWA_16888">moon_meteorites_list_alumina!$C$600</definedName>
    <definedName name="NWA_16894">moon_meteorites_list_alumina!$C$601</definedName>
    <definedName name="NWA_16914">moon_meteorites_list_alumina!$C$602</definedName>
    <definedName name="NWA_16974">moon_meteorites_list_alumina!$B$603</definedName>
    <definedName name="NWA_17060">moon_meteorites_list_alumina!$C$607</definedName>
    <definedName name="NWA_17061">moon_meteorites_list_alumina!$C$608</definedName>
    <definedName name="NWA_17209">moon_meteorites_list_alumina!$C$609</definedName>
    <definedName name="NWA_17217">moon_meteorites_list_alumina!$C$610</definedName>
    <definedName name="NWA_17241">moon_meteorites_list_alumina!$C$611</definedName>
    <definedName name="NWA_17270">moon_meteorites_list_alumina!$C$612</definedName>
    <definedName name="NWA_17271">moon_meteorites_list_alumina!$C$613</definedName>
    <definedName name="NWA_17276">moon_meteorites_list_alumina!$C$614</definedName>
    <definedName name="NWA_17294">moon_meteorites_list_alumina!$C$615</definedName>
    <definedName name="NWA_17295">moon_meteorites_list_alumina!$C$616</definedName>
    <definedName name="NWA_17302">moon_meteorites_list_alumina!$C$617</definedName>
    <definedName name="NWA_17307">moon_meteorites_list_alumina!$C$619</definedName>
    <definedName name="NWA_17313">moon_meteorites_list_alumina!$C$618</definedName>
    <definedName name="NWA_17351">moon_meteorites_list_alumina!$C$620</definedName>
    <definedName name="NWA_17353">moon_meteorites_list_alumina!$C$623</definedName>
    <definedName name="NWA_17355">moon_meteorites_list_alumina!$C$621</definedName>
    <definedName name="NWA_17405">moon_meteorites_list_alumina!$C$622</definedName>
    <definedName name="NWA_17471">moon_meteorites_list_alumina!$C$624</definedName>
    <definedName name="NWA_17497">moon_meteorites_list_alumina!$C$625</definedName>
    <definedName name="NWA_17581">moon_meteorites_list_alumina!$C$626</definedName>
    <definedName name="NWA_17586">moon_meteorites_list_alumina!$C$627</definedName>
    <definedName name="NWA_17587">moon_meteorites_list_alumina!$C$628</definedName>
    <definedName name="NWA_17651">moon_meteorites_list_alumina!$C$629</definedName>
    <definedName name="NWA_17679">moon_meteorites_list_alumina!$C$630</definedName>
    <definedName name="NWA_17680">moon_meteorites_list_alumina!$C$631</definedName>
    <definedName name="NWA_17687">moon_meteorites_list_alumina!$C$632</definedName>
    <definedName name="NWA_17688">moon_meteorites_list_alumina!$C$633</definedName>
    <definedName name="NWA_17689">moon_meteorites_list_alumina!$C$634</definedName>
    <definedName name="NWA_17700">moon_meteorites_list_alumina!$C$635</definedName>
    <definedName name="NWA_17706">moon_meteorites_list_alumina!$C$636</definedName>
    <definedName name="NWA_17716">moon_meteorites_list_alumina!$C$637</definedName>
    <definedName name="NWA_17721">moon_meteorites_list_alumina!$C$638</definedName>
    <definedName name="NWA_17747">moon_meteorites_list_alumina!$C$639</definedName>
    <definedName name="NWA_17826">moon_meteorites_list_alumina!$C$640</definedName>
    <definedName name="NWA_17859">moon_meteorites_list_alumina!$C$641</definedName>
    <definedName name="NWA_17861">moon_meteorites_list_alumina!$C$642</definedName>
    <definedName name="NWA_17865">moon_meteorites_list_alumina!$C$643</definedName>
    <definedName name="NWA_17869">moon_meteorites_list_alumina!$C$644</definedName>
    <definedName name="NWA_2200">moon_meteorites_list_alumina!$C$154</definedName>
    <definedName name="NWA_2420">moon_meteorites_list_alumina!$B$372</definedName>
    <definedName name="NWA_2995">moon_meteorites_list_alumina!$C$270</definedName>
    <definedName name="NWA_2998">moon_meteorites_list_alumina!$C$132</definedName>
    <definedName name="NWA_3136">moon_meteorites_list_alumina!$C$293</definedName>
    <definedName name="NWA_3163">moon_meteorites_list_alumina!$C$205</definedName>
    <definedName name="NWA_4472">moon_meteorites_list_alumina!$C$274</definedName>
    <definedName name="NWA_4734">moon_meteorites_list_alumina!$C$306</definedName>
    <definedName name="NWA_4819">moon_meteorites_list_alumina!$C$226</definedName>
    <definedName name="NWA_482">moon_meteorites_list_alumina!$C$158</definedName>
    <definedName name="NWA_4884">moon_meteorites_list_alumina!$C$290</definedName>
    <definedName name="NWA_4898">moon_meteorites_list_alumina!$C$303</definedName>
    <definedName name="NWA_4932">moon_meteorites_list_alumina!$C$261</definedName>
    <definedName name="NWA_4936">moon_meteorites_list_alumina!$C$185</definedName>
    <definedName name="NWA_5000">moon_meteorites_list_alumina!$C$179</definedName>
    <definedName name="NWA_5153">moon_meteorites_list_alumina!$C$287</definedName>
    <definedName name="NWA_5207">moon_meteorites_list_alumina!$C$260</definedName>
    <definedName name="NWA_5744">moon_meteorites_list_alumina!$C$212</definedName>
    <definedName name="NWA_6481">moon_meteorites_list_alumina!$C$190</definedName>
    <definedName name="NWA_6578">moon_meteorites_list_alumina!$C$162</definedName>
    <definedName name="NWA_6687">moon_meteorites_list_alumina!$C$280</definedName>
    <definedName name="NWA_6721">moon_meteorites_list_alumina!$C$177</definedName>
    <definedName name="NWA_6831">moon_meteorites_list_alumina!$B$373</definedName>
    <definedName name="NWA_6888">moon_meteorites_list_alumina!$C$208</definedName>
    <definedName name="NWA_7022">moon_meteorites_list_alumina!$C$183</definedName>
    <definedName name="NWA_7274">moon_meteorites_list_alumina!$C$219</definedName>
    <definedName name="NWA_7493">moon_meteorites_list_alumina!$C$160</definedName>
    <definedName name="NWA_7611">moon_meteorites_list_alumina!$C$289</definedName>
    <definedName name="NWA_773">moon_meteorites_list_alumina!$C$297</definedName>
    <definedName name="NWA_7834">moon_meteorites_list_alumina!$C$268</definedName>
    <definedName name="NWA_7931">moon_meteorites_list_alumina!$C$264</definedName>
    <definedName name="NWA_7959">moon_meteorites_list_alumina!$C$139</definedName>
    <definedName name="NWA_8001">moon_meteorites_list_alumina!$C$170</definedName>
    <definedName name="NWA_8010">moon_meteorites_list_alumina!$C$223</definedName>
    <definedName name="NWA_8022">moon_meteorites_list_alumina!$C$134</definedName>
    <definedName name="NWA_8046">moon_meteorites_list_alumina!$C$174</definedName>
    <definedName name="NWA_8046_pairs">moon_meteorites_list_alumina!$B$227</definedName>
    <definedName name="NWA_8055">moon_meteorites_list_alumina!$C$215</definedName>
    <definedName name="NWA_8182">moon_meteorites_list_alumina!$C$269</definedName>
    <definedName name="NWA_8222">moon_meteorites_list_alumina!$C$143</definedName>
    <definedName name="NWA_8455">moon_meteorites_list_alumina!$C$210</definedName>
    <definedName name="NWA_8586">moon_meteorites_list_alumina!$C$169</definedName>
    <definedName name="NWA_8632">moon_meteorites_list_alumina!$C$311</definedName>
    <definedName name="NWA_8641">moon_meteorites_list_alumina!$C$180</definedName>
    <definedName name="NWA_8673">moon_meteorites_list_alumina!$C$259</definedName>
    <definedName name="NWA_8701">moon_meteorites_list_alumina!$C$225</definedName>
    <definedName name="NWA_8753">moon_meteorites_list_alumina!$C$136</definedName>
    <definedName name="OEA_001">moon_meteorites_list_alumina!$C$650</definedName>
    <definedName name="OUA_001">moon_meteorites_list_alumina!$C$141</definedName>
    <definedName name="Ouargla_004">moon_meteorites_list_alumina!$C$648</definedName>
    <definedName name="Ouargla_008">moon_meteorites_list_alumina!$C$649</definedName>
    <definedName name="Pake_005">moon_meteorites_list_alumina!$C$651</definedName>
    <definedName name="PCA_02007">moon_meteorites_list_alumina!$C$222</definedName>
    <definedName name="QUE_93069">moon_meteorites_list_alumina!$C$166</definedName>
    <definedName name="QUE_94281">moon_meteorites_list_alumina!$C$288</definedName>
    <definedName name="QUEDMYA">moon_meteorites_list_alumina!$C$652</definedName>
    <definedName name="Rafsa_002">moon_meteorites_list_alumina!$C$653</definedName>
    <definedName name="Regg_007">moon_meteorites_list_alumina!$B$654</definedName>
    <definedName name="RF_532">moon_meteorites_list_alumina!$B$314</definedName>
    <definedName name="RF_600">moon_meteorites_list_alumina!$C$194</definedName>
    <definedName name="RS_007">moon_meteorites_list_alumina!$C$178</definedName>
    <definedName name="RS_008">moon_meteorites_list_alumina!$C$218</definedName>
    <definedName name="SAU_169">moon_meteorites_list_alumina!$C$278</definedName>
    <definedName name="SAU_300">moon_meteorites_list_alumina!$C$262</definedName>
    <definedName name="SAU_449">moon_meteorites_list_alumina!$C$263</definedName>
    <definedName name="SHI_160">moon_meteorites_list_alumina!$C$165</definedName>
    <definedName name="SHI_161">moon_meteorites_list_alumina!$C$216</definedName>
    <definedName name="SHI_162">moon_meteorites_list_alumina!$C$130</definedName>
    <definedName name="SHI_166">moon_meteorites_list_alumina!$C$164</definedName>
    <definedName name="Swa_001">moon_meteorites_list_alumina!$B$655</definedName>
    <definedName name="Swa_003">moon_meteorites_list_alumina!$C$656</definedName>
    <definedName name="TABLE" localSheetId="0">moon_meteorites_list_alumina!$B$5</definedName>
    <definedName name="Tata_001">moon_meteorites_list_alumina!$C$657</definedName>
    <definedName name="TE_004">moon_meteorites_list_alumina!$C$661</definedName>
    <definedName name="TH_001">moon_meteorites_list_alumina!$C$197</definedName>
    <definedName name="Tichiya_003">moon_meteorites_list_alumina!$C$658</definedName>
    <definedName name="Tichiya001">moon_meteorites_list_alumina!$C$213</definedName>
    <definedName name="Tifariti_002">moon_meteorites_list_alumina!$C$659</definedName>
    <definedName name="Timetrine_001">moon_meteorites_list_alumina!$C$660</definedName>
    <definedName name="Tiris_001">moon_meteorites_list_alumina!$C$662</definedName>
    <definedName name="Tiss_003">moon_meteorites_list_alumina!$C$664</definedName>
    <definedName name="Tisserlitine_001">moon_meteorites_list_alumina!$C$663</definedName>
    <definedName name="Touat_004">moon_meteorites_list_alumina!$C$665</definedName>
    <definedName name="Touat_005">moon_meteorites_list_alumina!$C$666</definedName>
    <definedName name="Touat_008">moon_meteorites_list_alumina!$C$667</definedName>
    <definedName name="Touat_011">moon_meteorites_list_alumina!$C$668</definedName>
    <definedName name="Y_791197">moon_meteorites_list_alumina!$C$209</definedName>
    <definedName name="Y_793169">moon_meteorites_list_alumina!$C$307</definedName>
    <definedName name="Y_793274">moon_meteorites_list_alumina!$C$286</definedName>
    <definedName name="Y_82192">moon_meteorites_list_alumina!$B$180</definedName>
    <definedName name="Y_983885">moon_meteorites_list_alumina!$C$267</definedName>
    <definedName name="YANAI_1153">moon_meteorites_list_alumina!$C$192</definedName>
  </definedNames>
  <calcPr calcId="191029"/>
  <webPublishObjects count="1">
    <webPublishObject id="1978" divId="moon_meteorites_list_alumina_excel_1978" sourceObject="ALL" destinationFile="C:\Users\RLKor\Box\B_WORK\Lunar Meteorites Website - working\moon_meteorites_list_alumina.htm" title="List of Lunar Meteorites - Feldspathic to Basaltic Order" autoRepublish="1"/>
  </webPublishObject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649" i="1" l="1"/>
  <c r="BT649" i="1"/>
  <c r="BR649" i="1"/>
  <c r="T649" i="1"/>
  <c r="C631" i="1" l="1"/>
  <c r="C643" i="1"/>
  <c r="C642" i="1"/>
  <c r="C640" i="1"/>
  <c r="C636" i="1"/>
  <c r="C635" i="1"/>
  <c r="C629" i="1"/>
  <c r="P643" i="1"/>
  <c r="T643" i="1" s="1"/>
  <c r="P642" i="1"/>
  <c r="T642" i="1" s="1"/>
  <c r="P640" i="1"/>
  <c r="T640" i="1" s="1"/>
  <c r="P636" i="1"/>
  <c r="T636" i="1" s="1"/>
  <c r="P635" i="1"/>
  <c r="T635" i="1" s="1"/>
  <c r="P631" i="1"/>
  <c r="T631" i="1" s="1"/>
  <c r="P629" i="1"/>
  <c r="T629" i="1" s="1"/>
  <c r="C341" i="1"/>
  <c r="BT341" i="1"/>
  <c r="BR341" i="1"/>
  <c r="P341" i="1"/>
  <c r="T341" i="1" s="1"/>
  <c r="C320" i="1"/>
  <c r="BT320" i="1"/>
  <c r="BR320" i="1"/>
  <c r="P320" i="1"/>
  <c r="T320" i="1" s="1"/>
  <c r="C625" i="1" l="1"/>
  <c r="P625" i="1"/>
  <c r="C618" i="1"/>
  <c r="P618" i="1"/>
  <c r="C617" i="1"/>
  <c r="P617" i="1"/>
  <c r="T617" i="1" s="1"/>
  <c r="T625" i="1"/>
  <c r="T618" i="1"/>
  <c r="C632" i="1"/>
  <c r="C634" i="1"/>
  <c r="C633" i="1"/>
  <c r="P634" i="1"/>
  <c r="T634" i="1" s="1"/>
  <c r="P633" i="1"/>
  <c r="T633" i="1" s="1"/>
  <c r="P632" i="1"/>
  <c r="T632" i="1" s="1"/>
  <c r="C371" i="1"/>
  <c r="P371" i="1"/>
  <c r="T371" i="1" s="1"/>
  <c r="C333" i="1"/>
  <c r="BR333" i="1"/>
  <c r="P333" i="1"/>
  <c r="T333" i="1" s="1"/>
  <c r="BT333" i="1"/>
  <c r="C644" i="1" l="1"/>
  <c r="C641" i="1"/>
  <c r="P644" i="1"/>
  <c r="T644" i="1" s="1"/>
  <c r="P641" i="1"/>
  <c r="T641" i="1" s="1"/>
  <c r="N120" i="1"/>
  <c r="C660" i="1" l="1"/>
  <c r="C668" i="1"/>
  <c r="C667" i="1"/>
  <c r="C666" i="1"/>
  <c r="P668" i="1"/>
  <c r="T668" i="1" s="1"/>
  <c r="P667" i="1"/>
  <c r="BT668" i="1"/>
  <c r="BR668" i="1"/>
  <c r="BT660" i="1"/>
  <c r="BR660" i="1"/>
  <c r="T660" i="1"/>
  <c r="C639" i="1"/>
  <c r="C638" i="1"/>
  <c r="C637" i="1"/>
  <c r="P639" i="1"/>
  <c r="T639" i="1" s="1"/>
  <c r="P638" i="1"/>
  <c r="T638" i="1" s="1"/>
  <c r="P637" i="1"/>
  <c r="T637" i="1" s="1"/>
  <c r="C352" i="1"/>
  <c r="BT352" i="1"/>
  <c r="BR352" i="1"/>
  <c r="P352" i="1"/>
  <c r="T352" i="1" s="1"/>
  <c r="C630" i="1" l="1"/>
  <c r="P630" i="1"/>
  <c r="T630" i="1" s="1"/>
  <c r="C328" i="1" l="1"/>
  <c r="BR328" i="1"/>
  <c r="P328" i="1"/>
  <c r="T328" i="1" s="1"/>
  <c r="P324" i="1" l="1"/>
  <c r="T324" i="1" s="1"/>
  <c r="BT324" i="1"/>
  <c r="BR324" i="1"/>
  <c r="C324" i="1"/>
  <c r="C626" i="1" l="1"/>
  <c r="C624" i="1"/>
  <c r="P626" i="1"/>
  <c r="T626" i="1" s="1"/>
  <c r="P624" i="1"/>
  <c r="T624" i="1" s="1"/>
  <c r="C357" i="1" l="1"/>
  <c r="BT357" i="1"/>
  <c r="BR357" i="1"/>
  <c r="P357" i="1"/>
  <c r="T357" i="1" s="1"/>
  <c r="C628" i="1" l="1"/>
  <c r="C627" i="1"/>
  <c r="P628" i="1"/>
  <c r="T628" i="1" s="1"/>
  <c r="P627" i="1"/>
  <c r="T627" i="1" s="1"/>
  <c r="BT332" i="1"/>
  <c r="BR332" i="1"/>
  <c r="P332" i="1"/>
  <c r="T332" i="1" s="1"/>
  <c r="C332" i="1"/>
  <c r="C621" i="1"/>
  <c r="P621" i="1"/>
  <c r="T621" i="1" s="1"/>
  <c r="C354" i="1" l="1"/>
  <c r="BT354" i="1"/>
  <c r="BR354" i="1"/>
  <c r="P354" i="1"/>
  <c r="T354" i="1" s="1"/>
  <c r="C622" i="1"/>
  <c r="P622" i="1"/>
  <c r="T622" i="1" s="1"/>
  <c r="C614" i="1" l="1"/>
  <c r="C613" i="1"/>
  <c r="C612" i="1"/>
  <c r="P614" i="1"/>
  <c r="T614" i="1" s="1"/>
  <c r="P613" i="1"/>
  <c r="T613" i="1" s="1"/>
  <c r="P612" i="1"/>
  <c r="T612" i="1" s="1"/>
  <c r="C370" i="1"/>
  <c r="C369" i="1"/>
  <c r="C368" i="1"/>
  <c r="P370" i="1"/>
  <c r="T370" i="1" s="1"/>
  <c r="P369" i="1"/>
  <c r="T369" i="1" s="1"/>
  <c r="P368" i="1"/>
  <c r="T368" i="1" s="1"/>
  <c r="C661" i="1" l="1"/>
  <c r="P661" i="1"/>
  <c r="T661" i="1" s="1"/>
  <c r="BR661" i="1"/>
  <c r="BT661" i="1"/>
  <c r="C623" i="1"/>
  <c r="C619" i="1"/>
  <c r="T645" i="1"/>
  <c r="P623" i="1"/>
  <c r="T623" i="1" s="1"/>
  <c r="P619" i="1"/>
  <c r="T619" i="1" s="1"/>
  <c r="C620" i="1" l="1"/>
  <c r="C616" i="1"/>
  <c r="P620" i="1"/>
  <c r="T620" i="1" s="1"/>
  <c r="P616" i="1"/>
  <c r="T616" i="1" s="1"/>
  <c r="C591" i="1"/>
  <c r="P591" i="1"/>
  <c r="T591" i="1" s="1"/>
  <c r="C615" i="1"/>
  <c r="P615" i="1"/>
  <c r="T615" i="1" s="1"/>
  <c r="C611" i="1" l="1"/>
  <c r="P611" i="1"/>
  <c r="T611" i="1" s="1"/>
  <c r="C367" i="1"/>
  <c r="BT367" i="1"/>
  <c r="BR367" i="1"/>
  <c r="P367" i="1"/>
  <c r="T367" i="1" s="1"/>
  <c r="C607" i="1"/>
  <c r="C608" i="1"/>
  <c r="C610" i="1"/>
  <c r="C609" i="1"/>
  <c r="P610" i="1"/>
  <c r="T610" i="1" s="1"/>
  <c r="P609" i="1"/>
  <c r="T609" i="1" s="1"/>
  <c r="P608" i="1"/>
  <c r="T608" i="1" s="1"/>
  <c r="P607" i="1"/>
  <c r="T607" i="1" s="1"/>
  <c r="C598" i="1"/>
  <c r="P598" i="1"/>
  <c r="T598" i="1" s="1"/>
  <c r="C319" i="1"/>
  <c r="C600" i="1"/>
  <c r="P600" i="1"/>
  <c r="T600" i="1" s="1"/>
  <c r="C650" i="1" l="1"/>
  <c r="BT650" i="1"/>
  <c r="BR650" i="1"/>
  <c r="P650" i="1"/>
  <c r="T650" i="1" s="1"/>
  <c r="P569" i="1"/>
  <c r="T569" i="1" s="1"/>
  <c r="C601" i="1"/>
  <c r="P601" i="1"/>
  <c r="T601" i="1" s="1"/>
  <c r="C569" i="1"/>
  <c r="C654" i="1" l="1"/>
  <c r="C465" i="1"/>
  <c r="P654" i="1"/>
  <c r="T654" i="1" s="1"/>
  <c r="C603" i="1"/>
  <c r="P603" i="1"/>
  <c r="T603" i="1" s="1"/>
  <c r="C602" i="1"/>
  <c r="P602" i="1"/>
  <c r="T602" i="1" s="1"/>
  <c r="C592" i="1"/>
  <c r="P592" i="1"/>
  <c r="T592" i="1" s="1"/>
  <c r="C590" i="1"/>
  <c r="T604" i="1"/>
  <c r="P590" i="1"/>
  <c r="T590" i="1" s="1"/>
  <c r="C599" i="1" l="1"/>
  <c r="P599" i="1"/>
  <c r="T599" i="1" s="1"/>
  <c r="C596" i="1"/>
  <c r="P596" i="1"/>
  <c r="T596" i="1" s="1"/>
  <c r="C326" i="1"/>
  <c r="BT326" i="1"/>
  <c r="BR326" i="1"/>
  <c r="P326" i="1"/>
  <c r="T326" i="1" s="1"/>
  <c r="C587" i="1" l="1"/>
  <c r="C473" i="1"/>
  <c r="C582" i="1"/>
  <c r="C586" i="1"/>
  <c r="T586" i="1"/>
  <c r="P582" i="1"/>
  <c r="T582" i="1" s="1"/>
  <c r="C366" i="1" l="1"/>
  <c r="BT366" i="1"/>
  <c r="BR366" i="1"/>
  <c r="P366" i="1"/>
  <c r="T366" i="1" s="1"/>
  <c r="C338" i="1"/>
  <c r="C597" i="1"/>
  <c r="P597" i="1"/>
  <c r="T597" i="1" s="1"/>
  <c r="BT338" i="1"/>
  <c r="BR338" i="1"/>
  <c r="P338" i="1"/>
  <c r="T338" i="1" s="1"/>
  <c r="C356" i="1"/>
  <c r="BT356" i="1"/>
  <c r="BR356" i="1"/>
  <c r="P356" i="1"/>
  <c r="T356" i="1" s="1"/>
  <c r="C594" i="1"/>
  <c r="P594" i="1"/>
  <c r="T594" i="1" s="1"/>
  <c r="C560" i="1"/>
  <c r="P560" i="1"/>
  <c r="T560" i="1" s="1"/>
  <c r="C322" i="1"/>
  <c r="BT322" i="1"/>
  <c r="BR322" i="1"/>
  <c r="P322" i="1"/>
  <c r="T322" i="1" s="1"/>
  <c r="C595" i="1"/>
  <c r="P595" i="1"/>
  <c r="T595" i="1" s="1"/>
  <c r="P587" i="1"/>
  <c r="T587" i="1" s="1"/>
  <c r="C593" i="1"/>
  <c r="C589" i="1"/>
  <c r="P593" i="1"/>
  <c r="T593" i="1" s="1"/>
  <c r="P589" i="1"/>
  <c r="T589" i="1" s="1"/>
  <c r="C345" i="1"/>
  <c r="P345" i="1"/>
  <c r="T345" i="1" s="1"/>
  <c r="C588" i="1"/>
  <c r="C585" i="1"/>
  <c r="C583" i="1"/>
  <c r="C584" i="1"/>
  <c r="C578" i="1"/>
  <c r="P588" i="1"/>
  <c r="T588" i="1" s="1"/>
  <c r="P585" i="1"/>
  <c r="T585" i="1" s="1"/>
  <c r="P584" i="1"/>
  <c r="T584" i="1" s="1"/>
  <c r="P583" i="1"/>
  <c r="T583" i="1" s="1"/>
  <c r="P578" i="1"/>
  <c r="T578" i="1" s="1"/>
  <c r="C336" i="1"/>
  <c r="BT336" i="1"/>
  <c r="BR336" i="1"/>
  <c r="P336" i="1"/>
  <c r="T336" i="1" s="1"/>
  <c r="C580" i="1" l="1"/>
  <c r="C581" i="1"/>
  <c r="C579" i="1"/>
  <c r="P581" i="1"/>
  <c r="T581" i="1" s="1"/>
  <c r="P580" i="1"/>
  <c r="T580" i="1" s="1"/>
  <c r="P579" i="1"/>
  <c r="T579" i="1" s="1"/>
  <c r="C535" i="1" l="1"/>
  <c r="P535" i="1"/>
  <c r="T535" i="1" s="1"/>
  <c r="C323" i="1"/>
  <c r="C577" i="1"/>
  <c r="P577" i="1"/>
  <c r="T577" i="1" s="1"/>
  <c r="P576" i="1"/>
  <c r="T576" i="1" s="1"/>
  <c r="P574" i="1"/>
  <c r="T574" i="1" s="1"/>
  <c r="C572" i="1"/>
  <c r="P572" i="1"/>
  <c r="T572" i="1" s="1"/>
  <c r="C576" i="1"/>
  <c r="C574" i="1"/>
  <c r="C651" i="1"/>
  <c r="BT651" i="1"/>
  <c r="BR651" i="1"/>
  <c r="P651" i="1"/>
  <c r="T651" i="1" s="1"/>
  <c r="C364" i="1" l="1"/>
  <c r="C575" i="1" l="1"/>
  <c r="P575" i="1"/>
  <c r="T575" i="1" s="1"/>
  <c r="P573" i="1"/>
  <c r="P571" i="1"/>
  <c r="P570" i="1"/>
  <c r="BT319" i="1"/>
  <c r="BR319" i="1"/>
  <c r="P319" i="1"/>
  <c r="T319" i="1" s="1"/>
  <c r="C502" i="1"/>
  <c r="BT502" i="1"/>
  <c r="BR502" i="1"/>
  <c r="P502" i="1"/>
  <c r="T502" i="1" s="1"/>
  <c r="C573" i="1" l="1"/>
  <c r="T573" i="1"/>
  <c r="C571" i="1" l="1"/>
  <c r="C570" i="1" l="1"/>
  <c r="T571" i="1"/>
  <c r="T570" i="1"/>
  <c r="C566" i="1"/>
  <c r="P566" i="1"/>
  <c r="T566" i="1" s="1"/>
  <c r="C562" i="1"/>
  <c r="P562" i="1"/>
  <c r="T562" i="1" s="1"/>
  <c r="BT323" i="1"/>
  <c r="BR323" i="1"/>
  <c r="P323" i="1"/>
  <c r="T323" i="1" s="1"/>
  <c r="C557" i="1"/>
  <c r="P557" i="1"/>
  <c r="T557" i="1" s="1"/>
  <c r="C568" i="1"/>
  <c r="C567" i="1" l="1"/>
  <c r="C565" i="1"/>
  <c r="C564" i="1"/>
  <c r="C563" i="1"/>
  <c r="C561" i="1"/>
  <c r="P568" i="1"/>
  <c r="T568" i="1" s="1"/>
  <c r="P567" i="1"/>
  <c r="T567" i="1" s="1"/>
  <c r="P565" i="1"/>
  <c r="T565" i="1" s="1"/>
  <c r="P564" i="1"/>
  <c r="T564" i="1" s="1"/>
  <c r="P563" i="1"/>
  <c r="T563" i="1" s="1"/>
  <c r="P561" i="1"/>
  <c r="T561" i="1" s="1"/>
  <c r="C365" i="1"/>
  <c r="BT365" i="1"/>
  <c r="BR365" i="1"/>
  <c r="P365" i="1"/>
  <c r="T365" i="1" s="1"/>
  <c r="C335" i="1"/>
  <c r="BT335" i="1"/>
  <c r="BR335" i="1"/>
  <c r="P335" i="1"/>
  <c r="T335" i="1" s="1"/>
  <c r="BT667" i="1" l="1"/>
  <c r="BR667" i="1"/>
  <c r="T667" i="1"/>
  <c r="C559" i="1"/>
  <c r="C558" i="1"/>
  <c r="P559" i="1"/>
  <c r="T559" i="1" s="1"/>
  <c r="P558" i="1"/>
  <c r="T558" i="1" s="1"/>
  <c r="C551" i="1"/>
  <c r="C550" i="1"/>
  <c r="P551" i="1"/>
  <c r="T551" i="1" s="1"/>
  <c r="P550" i="1"/>
  <c r="T550" i="1" s="1"/>
  <c r="C346" i="1"/>
  <c r="P346" i="1"/>
  <c r="T346" i="1" s="1"/>
  <c r="C556" i="1"/>
  <c r="C555" i="1"/>
  <c r="C554" i="1"/>
  <c r="P556" i="1"/>
  <c r="T556" i="1" s="1"/>
  <c r="P555" i="1"/>
  <c r="T555" i="1" s="1"/>
  <c r="P554" i="1"/>
  <c r="T554" i="1" s="1"/>
  <c r="C543" i="1"/>
  <c r="T543" i="1"/>
  <c r="C546" i="1"/>
  <c r="P546" i="1"/>
  <c r="T546" i="1" s="1"/>
  <c r="C360" i="1"/>
  <c r="BT360" i="1"/>
  <c r="BR360" i="1"/>
  <c r="P360" i="1"/>
  <c r="T360" i="1" s="1"/>
  <c r="C553" i="1" l="1"/>
  <c r="P351" i="1"/>
  <c r="C325" i="1"/>
  <c r="C662" i="1"/>
  <c r="C664" i="1"/>
  <c r="BT664" i="1"/>
  <c r="BR664" i="1"/>
  <c r="P664" i="1"/>
  <c r="T664" i="1" s="1"/>
  <c r="C552" i="1"/>
  <c r="P553" i="1"/>
  <c r="T553" i="1" s="1"/>
  <c r="P552" i="1"/>
  <c r="T552" i="1" s="1"/>
  <c r="C542" i="1"/>
  <c r="P542" i="1"/>
  <c r="T542" i="1" s="1"/>
  <c r="BT364" i="1"/>
  <c r="BR364" i="1"/>
  <c r="P364" i="1"/>
  <c r="T364" i="1" s="1"/>
  <c r="P325" i="1"/>
  <c r="T325" i="1" s="1"/>
  <c r="N67" i="1"/>
  <c r="BT659" i="1"/>
  <c r="BR659" i="1"/>
  <c r="P659" i="1"/>
  <c r="T659" i="1" s="1"/>
  <c r="C659" i="1"/>
  <c r="C547" i="1" l="1"/>
  <c r="C545" i="1"/>
  <c r="C544" i="1"/>
  <c r="P547" i="1"/>
  <c r="T547" i="1" s="1"/>
  <c r="P545" i="1"/>
  <c r="T545" i="1" s="1"/>
  <c r="P544" i="1"/>
  <c r="T544" i="1" s="1"/>
  <c r="C194" i="1"/>
  <c r="BT194" i="1"/>
  <c r="BR194" i="1"/>
  <c r="P194" i="1"/>
  <c r="T194" i="1" s="1"/>
  <c r="C541" i="1"/>
  <c r="P541" i="1"/>
  <c r="T541" i="1" s="1"/>
  <c r="C529" i="1"/>
  <c r="BR529" i="1"/>
  <c r="P529" i="1"/>
  <c r="T529" i="1" s="1"/>
  <c r="C329" i="1"/>
  <c r="C318" i="1"/>
  <c r="P540" i="1" l="1"/>
  <c r="T540" i="1" s="1"/>
  <c r="C540" i="1"/>
  <c r="C539" i="1"/>
  <c r="P539" i="1"/>
  <c r="T539" i="1" s="1"/>
  <c r="C537" i="1"/>
  <c r="C538" i="1"/>
  <c r="P537" i="1"/>
  <c r="T537" i="1" s="1"/>
  <c r="C508" i="1"/>
  <c r="BR508" i="1"/>
  <c r="P508" i="1"/>
  <c r="T508" i="1" s="1"/>
  <c r="BT329" i="1"/>
  <c r="BR329" i="1"/>
  <c r="P329" i="1"/>
  <c r="T329" i="1" s="1"/>
  <c r="BT318" i="1"/>
  <c r="BR318" i="1"/>
  <c r="P318" i="1"/>
  <c r="T318" i="1" s="1"/>
  <c r="C530" i="1" l="1"/>
  <c r="C503" i="1"/>
  <c r="BT503" i="1"/>
  <c r="BR503" i="1"/>
  <c r="P503" i="1"/>
  <c r="T503" i="1" s="1"/>
  <c r="C534" i="1"/>
  <c r="C533" i="1"/>
  <c r="C532" i="1"/>
  <c r="BT393" i="1"/>
  <c r="P393" i="1"/>
  <c r="T393" i="1" s="1"/>
  <c r="C393" i="1"/>
  <c r="C392" i="1"/>
  <c r="C391" i="1"/>
  <c r="P400" i="1" l="1"/>
  <c r="P399" i="1"/>
  <c r="P398" i="1"/>
  <c r="P397" i="1"/>
  <c r="P396" i="1"/>
  <c r="P395" i="1"/>
  <c r="P394" i="1"/>
  <c r="T394" i="1" s="1"/>
  <c r="P392" i="1"/>
  <c r="T392" i="1" s="1"/>
  <c r="P391" i="1"/>
  <c r="T391" i="1" s="1"/>
  <c r="P390" i="1"/>
  <c r="BT392" i="1"/>
  <c r="BT391" i="1"/>
  <c r="C531" i="1"/>
  <c r="C525" i="1"/>
  <c r="BR525" i="1"/>
  <c r="BR531" i="1"/>
  <c r="P538" i="1"/>
  <c r="T538" i="1" s="1"/>
  <c r="P536" i="1"/>
  <c r="T536" i="1" s="1"/>
  <c r="P534" i="1"/>
  <c r="T534" i="1" s="1"/>
  <c r="P533" i="1"/>
  <c r="T533" i="1" s="1"/>
  <c r="P532" i="1"/>
  <c r="T532" i="1" s="1"/>
  <c r="P531" i="1"/>
  <c r="T531" i="1" s="1"/>
  <c r="P530" i="1"/>
  <c r="T530" i="1" s="1"/>
  <c r="P528" i="1"/>
  <c r="T528" i="1" s="1"/>
  <c r="P527" i="1"/>
  <c r="T527" i="1" s="1"/>
  <c r="P526" i="1"/>
  <c r="T526" i="1" s="1"/>
  <c r="P525" i="1"/>
  <c r="T525" i="1" s="1"/>
  <c r="C536" i="1" l="1"/>
  <c r="BR536" i="1"/>
  <c r="BR530" i="1"/>
  <c r="C506" i="1"/>
  <c r="BR506" i="1"/>
  <c r="P506" i="1"/>
  <c r="T506" i="1" s="1"/>
  <c r="BT331" i="1"/>
  <c r="BR331" i="1"/>
  <c r="P331" i="1"/>
  <c r="T331" i="1" s="1"/>
  <c r="C331" i="1"/>
  <c r="C353" i="1"/>
  <c r="BT353" i="1"/>
  <c r="BR353" i="1"/>
  <c r="P353" i="1"/>
  <c r="T353" i="1" s="1"/>
  <c r="C350" i="1"/>
  <c r="BT350" i="1"/>
  <c r="BR350" i="1"/>
  <c r="P350" i="1"/>
  <c r="T350" i="1" s="1"/>
  <c r="C528" i="1" l="1"/>
  <c r="BR528" i="1"/>
  <c r="C527" i="1"/>
  <c r="BR645" i="1" l="1"/>
  <c r="BR527" i="1"/>
  <c r="C526" i="1" l="1"/>
  <c r="C498" i="1"/>
  <c r="P498" i="1"/>
  <c r="T498" i="1" s="1"/>
  <c r="BR498" i="1"/>
  <c r="C499" i="1"/>
  <c r="P499" i="1"/>
  <c r="T499" i="1" s="1"/>
  <c r="BR499" i="1"/>
  <c r="BR526" i="1"/>
  <c r="C523" i="1"/>
  <c r="BR523" i="1"/>
  <c r="P523" i="1"/>
  <c r="T523" i="1" s="1"/>
  <c r="C524" i="1"/>
  <c r="C522" i="1"/>
  <c r="BR524" i="1"/>
  <c r="BR522" i="1"/>
  <c r="P524" i="1"/>
  <c r="T524" i="1" s="1"/>
  <c r="P522" i="1"/>
  <c r="T522" i="1" s="1"/>
  <c r="C519" i="1"/>
  <c r="C516" i="1"/>
  <c r="C513" i="1"/>
  <c r="P666" i="1"/>
  <c r="P665" i="1"/>
  <c r="P663" i="1"/>
  <c r="P662" i="1"/>
  <c r="P658" i="1"/>
  <c r="P657" i="1"/>
  <c r="P656" i="1"/>
  <c r="P655" i="1"/>
  <c r="P653" i="1"/>
  <c r="P652" i="1"/>
  <c r="P648" i="1"/>
  <c r="P521" i="1"/>
  <c r="T521" i="1" s="1"/>
  <c r="P520" i="1"/>
  <c r="T520" i="1" s="1"/>
  <c r="P519" i="1"/>
  <c r="T519" i="1" s="1"/>
  <c r="P518" i="1"/>
  <c r="T518" i="1" s="1"/>
  <c r="P517" i="1"/>
  <c r="T517" i="1" s="1"/>
  <c r="P516" i="1"/>
  <c r="T516" i="1" s="1"/>
  <c r="P515" i="1"/>
  <c r="T515" i="1" s="1"/>
  <c r="P514" i="1"/>
  <c r="T514" i="1" s="1"/>
  <c r="P513" i="1"/>
  <c r="T513" i="1" s="1"/>
  <c r="P512" i="1"/>
  <c r="P511" i="1"/>
  <c r="P510" i="1"/>
  <c r="P509" i="1"/>
  <c r="BR519" i="1"/>
  <c r="BR516" i="1"/>
  <c r="BR513" i="1"/>
  <c r="C351" i="1" l="1"/>
  <c r="C521" i="1" l="1"/>
  <c r="BR515" i="1"/>
  <c r="C515" i="1"/>
  <c r="C520" i="1"/>
  <c r="BR520" i="1"/>
  <c r="C518" i="1"/>
  <c r="BR518" i="1"/>
  <c r="C517" i="1"/>
  <c r="BR517" i="1"/>
  <c r="C512" i="1"/>
  <c r="T512" i="1"/>
  <c r="BR512" i="1"/>
  <c r="T648" i="1"/>
  <c r="BT351" i="1"/>
  <c r="BR351" i="1"/>
  <c r="T351" i="1"/>
  <c r="N351" i="1"/>
  <c r="C321" i="1"/>
  <c r="BT321" i="1"/>
  <c r="BR321" i="1"/>
  <c r="P321" i="1"/>
  <c r="T321" i="1" s="1"/>
  <c r="C514" i="1"/>
  <c r="BR521" i="1"/>
  <c r="BR514" i="1"/>
  <c r="C511" i="1"/>
  <c r="BR511" i="1"/>
  <c r="T511" i="1"/>
  <c r="C344" i="1" l="1"/>
  <c r="C342" i="1"/>
  <c r="C510" i="1"/>
  <c r="C509" i="1"/>
  <c r="C507" i="1"/>
  <c r="BR510" i="1"/>
  <c r="BR509" i="1"/>
  <c r="T510" i="1"/>
  <c r="T509" i="1"/>
  <c r="P507" i="1"/>
  <c r="T507" i="1" s="1"/>
  <c r="BR507" i="1"/>
  <c r="BT473" i="1"/>
  <c r="BR473" i="1"/>
  <c r="P473" i="1"/>
  <c r="T473" i="1" s="1"/>
  <c r="P344" i="1"/>
  <c r="T344" i="1" s="1"/>
  <c r="P342" i="1"/>
  <c r="T342" i="1" s="1"/>
  <c r="BT342" i="1"/>
  <c r="BR342" i="1"/>
  <c r="C488" i="1" l="1"/>
  <c r="P500" i="1"/>
  <c r="T500" i="1" s="1"/>
  <c r="BT662" i="1"/>
  <c r="BR662" i="1"/>
  <c r="T662" i="1"/>
  <c r="C343" i="1"/>
  <c r="BT343" i="1"/>
  <c r="BR343" i="1"/>
  <c r="P343" i="1"/>
  <c r="T343" i="1" s="1"/>
  <c r="T653" i="1"/>
  <c r="P505" i="1"/>
  <c r="T505" i="1" s="1"/>
  <c r="C653" i="1"/>
  <c r="C505" i="1"/>
  <c r="C500" i="1"/>
  <c r="BR505" i="1"/>
  <c r="BR500" i="1"/>
  <c r="C504" i="1" l="1"/>
  <c r="C501" i="1"/>
  <c r="BT504" i="1"/>
  <c r="BR504" i="1"/>
  <c r="P504" i="1"/>
  <c r="T504" i="1" s="1"/>
  <c r="BT501" i="1"/>
  <c r="BR501" i="1"/>
  <c r="P501" i="1"/>
  <c r="T501" i="1" s="1"/>
  <c r="C484" i="1"/>
  <c r="BT484" i="1"/>
  <c r="BR484" i="1"/>
  <c r="P484" i="1"/>
  <c r="T484" i="1" s="1"/>
  <c r="C334" i="1"/>
  <c r="C330" i="1"/>
  <c r="BT334" i="1"/>
  <c r="BR334" i="1"/>
  <c r="P334" i="1"/>
  <c r="T334" i="1" s="1"/>
  <c r="BT330" i="1"/>
  <c r="BR330" i="1"/>
  <c r="P330" i="1"/>
  <c r="T330" i="1" s="1"/>
  <c r="C495" i="1"/>
  <c r="C494" i="1"/>
  <c r="BT495" i="1"/>
  <c r="BR495" i="1"/>
  <c r="P495" i="1"/>
  <c r="T495" i="1" s="1"/>
  <c r="BT494" i="1"/>
  <c r="BR494" i="1"/>
  <c r="P494" i="1"/>
  <c r="T494" i="1" s="1"/>
  <c r="C652" i="1"/>
  <c r="BT652" i="1"/>
  <c r="BR652" i="1"/>
  <c r="T652" i="1"/>
  <c r="C490" i="1"/>
  <c r="BR669" i="1"/>
  <c r="BR666" i="1"/>
  <c r="BR665" i="1"/>
  <c r="BR663" i="1"/>
  <c r="BR658" i="1"/>
  <c r="BR657" i="1"/>
  <c r="BR656" i="1"/>
  <c r="BR648" i="1"/>
  <c r="BR489" i="1"/>
  <c r="BR493" i="1"/>
  <c r="BR492" i="1"/>
  <c r="BR491" i="1"/>
  <c r="BR490" i="1"/>
  <c r="BR488" i="1"/>
  <c r="BR487" i="1"/>
  <c r="BR486" i="1"/>
  <c r="BR485" i="1"/>
  <c r="BR483" i="1"/>
  <c r="BR482" i="1"/>
  <c r="BR481" i="1"/>
  <c r="BR480" i="1"/>
  <c r="BR479" i="1"/>
  <c r="BR478" i="1"/>
  <c r="BR477" i="1"/>
  <c r="BR476" i="1"/>
  <c r="BR475" i="1"/>
  <c r="BR474" i="1"/>
  <c r="BR472" i="1"/>
  <c r="BR471" i="1"/>
  <c r="BR470" i="1"/>
  <c r="BR469" i="1"/>
  <c r="BR468" i="1"/>
  <c r="BR467" i="1"/>
  <c r="BR466" i="1"/>
  <c r="BR464" i="1"/>
  <c r="BR463" i="1"/>
  <c r="BR462" i="1"/>
  <c r="BR461" i="1"/>
  <c r="BR460" i="1"/>
  <c r="BR459" i="1"/>
  <c r="BR458" i="1"/>
  <c r="BR457" i="1"/>
  <c r="BR456" i="1"/>
  <c r="BR455" i="1"/>
  <c r="BR454" i="1"/>
  <c r="BR453" i="1"/>
  <c r="BR452" i="1"/>
  <c r="BR450" i="1"/>
  <c r="BR448" i="1"/>
  <c r="BR447" i="1"/>
  <c r="BR446" i="1"/>
  <c r="BR445" i="1"/>
  <c r="BR444" i="1"/>
  <c r="BR443" i="1"/>
  <c r="BR442" i="1"/>
  <c r="BR441" i="1"/>
  <c r="BR438" i="1"/>
  <c r="BR437" i="1"/>
  <c r="BR436" i="1"/>
  <c r="BR435" i="1"/>
  <c r="BR434" i="1"/>
  <c r="BR433" i="1"/>
  <c r="BR432" i="1"/>
  <c r="BR431" i="1"/>
  <c r="BR430" i="1"/>
  <c r="BR429" i="1"/>
  <c r="BR428" i="1"/>
  <c r="BR427" i="1"/>
  <c r="BR426" i="1"/>
  <c r="BR425" i="1"/>
  <c r="BR424" i="1"/>
  <c r="BR423" i="1"/>
  <c r="BR422" i="1"/>
  <c r="BR421" i="1"/>
  <c r="BR420" i="1"/>
  <c r="BR419" i="1"/>
  <c r="BR418" i="1"/>
  <c r="BR417" i="1"/>
  <c r="BR416" i="1"/>
  <c r="BR415" i="1"/>
  <c r="BR414" i="1"/>
  <c r="BR413" i="1"/>
  <c r="BR412" i="1"/>
  <c r="BR411" i="1"/>
  <c r="BR410" i="1"/>
  <c r="BR409" i="1"/>
  <c r="BR408" i="1"/>
  <c r="BR407" i="1"/>
  <c r="BR406" i="1"/>
  <c r="BR405" i="1"/>
  <c r="BR404" i="1"/>
  <c r="BR403" i="1"/>
  <c r="BR400" i="1"/>
  <c r="BR399" i="1"/>
  <c r="BR398" i="1"/>
  <c r="BR396" i="1"/>
  <c r="BR395" i="1"/>
  <c r="BR394" i="1"/>
  <c r="BR390" i="1"/>
  <c r="BR389" i="1"/>
  <c r="BR388" i="1"/>
  <c r="BR387" i="1"/>
  <c r="BR386" i="1"/>
  <c r="BR385" i="1"/>
  <c r="BR384" i="1"/>
  <c r="BR383" i="1"/>
  <c r="BR382" i="1"/>
  <c r="BR379" i="1"/>
  <c r="BR378" i="1"/>
  <c r="BR377" i="1"/>
  <c r="BR376" i="1"/>
  <c r="BR375" i="1"/>
  <c r="BR374" i="1"/>
  <c r="BR373" i="1"/>
  <c r="BR372" i="1"/>
  <c r="BR363" i="1"/>
  <c r="BR362" i="1"/>
  <c r="BR361" i="1"/>
  <c r="BR359" i="1"/>
  <c r="BR358" i="1"/>
  <c r="BR355" i="1"/>
  <c r="BR349" i="1"/>
  <c r="BR348" i="1"/>
  <c r="BR347" i="1"/>
  <c r="BR340" i="1"/>
  <c r="BR339" i="1"/>
  <c r="BR337" i="1"/>
  <c r="BR327" i="1"/>
  <c r="BR655" i="1"/>
  <c r="BR465" i="1"/>
  <c r="BR449" i="1"/>
  <c r="BR397" i="1"/>
  <c r="BR314" i="1"/>
  <c r="BR313" i="1"/>
  <c r="BR312" i="1"/>
  <c r="BR311" i="1"/>
  <c r="BR310" i="1"/>
  <c r="BR309" i="1"/>
  <c r="BR308" i="1"/>
  <c r="BR307" i="1"/>
  <c r="BR305" i="1"/>
  <c r="BR304" i="1"/>
  <c r="BR303" i="1"/>
  <c r="BR451" i="1"/>
  <c r="BR299" i="1"/>
  <c r="BR298" i="1"/>
  <c r="BR297" i="1"/>
  <c r="BR296" i="1"/>
  <c r="BR295" i="1"/>
  <c r="BR294" i="1"/>
  <c r="BR293" i="1"/>
  <c r="BR292" i="1"/>
  <c r="BR291" i="1"/>
  <c r="BR290" i="1"/>
  <c r="BR289" i="1"/>
  <c r="BR288" i="1"/>
  <c r="BR287" i="1"/>
  <c r="BR286" i="1"/>
  <c r="BR285" i="1"/>
  <c r="BR284" i="1"/>
  <c r="BR283" i="1"/>
  <c r="BR282" i="1"/>
  <c r="BR281" i="1"/>
  <c r="BR280" i="1"/>
  <c r="BR279" i="1"/>
  <c r="BR278" i="1"/>
  <c r="BR277" i="1"/>
  <c r="BR276" i="1"/>
  <c r="BR275" i="1"/>
  <c r="BR274" i="1"/>
  <c r="BR270" i="1"/>
  <c r="BR269" i="1"/>
  <c r="BR268" i="1"/>
  <c r="BR267" i="1"/>
  <c r="BR266" i="1"/>
  <c r="BR265" i="1"/>
  <c r="BR264" i="1"/>
  <c r="BR263" i="1"/>
  <c r="BR262" i="1"/>
  <c r="BR261" i="1"/>
  <c r="BR260" i="1"/>
  <c r="BR259" i="1"/>
  <c r="BR258" i="1"/>
  <c r="BR253" i="1"/>
  <c r="BR252" i="1"/>
  <c r="BR251" i="1"/>
  <c r="BR250" i="1"/>
  <c r="BR249" i="1"/>
  <c r="BR248" i="1"/>
  <c r="BR247" i="1"/>
  <c r="BR246" i="1"/>
  <c r="BR245" i="1"/>
  <c r="BR244" i="1"/>
  <c r="BR243" i="1"/>
  <c r="BR242" i="1"/>
  <c r="BR241" i="1"/>
  <c r="BR240" i="1"/>
  <c r="BR239" i="1"/>
  <c r="BR238" i="1"/>
  <c r="BR237" i="1"/>
  <c r="BR236" i="1"/>
  <c r="BR235" i="1"/>
  <c r="BR128" i="1"/>
  <c r="BR234" i="1"/>
  <c r="BR233" i="1"/>
  <c r="BR232" i="1"/>
  <c r="BR231" i="1"/>
  <c r="BR230" i="1"/>
  <c r="BR229" i="1"/>
  <c r="BR228" i="1"/>
  <c r="BR226" i="1"/>
  <c r="BR225" i="1"/>
  <c r="BR224" i="1"/>
  <c r="BR223" i="1"/>
  <c r="BR222" i="1"/>
  <c r="BR221" i="1"/>
  <c r="BR220" i="1"/>
  <c r="BR219" i="1"/>
  <c r="BR218" i="1"/>
  <c r="BR217" i="1"/>
  <c r="BR216" i="1"/>
  <c r="BR215" i="1"/>
  <c r="BR214" i="1"/>
  <c r="BR213" i="1"/>
  <c r="BR212" i="1"/>
  <c r="BR211" i="1"/>
  <c r="BR210" i="1"/>
  <c r="BR209" i="1"/>
  <c r="BR208" i="1"/>
  <c r="BR207" i="1"/>
  <c r="BR206" i="1"/>
  <c r="BR205" i="1"/>
  <c r="BR204" i="1"/>
  <c r="BR203" i="1"/>
  <c r="BR202" i="1"/>
  <c r="BR201" i="1"/>
  <c r="BR200" i="1"/>
  <c r="BR199" i="1"/>
  <c r="BR198" i="1"/>
  <c r="BR197" i="1"/>
  <c r="BR196" i="1"/>
  <c r="BR195" i="1"/>
  <c r="BR193" i="1"/>
  <c r="BR192" i="1"/>
  <c r="BR191" i="1"/>
  <c r="BR190" i="1"/>
  <c r="BR189" i="1"/>
  <c r="BR188" i="1"/>
  <c r="BR187" i="1"/>
  <c r="BR186" i="1"/>
  <c r="BR185" i="1"/>
  <c r="BR184" i="1"/>
  <c r="BR183" i="1"/>
  <c r="BR182" i="1"/>
  <c r="BR181" i="1"/>
  <c r="BR180" i="1"/>
  <c r="BR179" i="1"/>
  <c r="BR178" i="1"/>
  <c r="BR177" i="1"/>
  <c r="BR176" i="1"/>
  <c r="BR175" i="1"/>
  <c r="BR173" i="1"/>
  <c r="BR172" i="1"/>
  <c r="BR171" i="1"/>
  <c r="BR170" i="1"/>
  <c r="BR169" i="1"/>
  <c r="BR168" i="1"/>
  <c r="BR167" i="1"/>
  <c r="BR166" i="1"/>
  <c r="BR165" i="1"/>
  <c r="BR164" i="1"/>
  <c r="BR163" i="1"/>
  <c r="BR162" i="1"/>
  <c r="BR161" i="1"/>
  <c r="BR160" i="1"/>
  <c r="BR159" i="1"/>
  <c r="BR158" i="1"/>
  <c r="BR157" i="1"/>
  <c r="BR156" i="1"/>
  <c r="BR155" i="1"/>
  <c r="BR154" i="1"/>
  <c r="BR153" i="1"/>
  <c r="BR152" i="1"/>
  <c r="BR151" i="1"/>
  <c r="BR150" i="1"/>
  <c r="BR149" i="1"/>
  <c r="BR148" i="1"/>
  <c r="BR147" i="1"/>
  <c r="BR146" i="1"/>
  <c r="BR145" i="1"/>
  <c r="BR144" i="1"/>
  <c r="BR143" i="1"/>
  <c r="BR142" i="1"/>
  <c r="BR141" i="1"/>
  <c r="BR140" i="1"/>
  <c r="BR139" i="1"/>
  <c r="BR138" i="1"/>
  <c r="BR137" i="1"/>
  <c r="BR136" i="1"/>
  <c r="BR135" i="1"/>
  <c r="BR134" i="1"/>
  <c r="BR133" i="1"/>
  <c r="BR132" i="1"/>
  <c r="BR131" i="1"/>
  <c r="BR130" i="1"/>
  <c r="BT669" i="1"/>
  <c r="BT666" i="1"/>
  <c r="BT665" i="1"/>
  <c r="BT663" i="1"/>
  <c r="BT658" i="1"/>
  <c r="BT657" i="1"/>
  <c r="BT656" i="1"/>
  <c r="BT648" i="1"/>
  <c r="BT489" i="1"/>
  <c r="BT493" i="1"/>
  <c r="BT492" i="1"/>
  <c r="BT491" i="1"/>
  <c r="BT490" i="1"/>
  <c r="BT488" i="1"/>
  <c r="BT487" i="1"/>
  <c r="BT486" i="1"/>
  <c r="BT485" i="1"/>
  <c r="BT483" i="1"/>
  <c r="BT482" i="1"/>
  <c r="BT481" i="1"/>
  <c r="BT480" i="1"/>
  <c r="BT479" i="1"/>
  <c r="BT478" i="1"/>
  <c r="BT477" i="1"/>
  <c r="BT476" i="1"/>
  <c r="BT475" i="1"/>
  <c r="BT474" i="1"/>
  <c r="BT472" i="1"/>
  <c r="BT471" i="1"/>
  <c r="BT470" i="1"/>
  <c r="BT469" i="1"/>
  <c r="BT468" i="1"/>
  <c r="BT467" i="1"/>
  <c r="BT466" i="1"/>
  <c r="BT464" i="1"/>
  <c r="BT463" i="1"/>
  <c r="BT462" i="1"/>
  <c r="BT461" i="1"/>
  <c r="BT460" i="1"/>
  <c r="BT459" i="1"/>
  <c r="BT458" i="1"/>
  <c r="BT457" i="1"/>
  <c r="BT456" i="1"/>
  <c r="BT455" i="1"/>
  <c r="BT454" i="1"/>
  <c r="BT453" i="1"/>
  <c r="BT452" i="1"/>
  <c r="BT450" i="1"/>
  <c r="BT448" i="1"/>
  <c r="BT447" i="1"/>
  <c r="BT446" i="1"/>
  <c r="BT445" i="1"/>
  <c r="BT444" i="1"/>
  <c r="BT443" i="1"/>
  <c r="BT442" i="1"/>
  <c r="BT441" i="1"/>
  <c r="BT438" i="1"/>
  <c r="BT437" i="1"/>
  <c r="BT436" i="1"/>
  <c r="BT435" i="1"/>
  <c r="BT434" i="1"/>
  <c r="BT433" i="1"/>
  <c r="BT432" i="1"/>
  <c r="BT431" i="1"/>
  <c r="BT430" i="1"/>
  <c r="BT429" i="1"/>
  <c r="BT428" i="1"/>
  <c r="BT427" i="1"/>
  <c r="BT426" i="1"/>
  <c r="BT425" i="1"/>
  <c r="BT424" i="1"/>
  <c r="BT423" i="1"/>
  <c r="BT422" i="1"/>
  <c r="BT421" i="1"/>
  <c r="BT420" i="1"/>
  <c r="BT419" i="1"/>
  <c r="BT418" i="1"/>
  <c r="BT417" i="1"/>
  <c r="BT416" i="1"/>
  <c r="BT415" i="1"/>
  <c r="BT414" i="1"/>
  <c r="BT413" i="1"/>
  <c r="BT412" i="1"/>
  <c r="BT411" i="1"/>
  <c r="BT410" i="1"/>
  <c r="BT409" i="1"/>
  <c r="BT408" i="1"/>
  <c r="BT407" i="1"/>
  <c r="BT406" i="1"/>
  <c r="BT405" i="1"/>
  <c r="BT404" i="1"/>
  <c r="BT403" i="1"/>
  <c r="BT400" i="1"/>
  <c r="BT399" i="1"/>
  <c r="BT398" i="1"/>
  <c r="BT396" i="1"/>
  <c r="BT395" i="1"/>
  <c r="BT394" i="1"/>
  <c r="BT390" i="1"/>
  <c r="BT389" i="1"/>
  <c r="BT388" i="1"/>
  <c r="BT387" i="1"/>
  <c r="BT386" i="1"/>
  <c r="BT385" i="1"/>
  <c r="BT384" i="1"/>
  <c r="BT383" i="1"/>
  <c r="BT382" i="1"/>
  <c r="BT379" i="1"/>
  <c r="BT378" i="1"/>
  <c r="BT377" i="1"/>
  <c r="BT376" i="1"/>
  <c r="BT375" i="1"/>
  <c r="BT374" i="1"/>
  <c r="BT373" i="1"/>
  <c r="BT372" i="1"/>
  <c r="BT363" i="1"/>
  <c r="BT362" i="1"/>
  <c r="BT361" i="1"/>
  <c r="BT359" i="1"/>
  <c r="BT358" i="1"/>
  <c r="BT355" i="1"/>
  <c r="BT349" i="1"/>
  <c r="BT348" i="1"/>
  <c r="BT347" i="1"/>
  <c r="BT340" i="1"/>
  <c r="BT339" i="1"/>
  <c r="BT337" i="1"/>
  <c r="BT327" i="1"/>
  <c r="BT655" i="1"/>
  <c r="BT465" i="1"/>
  <c r="BT449" i="1"/>
  <c r="BT397" i="1"/>
  <c r="BT314" i="1"/>
  <c r="BT313" i="1"/>
  <c r="BT312" i="1"/>
  <c r="BT311" i="1"/>
  <c r="BT310" i="1"/>
  <c r="BT309" i="1"/>
  <c r="BT308" i="1"/>
  <c r="BT307" i="1"/>
  <c r="BT306" i="1"/>
  <c r="BT305" i="1"/>
  <c r="BT304" i="1"/>
  <c r="BT303" i="1"/>
  <c r="BT451" i="1"/>
  <c r="BT299" i="1"/>
  <c r="BT298" i="1"/>
  <c r="BT297" i="1"/>
  <c r="BT296" i="1"/>
  <c r="BT295" i="1"/>
  <c r="BT294" i="1"/>
  <c r="BT293" i="1"/>
  <c r="BT292" i="1"/>
  <c r="BT291" i="1"/>
  <c r="BT290" i="1"/>
  <c r="BT289" i="1"/>
  <c r="BT288" i="1"/>
  <c r="BT287" i="1"/>
  <c r="BT286" i="1"/>
  <c r="BT285" i="1"/>
  <c r="BT284" i="1"/>
  <c r="BT280" i="1"/>
  <c r="BT279" i="1"/>
  <c r="BT278" i="1"/>
  <c r="BT277" i="1"/>
  <c r="BT276" i="1"/>
  <c r="BT275" i="1"/>
  <c r="BT274" i="1"/>
  <c r="BT270" i="1"/>
  <c r="BT269" i="1"/>
  <c r="BT268" i="1"/>
  <c r="BT267" i="1"/>
  <c r="BT266" i="1"/>
  <c r="BT265" i="1"/>
  <c r="BT264" i="1"/>
  <c r="BT263" i="1"/>
  <c r="BT262" i="1"/>
  <c r="BT261" i="1"/>
  <c r="BT260" i="1"/>
  <c r="BT259" i="1"/>
  <c r="BT258" i="1"/>
  <c r="BT253" i="1"/>
  <c r="BT252" i="1"/>
  <c r="BT251" i="1"/>
  <c r="BT250" i="1"/>
  <c r="BT249" i="1"/>
  <c r="BT248" i="1"/>
  <c r="BT247" i="1"/>
  <c r="BT246" i="1"/>
  <c r="BT245" i="1"/>
  <c r="BT244" i="1"/>
  <c r="BT243" i="1"/>
  <c r="BT242" i="1"/>
  <c r="BT241" i="1"/>
  <c r="BT240" i="1"/>
  <c r="BT239" i="1"/>
  <c r="BT238" i="1"/>
  <c r="BT237" i="1"/>
  <c r="BT236" i="1"/>
  <c r="BT235" i="1"/>
  <c r="BT128" i="1"/>
  <c r="BT234" i="1"/>
  <c r="BT233" i="1"/>
  <c r="BT232" i="1"/>
  <c r="BT231" i="1"/>
  <c r="BT230" i="1"/>
  <c r="BT229" i="1"/>
  <c r="BT228" i="1"/>
  <c r="BT226" i="1"/>
  <c r="BT225" i="1"/>
  <c r="BT224" i="1"/>
  <c r="BT223" i="1"/>
  <c r="BT222" i="1"/>
  <c r="BT221" i="1"/>
  <c r="BT220" i="1"/>
  <c r="BT219" i="1"/>
  <c r="BT218" i="1"/>
  <c r="BT217" i="1"/>
  <c r="BT216" i="1"/>
  <c r="BT215" i="1"/>
  <c r="BT214" i="1"/>
  <c r="BT213" i="1"/>
  <c r="BT212" i="1"/>
  <c r="BT211" i="1"/>
  <c r="BT210" i="1"/>
  <c r="BT209" i="1"/>
  <c r="BT208" i="1"/>
  <c r="BT207" i="1"/>
  <c r="BT206" i="1"/>
  <c r="BT205" i="1"/>
  <c r="BT204" i="1"/>
  <c r="BT203" i="1"/>
  <c r="BT202" i="1"/>
  <c r="BT201" i="1"/>
  <c r="BT200" i="1"/>
  <c r="BT199" i="1"/>
  <c r="BT198" i="1"/>
  <c r="BT197" i="1"/>
  <c r="BT196" i="1"/>
  <c r="BT195" i="1"/>
  <c r="BT193" i="1"/>
  <c r="BT192" i="1"/>
  <c r="BT191" i="1"/>
  <c r="BT190" i="1"/>
  <c r="BT189" i="1"/>
  <c r="BT188" i="1"/>
  <c r="BT187" i="1"/>
  <c r="BT186" i="1"/>
  <c r="BT185" i="1"/>
  <c r="BT184" i="1"/>
  <c r="BT183" i="1"/>
  <c r="BT182" i="1"/>
  <c r="BT181" i="1"/>
  <c r="BT180" i="1"/>
  <c r="BT179" i="1"/>
  <c r="BT178" i="1"/>
  <c r="BT177" i="1"/>
  <c r="BT176" i="1"/>
  <c r="BT175" i="1"/>
  <c r="BT174" i="1"/>
  <c r="BT173" i="1"/>
  <c r="BT172" i="1"/>
  <c r="BT171" i="1"/>
  <c r="BT170" i="1"/>
  <c r="BT169" i="1"/>
  <c r="BT168" i="1"/>
  <c r="BT167" i="1"/>
  <c r="BT166" i="1"/>
  <c r="BT165" i="1"/>
  <c r="BT164" i="1"/>
  <c r="BT163" i="1"/>
  <c r="BT162" i="1"/>
  <c r="BT161" i="1"/>
  <c r="BT160" i="1"/>
  <c r="BT159" i="1"/>
  <c r="BT158" i="1"/>
  <c r="BT157" i="1"/>
  <c r="BT156" i="1"/>
  <c r="BT155" i="1"/>
  <c r="BT154" i="1"/>
  <c r="BT153" i="1"/>
  <c r="BT152" i="1"/>
  <c r="BT151" i="1"/>
  <c r="BT150" i="1"/>
  <c r="BT149" i="1"/>
  <c r="BT148" i="1"/>
  <c r="BT147" i="1"/>
  <c r="BT146" i="1"/>
  <c r="BT145" i="1"/>
  <c r="BT144" i="1"/>
  <c r="BT143" i="1"/>
  <c r="BT142" i="1"/>
  <c r="BT141" i="1"/>
  <c r="BT140" i="1"/>
  <c r="BT139" i="1"/>
  <c r="BT138" i="1"/>
  <c r="BT137" i="1"/>
  <c r="BT136" i="1"/>
  <c r="BT135" i="1"/>
  <c r="BT134" i="1"/>
  <c r="BT133" i="1"/>
  <c r="BT132" i="1"/>
  <c r="BT131" i="1"/>
  <c r="BT130" i="1"/>
  <c r="P493" i="1"/>
  <c r="T493" i="1" s="1"/>
  <c r="P176" i="1"/>
  <c r="P253" i="1"/>
  <c r="T253" i="1" s="1"/>
  <c r="P252" i="1"/>
  <c r="T252" i="1" s="1"/>
  <c r="P251" i="1"/>
  <c r="T251" i="1" s="1"/>
  <c r="P250" i="1"/>
  <c r="T250" i="1" s="1"/>
  <c r="P249" i="1"/>
  <c r="T249" i="1" s="1"/>
  <c r="P248" i="1"/>
  <c r="T248" i="1" s="1"/>
  <c r="P247" i="1"/>
  <c r="T247" i="1" s="1"/>
  <c r="P246" i="1"/>
  <c r="T246" i="1" s="1"/>
  <c r="P245" i="1"/>
  <c r="T245" i="1" s="1"/>
  <c r="P244" i="1"/>
  <c r="T244" i="1" s="1"/>
  <c r="P243" i="1"/>
  <c r="T243" i="1" s="1"/>
  <c r="P242" i="1"/>
  <c r="T242" i="1" s="1"/>
  <c r="P241" i="1"/>
  <c r="T241" i="1" s="1"/>
  <c r="P240" i="1"/>
  <c r="T240" i="1" s="1"/>
  <c r="P239" i="1"/>
  <c r="T239" i="1" s="1"/>
  <c r="P238" i="1"/>
  <c r="T238" i="1" s="1"/>
  <c r="P237" i="1"/>
  <c r="T237" i="1" s="1"/>
  <c r="P236" i="1"/>
  <c r="T236" i="1" s="1"/>
  <c r="P235" i="1"/>
  <c r="T235" i="1" s="1"/>
  <c r="P128" i="1"/>
  <c r="P234" i="1"/>
  <c r="T234" i="1" s="1"/>
  <c r="P233" i="1"/>
  <c r="T233" i="1" s="1"/>
  <c r="P232" i="1"/>
  <c r="T232" i="1" s="1"/>
  <c r="P231" i="1"/>
  <c r="T231" i="1" s="1"/>
  <c r="P230" i="1"/>
  <c r="T230" i="1" s="1"/>
  <c r="P229" i="1"/>
  <c r="T229" i="1" s="1"/>
  <c r="P228" i="1"/>
  <c r="T228" i="1" s="1"/>
  <c r="C489" i="1"/>
  <c r="C492" i="1"/>
  <c r="C493" i="1"/>
  <c r="C491" i="1"/>
  <c r="P489" i="1"/>
  <c r="T489" i="1" s="1"/>
  <c r="P492" i="1"/>
  <c r="T492" i="1" s="1"/>
  <c r="P491" i="1"/>
  <c r="T491" i="1" s="1"/>
  <c r="P490" i="1"/>
  <c r="T490" i="1" s="1"/>
  <c r="C476" i="1"/>
  <c r="P476" i="1"/>
  <c r="T476" i="1" s="1"/>
  <c r="C452" i="1"/>
  <c r="P452" i="1"/>
  <c r="T452" i="1" s="1"/>
  <c r="C253" i="1"/>
  <c r="P488" i="1"/>
  <c r="T488" i="1" s="1"/>
  <c r="C359" i="1"/>
  <c r="P359" i="1"/>
  <c r="T359" i="1" s="1"/>
  <c r="C472" i="1"/>
  <c r="P472" i="1"/>
  <c r="T472" i="1" s="1"/>
  <c r="C487" i="1"/>
  <c r="C486" i="1"/>
  <c r="C485" i="1"/>
  <c r="C483" i="1"/>
  <c r="C482" i="1"/>
  <c r="C481" i="1"/>
  <c r="C480" i="1"/>
  <c r="C479" i="1"/>
  <c r="C478" i="1"/>
  <c r="C477" i="1"/>
  <c r="C475" i="1"/>
  <c r="C474" i="1"/>
  <c r="T666" i="1"/>
  <c r="T665" i="1"/>
  <c r="T663" i="1"/>
  <c r="T658" i="1"/>
  <c r="T657" i="1"/>
  <c r="T656" i="1"/>
  <c r="P487" i="1"/>
  <c r="T487" i="1" s="1"/>
  <c r="P486" i="1"/>
  <c r="T486" i="1" s="1"/>
  <c r="P485" i="1"/>
  <c r="T485" i="1" s="1"/>
  <c r="P483" i="1"/>
  <c r="T483" i="1" s="1"/>
  <c r="P482" i="1"/>
  <c r="T482" i="1" s="1"/>
  <c r="P481" i="1"/>
  <c r="T481" i="1" s="1"/>
  <c r="P480" i="1"/>
  <c r="T480" i="1" s="1"/>
  <c r="P479" i="1"/>
  <c r="T479" i="1" s="1"/>
  <c r="P478" i="1"/>
  <c r="T478" i="1" s="1"/>
  <c r="P477" i="1"/>
  <c r="T477" i="1" s="1"/>
  <c r="P475" i="1"/>
  <c r="T475" i="1" s="1"/>
  <c r="P474" i="1"/>
  <c r="T474" i="1" s="1"/>
  <c r="P471" i="1"/>
  <c r="T471" i="1" s="1"/>
  <c r="P470" i="1"/>
  <c r="T470" i="1" s="1"/>
  <c r="P469" i="1"/>
  <c r="T469" i="1" s="1"/>
  <c r="P468" i="1"/>
  <c r="T468" i="1" s="1"/>
  <c r="P467" i="1"/>
  <c r="T467" i="1" s="1"/>
  <c r="P466" i="1"/>
  <c r="T466" i="1" s="1"/>
  <c r="P464" i="1"/>
  <c r="T464" i="1" s="1"/>
  <c r="P463" i="1"/>
  <c r="T463" i="1" s="1"/>
  <c r="P462" i="1"/>
  <c r="T462" i="1" s="1"/>
  <c r="P461" i="1"/>
  <c r="T461" i="1" s="1"/>
  <c r="P460" i="1"/>
  <c r="T460" i="1" s="1"/>
  <c r="P459" i="1"/>
  <c r="T459" i="1" s="1"/>
  <c r="P458" i="1"/>
  <c r="T458" i="1" s="1"/>
  <c r="P457" i="1"/>
  <c r="T457" i="1" s="1"/>
  <c r="P456" i="1"/>
  <c r="T456" i="1" s="1"/>
  <c r="P455" i="1"/>
  <c r="T455" i="1" s="1"/>
  <c r="P454" i="1"/>
  <c r="T454" i="1" s="1"/>
  <c r="P453" i="1"/>
  <c r="T453" i="1" s="1"/>
  <c r="P450" i="1"/>
  <c r="T450" i="1" s="1"/>
  <c r="P448" i="1"/>
  <c r="T448" i="1" s="1"/>
  <c r="P447" i="1"/>
  <c r="T447" i="1" s="1"/>
  <c r="P446" i="1"/>
  <c r="T446" i="1" s="1"/>
  <c r="P445" i="1"/>
  <c r="T445" i="1" s="1"/>
  <c r="P444" i="1"/>
  <c r="T444" i="1" s="1"/>
  <c r="P443" i="1"/>
  <c r="T443" i="1" s="1"/>
  <c r="P442" i="1"/>
  <c r="T442" i="1" s="1"/>
  <c r="P441" i="1"/>
  <c r="T441" i="1" s="1"/>
  <c r="P438" i="1"/>
  <c r="T438" i="1" s="1"/>
  <c r="P437" i="1"/>
  <c r="T437" i="1" s="1"/>
  <c r="P436" i="1"/>
  <c r="T436" i="1" s="1"/>
  <c r="P435" i="1"/>
  <c r="T435" i="1" s="1"/>
  <c r="P434" i="1"/>
  <c r="T434" i="1" s="1"/>
  <c r="P433" i="1"/>
  <c r="T433" i="1" s="1"/>
  <c r="P432" i="1"/>
  <c r="T432" i="1" s="1"/>
  <c r="P431" i="1"/>
  <c r="T431" i="1" s="1"/>
  <c r="P430" i="1"/>
  <c r="T430" i="1" s="1"/>
  <c r="P429" i="1"/>
  <c r="T429" i="1" s="1"/>
  <c r="P428" i="1"/>
  <c r="T428" i="1" s="1"/>
  <c r="P427" i="1"/>
  <c r="T427" i="1" s="1"/>
  <c r="P426" i="1"/>
  <c r="T426" i="1" s="1"/>
  <c r="P425" i="1"/>
  <c r="T425" i="1" s="1"/>
  <c r="P424" i="1"/>
  <c r="T424" i="1" s="1"/>
  <c r="P423" i="1"/>
  <c r="T423" i="1" s="1"/>
  <c r="P422" i="1"/>
  <c r="T422" i="1" s="1"/>
  <c r="P421" i="1"/>
  <c r="T421" i="1" s="1"/>
  <c r="P420" i="1"/>
  <c r="T420" i="1" s="1"/>
  <c r="P419" i="1"/>
  <c r="T419" i="1" s="1"/>
  <c r="P418" i="1"/>
  <c r="T418" i="1" s="1"/>
  <c r="P417" i="1"/>
  <c r="T417" i="1" s="1"/>
  <c r="P416" i="1"/>
  <c r="T416" i="1" s="1"/>
  <c r="P415" i="1"/>
  <c r="T415" i="1" s="1"/>
  <c r="P414" i="1"/>
  <c r="T414" i="1" s="1"/>
  <c r="P413" i="1"/>
  <c r="T413" i="1" s="1"/>
  <c r="P412" i="1"/>
  <c r="T412" i="1" s="1"/>
  <c r="P411" i="1"/>
  <c r="T411" i="1" s="1"/>
  <c r="P410" i="1"/>
  <c r="T410" i="1" s="1"/>
  <c r="P409" i="1"/>
  <c r="T409" i="1" s="1"/>
  <c r="P408" i="1"/>
  <c r="T408" i="1" s="1"/>
  <c r="P407" i="1"/>
  <c r="T407" i="1" s="1"/>
  <c r="P406" i="1"/>
  <c r="T406" i="1" s="1"/>
  <c r="P405" i="1"/>
  <c r="T405" i="1" s="1"/>
  <c r="P404" i="1"/>
  <c r="T404" i="1" s="1"/>
  <c r="P403" i="1"/>
  <c r="T403" i="1" s="1"/>
  <c r="T400" i="1"/>
  <c r="T399" i="1"/>
  <c r="T398" i="1"/>
  <c r="T396" i="1"/>
  <c r="T395" i="1"/>
  <c r="T390" i="1"/>
  <c r="P389" i="1"/>
  <c r="T389" i="1" s="1"/>
  <c r="P388" i="1"/>
  <c r="T388" i="1" s="1"/>
  <c r="P387" i="1"/>
  <c r="T387" i="1" s="1"/>
  <c r="P386" i="1"/>
  <c r="T386" i="1" s="1"/>
  <c r="P385" i="1"/>
  <c r="T385" i="1" s="1"/>
  <c r="P384" i="1"/>
  <c r="T384" i="1" s="1"/>
  <c r="P383" i="1"/>
  <c r="T383" i="1" s="1"/>
  <c r="P382" i="1"/>
  <c r="T382" i="1" s="1"/>
  <c r="P379" i="1"/>
  <c r="T379" i="1" s="1"/>
  <c r="P378" i="1"/>
  <c r="T378" i="1" s="1"/>
  <c r="P377" i="1"/>
  <c r="T377" i="1" s="1"/>
  <c r="P376" i="1"/>
  <c r="T376" i="1" s="1"/>
  <c r="P375" i="1"/>
  <c r="T375" i="1" s="1"/>
  <c r="P374" i="1"/>
  <c r="T374" i="1" s="1"/>
  <c r="P373" i="1"/>
  <c r="T373" i="1" s="1"/>
  <c r="P372" i="1"/>
  <c r="T372" i="1" s="1"/>
  <c r="P363" i="1"/>
  <c r="T363" i="1" s="1"/>
  <c r="P362" i="1"/>
  <c r="T362" i="1" s="1"/>
  <c r="P361" i="1"/>
  <c r="T361" i="1" s="1"/>
  <c r="P358" i="1"/>
  <c r="T358" i="1" s="1"/>
  <c r="P355" i="1"/>
  <c r="T355" i="1" s="1"/>
  <c r="P349" i="1"/>
  <c r="T349" i="1" s="1"/>
  <c r="P348" i="1"/>
  <c r="T348" i="1" s="1"/>
  <c r="P347" i="1"/>
  <c r="T347" i="1" s="1"/>
  <c r="P340" i="1"/>
  <c r="T340" i="1" s="1"/>
  <c r="P339" i="1"/>
  <c r="T339" i="1" s="1"/>
  <c r="P337" i="1"/>
  <c r="T337" i="1" s="1"/>
  <c r="C466" i="1"/>
  <c r="C361" i="1"/>
  <c r="C337" i="1"/>
  <c r="C468" i="1"/>
  <c r="C467" i="1"/>
  <c r="T128" i="1" l="1"/>
  <c r="Q255" i="1"/>
  <c r="J176" i="1" s="1"/>
  <c r="C471" i="1"/>
  <c r="C470" i="1"/>
  <c r="C469" i="1"/>
  <c r="C358" i="1" l="1"/>
  <c r="C464" i="1" l="1"/>
  <c r="C463" i="1"/>
  <c r="C462" i="1"/>
  <c r="C461" i="1"/>
  <c r="C460" i="1"/>
  <c r="P465" i="1"/>
  <c r="T465" i="1" s="1"/>
  <c r="C390" i="1" l="1"/>
  <c r="C456" i="1"/>
  <c r="C648" i="1"/>
  <c r="C425" i="1"/>
  <c r="C424" i="1"/>
  <c r="C459" i="1"/>
  <c r="C457" i="1"/>
  <c r="C423" i="1"/>
  <c r="C458" i="1"/>
  <c r="C455" i="1"/>
  <c r="C454" i="1"/>
  <c r="C355" i="1"/>
  <c r="C453" i="1"/>
  <c r="C451" i="1"/>
  <c r="P451" i="1"/>
  <c r="T451" i="1" s="1"/>
  <c r="C450" i="1"/>
  <c r="C447" i="1"/>
  <c r="C314" i="1"/>
  <c r="C339" i="1"/>
  <c r="P314" i="1"/>
  <c r="T314" i="1" s="1"/>
  <c r="C449" i="1"/>
  <c r="P449" i="1"/>
  <c r="T449" i="1" s="1"/>
  <c r="C435" i="1" l="1"/>
  <c r="C252" i="1"/>
  <c r="C448" i="1"/>
  <c r="P327" i="1"/>
  <c r="C443" i="1"/>
  <c r="C442" i="1"/>
  <c r="C434" i="1"/>
  <c r="C446" i="1" l="1"/>
  <c r="C445" i="1"/>
  <c r="C444" i="1"/>
  <c r="C433" i="1"/>
  <c r="C441" i="1"/>
  <c r="C438" i="1"/>
  <c r="C437" i="1"/>
  <c r="C436" i="1"/>
  <c r="C429" i="1"/>
  <c r="C349" i="1" l="1"/>
  <c r="C348" i="1"/>
  <c r="C428" i="1"/>
  <c r="C430" i="1"/>
  <c r="C431" i="1"/>
  <c r="C432" i="1"/>
  <c r="C427" i="1"/>
  <c r="C426" i="1"/>
  <c r="C422" i="1"/>
  <c r="C658" i="1"/>
  <c r="C421" i="1" l="1"/>
  <c r="C418" i="1"/>
  <c r="C415" i="1"/>
  <c r="C419" i="1"/>
  <c r="C420" i="1"/>
  <c r="C251" i="1" l="1"/>
  <c r="C417" i="1"/>
  <c r="C416" i="1"/>
  <c r="C656" i="1"/>
  <c r="C414" i="1"/>
  <c r="C657" i="1" l="1"/>
  <c r="C250" i="1" l="1"/>
  <c r="C248" i="1"/>
  <c r="C249" i="1" l="1"/>
  <c r="C406" i="1" l="1"/>
  <c r="C247" i="1"/>
  <c r="C246" i="1"/>
  <c r="C245" i="1"/>
  <c r="C244" i="1"/>
  <c r="C243" i="1"/>
  <c r="C242" i="1"/>
  <c r="C241" i="1"/>
  <c r="C240" i="1"/>
  <c r="C239" i="1"/>
  <c r="C238" i="1"/>
  <c r="C237" i="1"/>
  <c r="C394" i="1"/>
  <c r="C236" i="1"/>
  <c r="C235" i="1"/>
  <c r="C128" i="1"/>
  <c r="C234" i="1"/>
  <c r="C233" i="1"/>
  <c r="C232" i="1"/>
  <c r="C231" i="1"/>
  <c r="C230" i="1"/>
  <c r="C229" i="1"/>
  <c r="C228" i="1"/>
  <c r="C413" i="1" l="1"/>
  <c r="C412" i="1" l="1"/>
  <c r="C411" i="1" l="1"/>
  <c r="C665" i="1" l="1"/>
  <c r="C410" i="1" l="1"/>
  <c r="C363" i="1" l="1"/>
  <c r="C129" i="1" l="1"/>
  <c r="B129" i="1"/>
  <c r="BT129" i="1"/>
  <c r="BR129" i="1"/>
  <c r="P129" i="1"/>
  <c r="T129" i="1" l="1"/>
  <c r="C409" i="1"/>
  <c r="C162" i="1" l="1"/>
  <c r="C295" i="1" l="1"/>
  <c r="C663" i="1" l="1"/>
  <c r="C408" i="1" l="1"/>
  <c r="C397" i="1" l="1"/>
  <c r="C407" i="1" l="1"/>
  <c r="P131" i="1" l="1"/>
  <c r="C405" i="1" l="1"/>
  <c r="C404" i="1"/>
  <c r="C403" i="1"/>
  <c r="E689" i="1" l="1"/>
  <c r="F679" i="1"/>
  <c r="H679" i="1"/>
  <c r="M3" i="1"/>
  <c r="C400" i="1" l="1"/>
  <c r="C399" i="1"/>
  <c r="C398" i="1"/>
  <c r="C396" i="1"/>
  <c r="C395" i="1"/>
  <c r="C389" i="1"/>
  <c r="C388" i="1"/>
  <c r="C387" i="1"/>
  <c r="C386" i="1"/>
  <c r="C385" i="1"/>
  <c r="C384" i="1"/>
  <c r="C383" i="1"/>
  <c r="C382" i="1"/>
  <c r="C379" i="1"/>
  <c r="C298" i="1"/>
  <c r="C378" i="1"/>
  <c r="C377" i="1"/>
  <c r="C376" i="1"/>
  <c r="C375" i="1"/>
  <c r="C374" i="1"/>
  <c r="C373" i="1"/>
  <c r="C372" i="1"/>
  <c r="C362" i="1"/>
  <c r="C347" i="1"/>
  <c r="C340" i="1"/>
  <c r="C327" i="1"/>
  <c r="C307" i="1"/>
  <c r="C286" i="1"/>
  <c r="C305" i="1" l="1"/>
  <c r="C655" i="1"/>
  <c r="C313" i="1"/>
  <c r="C312" i="1"/>
  <c r="C311" i="1"/>
  <c r="C310" i="1"/>
  <c r="C308" i="1"/>
  <c r="C309" i="1"/>
  <c r="C306" i="1"/>
  <c r="C304" i="1"/>
  <c r="C303" i="1"/>
  <c r="C293" i="1" l="1"/>
  <c r="C296" i="1"/>
  <c r="C299" i="1"/>
  <c r="C297" i="1"/>
  <c r="C294" i="1"/>
  <c r="C292" i="1"/>
  <c r="C291" i="1"/>
  <c r="C290" i="1"/>
  <c r="C289" i="1"/>
  <c r="C288" i="1"/>
  <c r="C287" i="1"/>
  <c r="C285" i="1"/>
  <c r="C284" i="1"/>
  <c r="C280" i="1"/>
  <c r="C279" i="1"/>
  <c r="C278" i="1"/>
  <c r="C277" i="1"/>
  <c r="C276" i="1"/>
  <c r="C275" i="1"/>
  <c r="C274" i="1"/>
  <c r="C269" i="1"/>
  <c r="C270" i="1"/>
  <c r="C268" i="1"/>
  <c r="C267" i="1"/>
  <c r="C266" i="1"/>
  <c r="C265" i="1"/>
  <c r="C264" i="1"/>
  <c r="C263" i="1"/>
  <c r="C262" i="1"/>
  <c r="C261" i="1"/>
  <c r="C260" i="1"/>
  <c r="C259" i="1"/>
  <c r="C258" i="1"/>
  <c r="C226" i="1"/>
  <c r="C225" i="1"/>
  <c r="C224" i="1"/>
  <c r="C223" i="1"/>
  <c r="C222" i="1"/>
  <c r="C221" i="1"/>
  <c r="C220" i="1"/>
  <c r="C219" i="1"/>
  <c r="C218" i="1"/>
  <c r="C217" i="1"/>
  <c r="C216" i="1"/>
  <c r="C215" i="1"/>
  <c r="C214" i="1"/>
  <c r="C213" i="1"/>
  <c r="C212" i="1"/>
  <c r="C211" i="1"/>
  <c r="C210" i="1"/>
  <c r="C200" i="1"/>
  <c r="C209" i="1"/>
  <c r="C208" i="1"/>
  <c r="C207" i="1"/>
  <c r="C206" i="1"/>
  <c r="C205" i="1"/>
  <c r="C204" i="1"/>
  <c r="C203" i="1"/>
  <c r="C202" i="1"/>
  <c r="C201" i="1"/>
  <c r="C199" i="1" l="1"/>
  <c r="C198" i="1"/>
  <c r="C197" i="1"/>
  <c r="C196" i="1"/>
  <c r="C195" i="1"/>
  <c r="C193" i="1"/>
  <c r="C192" i="1"/>
  <c r="C191" i="1"/>
  <c r="C190" i="1"/>
  <c r="C189" i="1"/>
  <c r="C188" i="1"/>
  <c r="C187" i="1"/>
  <c r="C186" i="1"/>
  <c r="C185" i="1"/>
  <c r="C184" i="1"/>
  <c r="C183" i="1"/>
  <c r="C182" i="1"/>
  <c r="C181" i="1"/>
  <c r="C180" i="1"/>
  <c r="C179" i="1"/>
  <c r="C178" i="1"/>
  <c r="C170" i="1"/>
  <c r="C177" i="1"/>
  <c r="C175" i="1"/>
  <c r="C174" i="1"/>
  <c r="C173" i="1"/>
  <c r="C172" i="1"/>
  <c r="C171" i="1"/>
  <c r="C168" i="1"/>
  <c r="C160" i="1"/>
  <c r="C169" i="1"/>
  <c r="C167" i="1"/>
  <c r="C166" i="1"/>
  <c r="C165" i="1"/>
  <c r="C164" i="1"/>
  <c r="C163" i="1"/>
  <c r="C161" i="1"/>
  <c r="C159" i="1"/>
  <c r="C158" i="1"/>
  <c r="C157" i="1"/>
  <c r="C156" i="1"/>
  <c r="C155" i="1"/>
  <c r="C154" i="1"/>
  <c r="C153" i="1"/>
  <c r="C152" i="1"/>
  <c r="C151" i="1"/>
  <c r="C150" i="1"/>
  <c r="C149" i="1"/>
  <c r="C148" i="1"/>
  <c r="C147" i="1"/>
  <c r="C146" i="1"/>
  <c r="C145" i="1"/>
  <c r="C144" i="1"/>
  <c r="C143" i="1"/>
  <c r="C142" i="1"/>
  <c r="C141" i="1"/>
  <c r="C140" i="1"/>
  <c r="C139" i="1"/>
  <c r="C138" i="1"/>
  <c r="C137" i="1"/>
  <c r="C136" i="1"/>
  <c r="C135" i="1"/>
  <c r="C134" i="1"/>
  <c r="C133" i="1"/>
  <c r="C132" i="1"/>
  <c r="C131" i="1"/>
  <c r="C130" i="1" l="1"/>
  <c r="T397" i="1" l="1"/>
  <c r="P313" i="1"/>
  <c r="T313" i="1" s="1"/>
  <c r="P289" i="1" l="1"/>
  <c r="T289" i="1" s="1"/>
  <c r="T655" i="1" l="1"/>
  <c r="N340" i="1" l="1"/>
  <c r="T327" i="1" l="1"/>
  <c r="B130" i="1" l="1"/>
  <c r="P299" i="1"/>
  <c r="T299" i="1" s="1"/>
  <c r="N384" i="1"/>
  <c r="P296" i="1"/>
  <c r="T296" i="1" s="1"/>
  <c r="P304" i="1"/>
  <c r="T304" i="1" s="1"/>
  <c r="P201" i="1"/>
  <c r="T201" i="1" s="1"/>
  <c r="P298" i="1"/>
  <c r="T298" i="1" s="1"/>
  <c r="P184" i="1"/>
  <c r="T184" i="1" s="1"/>
  <c r="P293" i="1"/>
  <c r="T293" i="1" s="1"/>
  <c r="P174" i="1"/>
  <c r="P297" i="1"/>
  <c r="T297" i="1" s="1"/>
  <c r="P308" i="1"/>
  <c r="T308" i="1" s="1"/>
  <c r="P309" i="1"/>
  <c r="T309" i="1" s="1"/>
  <c r="P311" i="1"/>
  <c r="T311" i="1" s="1"/>
  <c r="P310" i="1"/>
  <c r="T310" i="1" s="1"/>
  <c r="P312" i="1"/>
  <c r="T312" i="1" s="1"/>
  <c r="P305" i="1"/>
  <c r="T305" i="1" s="1"/>
  <c r="P303" i="1"/>
  <c r="T303" i="1" s="1"/>
  <c r="P307" i="1"/>
  <c r="T307" i="1" s="1"/>
  <c r="P295" i="1"/>
  <c r="T295" i="1" s="1"/>
  <c r="P291" i="1"/>
  <c r="T291" i="1" s="1"/>
  <c r="P294" i="1"/>
  <c r="T294" i="1" s="1"/>
  <c r="P292" i="1"/>
  <c r="T292" i="1" s="1"/>
  <c r="P290" i="1"/>
  <c r="T290" i="1" s="1"/>
  <c r="P287" i="1"/>
  <c r="T287" i="1" s="1"/>
  <c r="P286" i="1"/>
  <c r="T286" i="1" s="1"/>
  <c r="P288" i="1"/>
  <c r="T288" i="1" s="1"/>
  <c r="P285" i="1"/>
  <c r="P284" i="1"/>
  <c r="T284" i="1" s="1"/>
  <c r="P279" i="1"/>
  <c r="T279" i="1" s="1"/>
  <c r="P280" i="1"/>
  <c r="T280" i="1" s="1"/>
  <c r="P278" i="1"/>
  <c r="T278" i="1" s="1"/>
  <c r="P277" i="1"/>
  <c r="T277" i="1" s="1"/>
  <c r="P276" i="1"/>
  <c r="T276" i="1" s="1"/>
  <c r="P274" i="1"/>
  <c r="T274" i="1" s="1"/>
  <c r="P275" i="1"/>
  <c r="T275" i="1" s="1"/>
  <c r="P268" i="1"/>
  <c r="T268" i="1" s="1"/>
  <c r="P269" i="1"/>
  <c r="T269" i="1" s="1"/>
  <c r="P270" i="1"/>
  <c r="T270" i="1" s="1"/>
  <c r="P266" i="1"/>
  <c r="T266" i="1" s="1"/>
  <c r="P265" i="1"/>
  <c r="T265" i="1" s="1"/>
  <c r="P264" i="1"/>
  <c r="T264" i="1" s="1"/>
  <c r="P267" i="1"/>
  <c r="T267" i="1" s="1"/>
  <c r="P258" i="1"/>
  <c r="T258" i="1" s="1"/>
  <c r="P263" i="1"/>
  <c r="T263" i="1" s="1"/>
  <c r="P262" i="1"/>
  <c r="T262" i="1" s="1"/>
  <c r="P261" i="1"/>
  <c r="T261" i="1" s="1"/>
  <c r="P259" i="1"/>
  <c r="T259" i="1" s="1"/>
  <c r="P209" i="1"/>
  <c r="T209" i="1" s="1"/>
  <c r="P260" i="1"/>
  <c r="T260" i="1" s="1"/>
  <c r="P224" i="1"/>
  <c r="T224" i="1" s="1"/>
  <c r="P223" i="1"/>
  <c r="T223" i="1" s="1"/>
  <c r="P219" i="1"/>
  <c r="T219" i="1" s="1"/>
  <c r="P212" i="1"/>
  <c r="T212" i="1" s="1"/>
  <c r="P222" i="1"/>
  <c r="T222" i="1" s="1"/>
  <c r="P225" i="1"/>
  <c r="T225" i="1" s="1"/>
  <c r="P218" i="1"/>
  <c r="T218" i="1" s="1"/>
  <c r="P214" i="1"/>
  <c r="T214" i="1" s="1"/>
  <c r="P216" i="1"/>
  <c r="T216" i="1" s="1"/>
  <c r="P226" i="1"/>
  <c r="T226" i="1" s="1"/>
  <c r="P217" i="1"/>
  <c r="T217" i="1" s="1"/>
  <c r="P210" i="1"/>
  <c r="T210" i="1" s="1"/>
  <c r="P221" i="1"/>
  <c r="T221" i="1" s="1"/>
  <c r="P213" i="1"/>
  <c r="T213" i="1" s="1"/>
  <c r="P205" i="1"/>
  <c r="T205" i="1" s="1"/>
  <c r="P220" i="1"/>
  <c r="T220" i="1" s="1"/>
  <c r="P215" i="1"/>
  <c r="T215" i="1" s="1"/>
  <c r="P204" i="1"/>
  <c r="T204" i="1" s="1"/>
  <c r="P211" i="1"/>
  <c r="T211" i="1" s="1"/>
  <c r="P202" i="1"/>
  <c r="T202" i="1" s="1"/>
  <c r="P208" i="1"/>
  <c r="T208" i="1" s="1"/>
  <c r="P206" i="1"/>
  <c r="T206" i="1" s="1"/>
  <c r="P203" i="1"/>
  <c r="T203" i="1" s="1"/>
  <c r="P197" i="1"/>
  <c r="T197" i="1" s="1"/>
  <c r="P199" i="1"/>
  <c r="T199" i="1" s="1"/>
  <c r="P200" i="1"/>
  <c r="T200" i="1" s="1"/>
  <c r="P193" i="1"/>
  <c r="P198" i="1"/>
  <c r="T198" i="1" s="1"/>
  <c r="P196" i="1"/>
  <c r="T196" i="1" s="1"/>
  <c r="P191" i="1"/>
  <c r="T191" i="1" s="1"/>
  <c r="P182" i="1"/>
  <c r="T182" i="1" s="1"/>
  <c r="P195" i="1"/>
  <c r="T195" i="1" s="1"/>
  <c r="P192" i="1"/>
  <c r="P188" i="1"/>
  <c r="T188" i="1" s="1"/>
  <c r="P183" i="1"/>
  <c r="T183" i="1" s="1"/>
  <c r="P181" i="1"/>
  <c r="T181" i="1" s="1"/>
  <c r="P179" i="1"/>
  <c r="T179" i="1" s="1"/>
  <c r="P180" i="1"/>
  <c r="T180" i="1" s="1"/>
  <c r="P185" i="1"/>
  <c r="T185" i="1" s="1"/>
  <c r="P187" i="1"/>
  <c r="T187" i="1" s="1"/>
  <c r="P190" i="1"/>
  <c r="T190" i="1" s="1"/>
  <c r="P148" i="1"/>
  <c r="T148" i="1" s="1"/>
  <c r="P177" i="1"/>
  <c r="T177" i="1" s="1"/>
  <c r="P161" i="1"/>
  <c r="T161" i="1" s="1"/>
  <c r="P178" i="1"/>
  <c r="T178" i="1" s="1"/>
  <c r="P189" i="1"/>
  <c r="T189" i="1" s="1"/>
  <c r="P172" i="1"/>
  <c r="T172" i="1" s="1"/>
  <c r="P170" i="1"/>
  <c r="T170" i="1" s="1"/>
  <c r="P163" i="1"/>
  <c r="T163" i="1" s="1"/>
  <c r="P173" i="1"/>
  <c r="P171" i="1"/>
  <c r="T171" i="1" s="1"/>
  <c r="P162" i="1"/>
  <c r="T162" i="1" s="1"/>
  <c r="P159" i="1"/>
  <c r="T159" i="1" s="1"/>
  <c r="P166" i="1"/>
  <c r="T166" i="1" s="1"/>
  <c r="P160" i="1"/>
  <c r="T160" i="1" s="1"/>
  <c r="P207" i="1"/>
  <c r="P155" i="1"/>
  <c r="T155" i="1" s="1"/>
  <c r="P169" i="1"/>
  <c r="T169" i="1" s="1"/>
  <c r="P168" i="1"/>
  <c r="T168" i="1" s="1"/>
  <c r="P167" i="1"/>
  <c r="T167" i="1" s="1"/>
  <c r="P154" i="1"/>
  <c r="T154" i="1" s="1"/>
  <c r="P153" i="1"/>
  <c r="T153" i="1" s="1"/>
  <c r="P156" i="1"/>
  <c r="T156" i="1" s="1"/>
  <c r="P165" i="1"/>
  <c r="T165" i="1" s="1"/>
  <c r="P157" i="1"/>
  <c r="T157" i="1" s="1"/>
  <c r="P150" i="1"/>
  <c r="T150" i="1" s="1"/>
  <c r="P149" i="1"/>
  <c r="P152" i="1"/>
  <c r="T152" i="1" s="1"/>
  <c r="P164" i="1"/>
  <c r="T164" i="1" s="1"/>
  <c r="P158" i="1"/>
  <c r="T158" i="1" s="1"/>
  <c r="P143" i="1"/>
  <c r="T143" i="1" s="1"/>
  <c r="P144" i="1"/>
  <c r="P140" i="1"/>
  <c r="T140" i="1" s="1"/>
  <c r="P146" i="1"/>
  <c r="T146" i="1" s="1"/>
  <c r="P147" i="1"/>
  <c r="T147" i="1" s="1"/>
  <c r="P139" i="1"/>
  <c r="P136" i="1"/>
  <c r="T136" i="1" s="1"/>
  <c r="P145" i="1"/>
  <c r="P138" i="1"/>
  <c r="T138" i="1" s="1"/>
  <c r="P141" i="1"/>
  <c r="T141" i="1" s="1"/>
  <c r="P135" i="1"/>
  <c r="T135" i="1" s="1"/>
  <c r="P134" i="1"/>
  <c r="T134" i="1" s="1"/>
  <c r="P142" i="1"/>
  <c r="T142" i="1" s="1"/>
  <c r="P137" i="1"/>
  <c r="T137" i="1" s="1"/>
  <c r="P151" i="1"/>
  <c r="T151" i="1" s="1"/>
  <c r="P133" i="1"/>
  <c r="T133" i="1" s="1"/>
  <c r="T131" i="1"/>
  <c r="P132" i="1"/>
  <c r="T132" i="1" s="1"/>
  <c r="V306" i="1"/>
  <c r="V672" i="1" s="1"/>
  <c r="J149" i="1"/>
  <c r="J139" i="1"/>
  <c r="P130" i="1"/>
  <c r="P675" i="1" l="1"/>
  <c r="BR306" i="1"/>
  <c r="V674" i="1"/>
  <c r="T130" i="1"/>
  <c r="P306" i="1"/>
  <c r="T306" i="1" s="1"/>
  <c r="T174" i="1"/>
  <c r="P175" i="1"/>
  <c r="T175" i="1" s="1"/>
  <c r="B131" i="1"/>
  <c r="B132" i="1" s="1"/>
  <c r="B133" i="1" s="1"/>
  <c r="B134" i="1" s="1"/>
  <c r="B135" i="1" s="1"/>
  <c r="B136" i="1" s="1"/>
  <c r="B137" i="1" s="1"/>
  <c r="B138" i="1" s="1"/>
  <c r="B139" i="1" s="1"/>
  <c r="B140" i="1" s="1"/>
  <c r="B141" i="1" s="1"/>
  <c r="B142" i="1" s="1"/>
  <c r="B143" i="1" s="1"/>
  <c r="T173" i="1"/>
  <c r="T139" i="1"/>
  <c r="T149" i="1"/>
  <c r="P672" i="1" l="1"/>
  <c r="T672" i="1"/>
  <c r="B144" i="1"/>
  <c r="B145" i="1" s="1"/>
  <c r="P676" i="1" l="1"/>
  <c r="B146" i="1"/>
  <c r="B147" i="1" s="1"/>
  <c r="B148" i="1" s="1"/>
  <c r="B149" i="1" s="1"/>
  <c r="B150" i="1" s="1"/>
  <c r="B151" i="1" s="1"/>
  <c r="B152" i="1" s="1"/>
  <c r="B153" i="1" s="1"/>
  <c r="B154" i="1" s="1"/>
  <c r="B155" i="1" s="1"/>
  <c r="B156" i="1" s="1"/>
  <c r="B157" i="1" s="1"/>
  <c r="B158" i="1" s="1"/>
  <c r="B159" i="1" s="1"/>
  <c r="B160" i="1" s="1"/>
  <c r="B161" i="1" s="1"/>
  <c r="B162" i="1" s="1"/>
  <c r="B163" i="1" s="1"/>
  <c r="B164" i="1" s="1"/>
  <c r="B165" i="1" s="1"/>
  <c r="B166" i="1" s="1"/>
  <c r="B167" i="1" s="1"/>
  <c r="B168" i="1" s="1"/>
  <c r="B169" i="1" s="1"/>
  <c r="B170" i="1" s="1"/>
  <c r="B171" i="1" s="1"/>
  <c r="B172" i="1" l="1"/>
  <c r="B173" i="1" s="1"/>
  <c r="B174" i="1" s="1"/>
  <c r="B176" i="1" s="1"/>
  <c r="B177" i="1" s="1"/>
  <c r="B178" i="1" s="1"/>
  <c r="B179" i="1" s="1"/>
  <c r="B180" i="1" s="1"/>
  <c r="B181" i="1" s="1"/>
  <c r="B182" i="1" s="1"/>
  <c r="B183" i="1" s="1"/>
  <c r="B184" i="1" s="1"/>
  <c r="B185" i="1" s="1"/>
  <c r="B186" i="1" s="1"/>
  <c r="B187" i="1" s="1"/>
  <c r="B188" i="1" s="1"/>
  <c r="B189" i="1" s="1"/>
  <c r="B190" i="1" s="1"/>
  <c r="B191" i="1" s="1"/>
  <c r="B192" i="1" s="1"/>
  <c r="B193" i="1" l="1"/>
  <c r="B194" i="1" s="1"/>
  <c r="B195" i="1" s="1"/>
  <c r="B196" i="1" s="1"/>
  <c r="B197" i="1" s="1"/>
  <c r="B198" i="1" s="1"/>
  <c r="B199" i="1" s="1"/>
  <c r="B200" i="1" s="1"/>
  <c r="B201" i="1" s="1"/>
  <c r="B202" i="1" s="1"/>
  <c r="B203" i="1" s="1"/>
  <c r="B204" i="1" s="1"/>
  <c r="B205" i="1" s="1"/>
  <c r="B206" i="1" s="1"/>
  <c r="B207" i="1" s="1"/>
  <c r="B208" i="1" s="1"/>
  <c r="B209" i="1" s="1"/>
  <c r="B210" i="1" s="1"/>
  <c r="B211" i="1" s="1"/>
  <c r="B212" i="1" s="1"/>
  <c r="B213" i="1" s="1"/>
  <c r="B214" i="1" s="1"/>
  <c r="B215" i="1" s="1"/>
  <c r="B216" i="1" s="1"/>
  <c r="B217" i="1" s="1"/>
  <c r="B218" i="1" s="1"/>
  <c r="B219" i="1" s="1"/>
  <c r="B220" i="1" s="1"/>
  <c r="B221" i="1" s="1"/>
  <c r="B222" i="1" s="1"/>
  <c r="B223" i="1" s="1"/>
  <c r="B224" i="1" s="1"/>
  <c r="B225" i="1" s="1"/>
  <c r="BR673" i="1"/>
  <c r="B226" i="1" l="1"/>
  <c r="B258" i="1" s="1"/>
  <c r="B259" i="1" s="1"/>
  <c r="B260" i="1" s="1"/>
  <c r="B261" i="1" s="1"/>
  <c r="B262" i="1" s="1"/>
  <c r="B263" i="1" s="1"/>
  <c r="B264" i="1" s="1"/>
  <c r="B265" i="1" s="1"/>
  <c r="B266" i="1" s="1"/>
  <c r="B267" i="1" s="1"/>
  <c r="B268" i="1" s="1"/>
  <c r="B269" i="1" s="1"/>
  <c r="B270" i="1" s="1"/>
  <c r="B274" i="1" s="1"/>
  <c r="B275" i="1" s="1"/>
  <c r="B276" i="1" s="1"/>
  <c r="B277" i="1" s="1"/>
  <c r="B278" i="1" s="1"/>
  <c r="B279" i="1" s="1"/>
  <c r="B280" i="1" s="1"/>
  <c r="B284" i="1" s="1"/>
  <c r="B285" i="1" s="1"/>
  <c r="B286" i="1" s="1"/>
  <c r="B287" i="1" s="1"/>
  <c r="B288" i="1" s="1"/>
  <c r="B289" i="1" s="1"/>
  <c r="B290" i="1" s="1"/>
  <c r="B291" i="1" s="1"/>
  <c r="B292" i="1" s="1"/>
  <c r="B293" i="1" s="1"/>
  <c r="B294" i="1" s="1"/>
  <c r="B295" i="1" s="1"/>
  <c r="B296" i="1" s="1"/>
  <c r="B297" i="1" s="1"/>
  <c r="B298" i="1" s="1"/>
  <c r="B299" i="1" s="1"/>
  <c r="B303" i="1" s="1"/>
  <c r="B304" i="1" s="1"/>
  <c r="B305" i="1" s="1"/>
  <c r="B306" i="1" s="1"/>
  <c r="B307" i="1" s="1"/>
  <c r="B308" i="1" s="1"/>
  <c r="B309" i="1" s="1"/>
  <c r="B310" i="1" s="1"/>
  <c r="B311" i="1" s="1"/>
  <c r="B312" i="1" s="1"/>
  <c r="B313" i="1" s="1"/>
  <c r="B314" i="1" s="1"/>
  <c r="I672" i="1" l="1"/>
  <c r="J672" i="1" s="1"/>
  <c r="P673" i="1" l="1"/>
  <c r="P674"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Randy Korotev</author>
    <author>tc={47AFB013-4BFA-4C61-B77A-F1893539F5C3}</author>
  </authors>
  <commentList>
    <comment ref="V268" authorId="0" shapeId="0" xr:uid="{45788794-9661-4EF5-81AD-8D73465441B6}">
      <text>
        <r>
          <rPr>
            <b/>
            <sz val="9"/>
            <color indexed="81"/>
            <rFont val="Tahoma"/>
            <family val="2"/>
          </rPr>
          <t>Randy Korotev:</t>
        </r>
        <r>
          <rPr>
            <sz val="9"/>
            <color indexed="81"/>
            <rFont val="Tahoma"/>
            <family val="2"/>
          </rPr>
          <t xml:space="preserve">
7834</t>
        </r>
      </text>
    </comment>
    <comment ref="W268" authorId="0" shapeId="0" xr:uid="{9BD0F466-35D9-4D7F-81CC-B1F21459E080}">
      <text>
        <r>
          <rPr>
            <b/>
            <sz val="9"/>
            <color indexed="81"/>
            <rFont val="Tahoma"/>
            <family val="2"/>
          </rPr>
          <t>Randy Korotev:</t>
        </r>
        <r>
          <rPr>
            <sz val="9"/>
            <color indexed="81"/>
            <rFont val="Tahoma"/>
            <family val="2"/>
          </rPr>
          <t xml:space="preserve">
7948</t>
        </r>
      </text>
    </comment>
    <comment ref="X268" authorId="0" shapeId="0" xr:uid="{821812F4-82FB-40E1-A5E3-20F85C017041}">
      <text>
        <r>
          <rPr>
            <b/>
            <sz val="9"/>
            <color indexed="81"/>
            <rFont val="Tahoma"/>
            <family val="2"/>
          </rPr>
          <t>Randy Korotev:</t>
        </r>
        <r>
          <rPr>
            <sz val="9"/>
            <color indexed="81"/>
            <rFont val="Tahoma"/>
            <family val="2"/>
          </rPr>
          <t xml:space="preserve">
8306</t>
        </r>
      </text>
    </comment>
    <comment ref="Y268" authorId="0" shapeId="0" xr:uid="{25F3722A-D33C-4BF4-97C7-660CAC55AD3D}">
      <text>
        <r>
          <rPr>
            <b/>
            <sz val="9"/>
            <color indexed="81"/>
            <rFont val="Tahoma"/>
            <family val="2"/>
          </rPr>
          <t>Randy Korotev:</t>
        </r>
        <r>
          <rPr>
            <sz val="9"/>
            <color indexed="81"/>
            <rFont val="Tahoma"/>
            <family val="2"/>
          </rPr>
          <t xml:space="preserve">
10253</t>
        </r>
      </text>
    </comment>
    <comment ref="Z268" authorId="0" shapeId="0" xr:uid="{31CAD388-0550-4A21-8839-D1DE6BD8C9B1}">
      <text>
        <r>
          <rPr>
            <b/>
            <sz val="9"/>
            <color indexed="81"/>
            <rFont val="Tahoma"/>
            <family val="2"/>
          </rPr>
          <t>Randy Korotev:</t>
        </r>
        <r>
          <rPr>
            <sz val="9"/>
            <color indexed="81"/>
            <rFont val="Tahoma"/>
            <family val="2"/>
          </rPr>
          <t xml:space="preserve">
10258</t>
        </r>
      </text>
    </comment>
    <comment ref="Z289" authorId="1" shapeId="0" xr:uid="{47AFB013-4BFA-4C61-B77A-F1893539F5C3}">
      <text>
        <t>[Threaded comment]
Your version of Excel allows you to read this threaded comment; however, any edits to it will get removed if the file is opened in a newer version of Excel. Learn more: https://go.microsoft.com/fwlink/?linkid=870924
Comment:
    2402</t>
      </text>
    </comment>
    <comment ref="V297" authorId="0" shapeId="0" xr:uid="{A466655D-59A5-48C9-BCE6-0DA77B8C7124}">
      <text>
        <r>
          <rPr>
            <b/>
            <sz val="9"/>
            <color indexed="81"/>
            <rFont val="Tahoma"/>
            <family val="2"/>
          </rPr>
          <t>Randy Korotev:</t>
        </r>
        <r>
          <rPr>
            <sz val="9"/>
            <color indexed="81"/>
            <rFont val="Tahoma"/>
            <family val="2"/>
          </rPr>
          <t xml:space="preserve">
733</t>
        </r>
      </text>
    </comment>
    <comment ref="W297" authorId="0" shapeId="0" xr:uid="{8ADE31FD-3ECB-4623-A693-073868C2C20E}">
      <text>
        <r>
          <rPr>
            <b/>
            <sz val="9"/>
            <color indexed="81"/>
            <rFont val="Tahoma"/>
            <family val="2"/>
          </rPr>
          <t>Randy Korotev:</t>
        </r>
        <r>
          <rPr>
            <sz val="9"/>
            <color indexed="81"/>
            <rFont val="Tahoma"/>
            <family val="2"/>
          </rPr>
          <t xml:space="preserve">
2700</t>
        </r>
      </text>
    </comment>
    <comment ref="X297" authorId="0" shapeId="0" xr:uid="{669424A7-45EB-449F-91E0-42FF482661B6}">
      <text>
        <r>
          <rPr>
            <b/>
            <sz val="9"/>
            <color indexed="81"/>
            <rFont val="Tahoma"/>
            <family val="2"/>
          </rPr>
          <t>Randy Korotev:</t>
        </r>
        <r>
          <rPr>
            <sz val="9"/>
            <color indexed="81"/>
            <rFont val="Tahoma"/>
            <family val="2"/>
          </rPr>
          <t xml:space="preserve">
2727</t>
        </r>
      </text>
    </comment>
    <comment ref="Y297" authorId="0" shapeId="0" xr:uid="{88598B12-1410-45D2-8F23-06C35ADB96A7}">
      <text>
        <r>
          <rPr>
            <b/>
            <sz val="9"/>
            <color indexed="81"/>
            <rFont val="Tahoma"/>
            <family val="2"/>
          </rPr>
          <t>Randy Korotev:</t>
        </r>
        <r>
          <rPr>
            <sz val="9"/>
            <color indexed="81"/>
            <rFont val="Tahoma"/>
            <family val="2"/>
          </rPr>
          <t xml:space="preserve">
2977</t>
        </r>
      </text>
    </comment>
    <comment ref="Z297" authorId="0" shapeId="0" xr:uid="{77EFBA91-1FD3-4FD6-91E8-F65C43450F3F}">
      <text>
        <r>
          <rPr>
            <b/>
            <sz val="9"/>
            <color indexed="81"/>
            <rFont val="Tahoma"/>
            <family val="2"/>
          </rPr>
          <t>Randy Korotev:</t>
        </r>
        <r>
          <rPr>
            <sz val="9"/>
            <color indexed="81"/>
            <rFont val="Tahoma"/>
            <family val="2"/>
          </rPr>
          <t xml:space="preserve">
3160</t>
        </r>
      </text>
    </comment>
    <comment ref="AA297" authorId="0" shapeId="0" xr:uid="{340A01E9-329E-4ABA-AA7D-1084A8ADD1C2}">
      <text>
        <r>
          <rPr>
            <b/>
            <sz val="9"/>
            <color indexed="81"/>
            <rFont val="Tahoma"/>
            <family val="2"/>
          </rPr>
          <t>Randy Korotev:</t>
        </r>
        <r>
          <rPr>
            <sz val="9"/>
            <color indexed="81"/>
            <rFont val="Tahoma"/>
            <family val="2"/>
          </rPr>
          <t xml:space="preserve">
3170</t>
        </r>
      </text>
    </comment>
    <comment ref="AB297" authorId="0" shapeId="0" xr:uid="{C7F1EE95-1EAA-46CA-9A30-A325D6CBED98}">
      <text>
        <r>
          <rPr>
            <b/>
            <sz val="9"/>
            <color indexed="81"/>
            <rFont val="Tahoma"/>
            <family val="2"/>
          </rPr>
          <t>Randy Korotev:</t>
        </r>
        <r>
          <rPr>
            <sz val="9"/>
            <color indexed="81"/>
            <rFont val="Tahoma"/>
            <family val="2"/>
          </rPr>
          <t xml:space="preserve">
3333</t>
        </r>
      </text>
    </comment>
    <comment ref="AC297" authorId="0" shapeId="0" xr:uid="{EDE74B1B-6D62-4F8D-BDCD-5613C42AC3F5}">
      <text>
        <r>
          <rPr>
            <b/>
            <sz val="9"/>
            <color indexed="81"/>
            <rFont val="Tahoma"/>
            <family val="2"/>
          </rPr>
          <t>Randy Korotev:</t>
        </r>
        <r>
          <rPr>
            <sz val="9"/>
            <color indexed="81"/>
            <rFont val="Tahoma"/>
            <family val="2"/>
          </rPr>
          <t xml:space="preserve">
6950</t>
        </r>
      </text>
    </comment>
    <comment ref="AD297" authorId="0" shapeId="0" xr:uid="{785EC1FB-5FA0-4E40-9432-FA4B8AFFD808}">
      <text>
        <r>
          <rPr>
            <b/>
            <sz val="9"/>
            <color indexed="81"/>
            <rFont val="Tahoma"/>
            <family val="2"/>
          </rPr>
          <t>Randy Korotev:</t>
        </r>
        <r>
          <rPr>
            <sz val="9"/>
            <color indexed="81"/>
            <rFont val="Tahoma"/>
            <family val="2"/>
          </rPr>
          <t xml:space="preserve">
7007</t>
        </r>
      </text>
    </comment>
    <comment ref="AE297" authorId="0" shapeId="0" xr:uid="{A040A4F7-6E7D-41F7-8AF6-435CD73D3A61}">
      <text>
        <r>
          <rPr>
            <b/>
            <sz val="9"/>
            <color indexed="81"/>
            <rFont val="Tahoma"/>
            <family val="2"/>
          </rPr>
          <t>Randy Korotev:</t>
        </r>
        <r>
          <rPr>
            <sz val="9"/>
            <color indexed="81"/>
            <rFont val="Tahoma"/>
            <family val="2"/>
          </rPr>
          <t xml:space="preserve">
8127</t>
        </r>
      </text>
    </comment>
    <comment ref="AF297" authorId="0" shapeId="0" xr:uid="{599C5AA5-0EEB-4AC4-9503-9A4F1A8E2F85}">
      <text>
        <r>
          <rPr>
            <b/>
            <sz val="9"/>
            <color indexed="81"/>
            <rFont val="Tahoma"/>
            <family val="2"/>
          </rPr>
          <t>Randy Korotev:</t>
        </r>
        <r>
          <rPr>
            <sz val="9"/>
            <color indexed="81"/>
            <rFont val="Tahoma"/>
            <family val="2"/>
          </rPr>
          <t xml:space="preserve">
10656</t>
        </r>
      </text>
    </comment>
    <comment ref="AG297" authorId="0" shapeId="0" xr:uid="{52CF9EB0-DF0E-4CBD-97CE-ACA9B2BCE56C}">
      <text>
        <r>
          <rPr>
            <b/>
            <sz val="9"/>
            <color indexed="81"/>
            <rFont val="Tahoma"/>
            <family val="2"/>
          </rPr>
          <t>Randy Korotev:</t>
        </r>
        <r>
          <rPr>
            <sz val="9"/>
            <color indexed="81"/>
            <rFont val="Tahoma"/>
            <family val="2"/>
          </rPr>
          <t xml:space="preserve">
10985</t>
        </r>
      </text>
    </comment>
    <comment ref="AH297" authorId="0" shapeId="0" xr:uid="{E730BACC-605D-4727-8A7D-5A1CF14FAF21}">
      <text>
        <r>
          <rPr>
            <b/>
            <sz val="9"/>
            <color indexed="81"/>
            <rFont val="Tahoma"/>
            <family val="2"/>
          </rPr>
          <t>Randy Korotev:</t>
        </r>
        <r>
          <rPr>
            <sz val="9"/>
            <color indexed="81"/>
            <rFont val="Tahoma"/>
            <family val="2"/>
          </rPr>
          <t xml:space="preserve">
annoual</t>
        </r>
      </text>
    </comment>
    <comment ref="AI297" authorId="0" shapeId="0" xr:uid="{E1756B86-5721-49D8-9E72-370A8129D7BE}">
      <text>
        <r>
          <rPr>
            <b/>
            <sz val="9"/>
            <color indexed="81"/>
            <rFont val="Tahoma"/>
            <family val="2"/>
          </rPr>
          <t>Randy Korotev:</t>
        </r>
        <r>
          <rPr>
            <sz val="9"/>
            <color indexed="81"/>
            <rFont val="Tahoma"/>
            <family val="2"/>
          </rPr>
          <t xml:space="preserve">
11616
</t>
        </r>
      </text>
    </comment>
    <comment ref="AJ297" authorId="0" shapeId="0" xr:uid="{B680A2C2-DFF9-442D-AC0D-83BA22B3D826}">
      <text>
        <r>
          <rPr>
            <b/>
            <sz val="9"/>
            <color indexed="81"/>
            <rFont val="Tahoma"/>
            <family val="2"/>
          </rPr>
          <t>Randy Korotev:</t>
        </r>
        <r>
          <rPr>
            <sz val="9"/>
            <color indexed="81"/>
            <rFont val="Tahoma"/>
            <family val="2"/>
          </rPr>
          <t xml:space="preserve">
11703</t>
        </r>
      </text>
    </comment>
    <comment ref="AK297" authorId="0" shapeId="0" xr:uid="{66997C24-2852-4516-9585-11594E56DEF3}">
      <text>
        <r>
          <rPr>
            <b/>
            <sz val="9"/>
            <color indexed="81"/>
            <rFont val="Tahoma"/>
            <family val="2"/>
          </rPr>
          <t>Randy Korotev:</t>
        </r>
        <r>
          <rPr>
            <sz val="9"/>
            <color indexed="81"/>
            <rFont val="Tahoma"/>
            <family val="2"/>
          </rPr>
          <t xml:space="preserve">
11767</t>
        </r>
      </text>
    </comment>
  </commentList>
</comments>
</file>

<file path=xl/sharedStrings.xml><?xml version="1.0" encoding="utf-8"?>
<sst xmlns="http://schemas.openxmlformats.org/spreadsheetml/2006/main" count="2932" uniqueCount="880">
  <si>
    <t>an up-to-date (and subject to frequent change) </t>
  </si>
  <si>
    <t>list of lunar meteorites</t>
  </si>
  <si>
    <t>Abar al' Uj (AaU)</t>
  </si>
  <si>
    <t>Elephant Moraine (EET)</t>
  </si>
  <si>
    <t>MacAlpine Hills (MAC)</t>
  </si>
  <si>
    <t>Sayh al Uhaymir (SaU)</t>
  </si>
  <si>
    <t>Allan Hills (ALHA)</t>
  </si>
  <si>
    <t>Graves Nunataks (GRA)</t>
  </si>
  <si>
    <t>Meteorite Hills (MET)</t>
  </si>
  <si>
    <t>Shişr</t>
  </si>
  <si>
    <t>Anoual</t>
  </si>
  <si>
    <t>Jiddat al Harasis (JaH)</t>
  </si>
  <si>
    <t>Miller Range (MIL)</t>
  </si>
  <si>
    <t>Yamato</t>
  </si>
  <si>
    <t>Asuka</t>
  </si>
  <si>
    <t>Kalahari</t>
  </si>
  <si>
    <t>Northeast Africa (NEA)</t>
  </si>
  <si>
    <t xml:space="preserve"> (Yanai) </t>
  </si>
  <si>
    <t>Calcalong Creek</t>
  </si>
  <si>
    <t>LaPaz Icefield (LAP)</t>
  </si>
  <si>
    <t>Dar al Gani (DaG)</t>
  </si>
  <si>
    <t>Larkman Nunatak (LAR)</t>
  </si>
  <si>
    <t>Pecora Escarpment (PCA)</t>
  </si>
  <si>
    <t>Mount DeWitt (DEW)</t>
  </si>
  <si>
    <t>Lynch</t>
  </si>
  <si>
    <t>Queen Alexandra Range (QUE)</t>
  </si>
  <si>
    <t>Northwest Africa (NWA)</t>
  </si>
  <si>
    <t>the list</t>
  </si>
  <si>
    <t>N</t>
  </si>
  <si>
    <t>meteorite name</t>
  </si>
  <si>
    <t>mass (grams)</t>
  </si>
  <si>
    <t>where found
or purchased</t>
  </si>
  <si>
    <t>Th
(ppm)</t>
  </si>
  <si>
    <t>highly feldspathic (noritic and troctolitic anorthosite), thorium-poor breccias</t>
  </si>
  <si>
    <t>breccia</t>
  </si>
  <si>
    <t>Morocco</t>
  </si>
  <si>
    <t>1999-2003</t>
  </si>
  <si>
    <t>Oman</t>
  </si>
  <si>
    <t>fragmental breccia</t>
  </si>
  <si>
    <t>northwestern Africa</t>
  </si>
  <si>
    <t>?</t>
  </si>
  <si>
    <t>regolith breccia</t>
  </si>
  <si>
    <t>Antarctica</t>
  </si>
  <si>
    <t>Saudi Arabia</t>
  </si>
  <si>
    <t>Western Sahara</t>
  </si>
  <si>
    <t>2002/ 2011</t>
  </si>
  <si>
    <t>granulitic breccia</t>
  </si>
  <si>
    <t>2013/ 2014</t>
  </si>
  <si>
    <t>probably Algeria</t>
  </si>
  <si>
    <t>1998/ 1998</t>
  </si>
  <si>
    <t>Libya</t>
  </si>
  <si>
    <t>Mauritania</t>
  </si>
  <si>
    <t>2001/ 2003</t>
  </si>
  <si>
    <t>2000/ 2001/ 2010</t>
  </si>
  <si>
    <t>1993/ 1994</t>
  </si>
  <si>
    <t>1983/ 1986</t>
  </si>
  <si>
    <t>2000-2010</t>
  </si>
  <si>
    <t>&lt;2000</t>
  </si>
  <si>
    <t>Mali</t>
  </si>
  <si>
    <t>Sudan</t>
  </si>
  <si>
    <t>2004/ 2001</t>
  </si>
  <si>
    <t>Mauritania or Algeria</t>
  </si>
  <si>
    <t>2007-2013</t>
  </si>
  <si>
    <t>2014-15</t>
  </si>
  <si>
    <t>2003/ 2007</t>
  </si>
  <si>
    <t>Mali, northwestern Africa</t>
  </si>
  <si>
    <t>Algeria</t>
  </si>
  <si>
    <t>2005-2014</t>
  </si>
  <si>
    <t>Th-rich (&gt;3.5 ppm), moderately mafic breccias</t>
  </si>
  <si>
    <t>Australia</t>
  </si>
  <si>
    <t>~1990</t>
  </si>
  <si>
    <t>1980/ 1999</t>
  </si>
  <si>
    <t>Algeria or Morocco</t>
  </si>
  <si>
    <t>feldspathic regolith breccia &amp; monomict basaltic fragmental breccia</t>
  </si>
  <si>
    <t>Botswana</t>
  </si>
  <si>
    <t>1987/ 1996</t>
  </si>
  <si>
    <t>2002-2005</t>
  </si>
  <si>
    <t>1999/ 2001</t>
  </si>
  <si>
    <t>2000 &amp; 2001</t>
  </si>
  <si>
    <t>Want a list of martian meteorites? </t>
  </si>
  <si>
    <t>Washington University in St. Louis</t>
  </si>
  <si>
    <t>4.6
17.1</t>
  </si>
  <si>
    <t>21.6
?</t>
  </si>
  <si>
    <t>0.6
?</t>
  </si>
  <si>
    <t>20.6
24.9</t>
  </si>
  <si>
    <t>0.5
0.9</t>
  </si>
  <si>
    <t>Meteoritical Bulletin Database</t>
  </si>
  <si>
    <r>
      <t>largely unbrecciated</t>
    </r>
    <r>
      <rPr>
        <b/>
        <sz val="16"/>
        <color rgb="FFFFFFFF"/>
        <rFont val="Lucida Sans Unicode"/>
        <family val="2"/>
      </rPr>
      <t xml:space="preserve">
mare basalts</t>
    </r>
  </si>
  <si>
    <t>001</t>
  </si>
  <si>
    <t>1997-2001</t>
  </si>
  <si>
    <t>87521</t>
  </si>
  <si>
    <t>88105</t>
  </si>
  <si>
    <t>169</t>
  </si>
  <si>
    <t>449</t>
  </si>
  <si>
    <t>07006</t>
  </si>
  <si>
    <t>05035</t>
  </si>
  <si>
    <t>090034</t>
  </si>
  <si>
    <t>009</t>
  </si>
  <si>
    <t>008</t>
  </si>
  <si>
    <t>003</t>
  </si>
  <si>
    <t>02205</t>
  </si>
  <si>
    <t>02226</t>
  </si>
  <si>
    <t>04841</t>
  </si>
  <si>
    <t>026</t>
  </si>
  <si>
    <t>025</t>
  </si>
  <si>
    <t>081</t>
  </si>
  <si>
    <t>032</t>
  </si>
  <si>
    <t>back to:</t>
  </si>
  <si>
    <t>02436</t>
  </si>
  <si>
    <t>03632</t>
  </si>
  <si>
    <t>02224</t>
  </si>
  <si>
    <t>090036</t>
  </si>
  <si>
    <t>U.S. Antarctic (ANSMET)</t>
  </si>
  <si>
    <t xml:space="preserve">Maps:  </t>
  </si>
  <si>
    <t>5.3
6.3</t>
  </si>
  <si>
    <t>2.1
3.1</t>
  </si>
  <si>
    <t>1-4</t>
  </si>
  <si>
    <t>300</t>
  </si>
  <si>
    <t>2012-2015</t>
  </si>
  <si>
    <t>northwestern Africa, Mauritania</t>
  </si>
  <si>
    <t>2006, 2012</t>
  </si>
  <si>
    <t>002</t>
  </si>
  <si>
    <t>mass sum (approved names only, kg):</t>
  </si>
  <si>
    <t>Northwest Africa 8753</t>
  </si>
  <si>
    <t>Northwest Africa 2200</t>
  </si>
  <si>
    <t>Northwest Africa 482</t>
  </si>
  <si>
    <t>Northwest Africa 6578</t>
  </si>
  <si>
    <t>Northwest Africa 7493</t>
  </si>
  <si>
    <t>Northwest Africa 8001</t>
  </si>
  <si>
    <t>Northwest Africa 8586</t>
  </si>
  <si>
    <t>Northwest Africa 6481</t>
  </si>
  <si>
    <t>Northwest Africa 6721</t>
  </si>
  <si>
    <t>Northwest Africa 7022</t>
  </si>
  <si>
    <t>Northeast Africa 001</t>
  </si>
  <si>
    <t>Northwest Africa 7274</t>
  </si>
  <si>
    <t>Northwest Africa 8055</t>
  </si>
  <si>
    <t>Northwest Africa 4819</t>
  </si>
  <si>
    <t>Northwest Africa 5207</t>
  </si>
  <si>
    <t>Northwest Africa 7931</t>
  </si>
  <si>
    <t>Northwest Africa 8182</t>
  </si>
  <si>
    <t>Northwest Africa 6687</t>
  </si>
  <si>
    <t>Northwest Africa 5153</t>
  </si>
  <si>
    <t>Northwest Africa 4884</t>
  </si>
  <si>
    <t>Northwest Africa 3136</t>
  </si>
  <si>
    <t>Northwest Africa 4898</t>
  </si>
  <si>
    <t>Northwest Africa 8632</t>
  </si>
  <si>
    <t>Northeast Africa 003</t>
  </si>
  <si>
    <t>Dhofar 302</t>
  </si>
  <si>
    <t>Dhofar 1428</t>
  </si>
  <si>
    <t>Dhofar 1769</t>
  </si>
  <si>
    <t>Dhofar 1528</t>
  </si>
  <si>
    <t>Dhofar 1180</t>
  </si>
  <si>
    <t>Dhofar 1629</t>
  </si>
  <si>
    <t>Dhofar 1442</t>
  </si>
  <si>
    <t>Dhofar 287</t>
  </si>
  <si>
    <t>Shişr 162</t>
  </si>
  <si>
    <t>Shişr 160</t>
  </si>
  <si>
    <t>Shişr 166</t>
  </si>
  <si>
    <t>Shişr 161</t>
  </si>
  <si>
    <t>Sayh al Uhaymir 300</t>
  </si>
  <si>
    <t>Sayh al Uhaymir 449</t>
  </si>
  <si>
    <t>Sayh al Uhaymir 169</t>
  </si>
  <si>
    <t>Yamato 791197</t>
  </si>
  <si>
    <t>Yamato 983885</t>
  </si>
  <si>
    <t>Yamato 793169</t>
  </si>
  <si>
    <t>Miller Range 090036</t>
  </si>
  <si>
    <t>Miller Range 07006</t>
  </si>
  <si>
    <t>Miller Range 13317</t>
  </si>
  <si>
    <t>Miller Range 05035</t>
  </si>
  <si>
    <t>[unnamed 65]</t>
  </si>
  <si>
    <t>[unnamed 87]</t>
  </si>
  <si>
    <t>[unnamed 04]</t>
  </si>
  <si>
    <t>Larkman Nunatak 06638</t>
  </si>
  <si>
    <t>Graves Nunataks 06157</t>
  </si>
  <si>
    <t>Queen Alexandra Range 94281</t>
  </si>
  <si>
    <t>Jiddat al Harasis 838</t>
  </si>
  <si>
    <t>Allan Hills A81005</t>
  </si>
  <si>
    <t>Jiddat al Harasis 348</t>
  </si>
  <si>
    <t>Pecora Escarpment 02007</t>
  </si>
  <si>
    <t>Lynch 002</t>
  </si>
  <si>
    <t>Mount DeWitt 12007</t>
  </si>
  <si>
    <t>Meteorite Hills 01210</t>
  </si>
  <si>
    <t>Asuka 881757</t>
  </si>
  <si>
    <t>Northwest Africa 10404</t>
  </si>
  <si>
    <t>Northwest Africa 10447</t>
  </si>
  <si>
    <t>Oued Awlitis 001</t>
  </si>
  <si>
    <t>glassy to regolith breccia</t>
  </si>
  <si>
    <t>Abar al' Uj 012</t>
  </si>
  <si>
    <t>fragmental to regolith breccia</t>
  </si>
  <si>
    <t>glassy breccia</t>
  </si>
  <si>
    <t>fragmental to glassy breccia</t>
  </si>
  <si>
    <t>glassy to fragmental breccia</t>
  </si>
  <si>
    <t>96008</t>
  </si>
  <si>
    <t>11.5
11.4</t>
  </si>
  <si>
    <t>9
30</t>
  </si>
  <si>
    <t>2001-2014</t>
  </si>
  <si>
    <t>La'gad</t>
  </si>
  <si>
    <t>Galb Inal</t>
  </si>
  <si>
    <t>2006, 2016</t>
  </si>
  <si>
    <t>Northwest Africa 10713</t>
  </si>
  <si>
    <t>Dhofar (Dho)</t>
  </si>
  <si>
    <t>Northwest Africa 7959</t>
  </si>
  <si>
    <t>Northwest Africa 10665</t>
  </si>
  <si>
    <t>in approximate order of decreasing plagioclase abundance</t>
  </si>
  <si>
    <t>other sheet</t>
  </si>
  <si>
    <t>Northwest Africa 4932</t>
  </si>
  <si>
    <t>Northwest Africa 10783</t>
  </si>
  <si>
    <t>Northwest Africa 6888</t>
  </si>
  <si>
    <t>Northwest Africa 11006</t>
  </si>
  <si>
    <t>Northwest Africa 11061</t>
  </si>
  <si>
    <t>Northwest Africa 11077</t>
  </si>
  <si>
    <t>Northwest Africa 11159</t>
  </si>
  <si>
    <t>Northwest Africa 10973</t>
  </si>
  <si>
    <t>Northwest Africa 8010</t>
  </si>
  <si>
    <t>Rabt Sbayta</t>
  </si>
  <si>
    <t>004</t>
  </si>
  <si>
    <t>Northwest Africa 11127</t>
  </si>
  <si>
    <t>Northwest Africa 11182</t>
  </si>
  <si>
    <t>Oued Awlitis (OA)</t>
  </si>
  <si>
    <t>Tichiya</t>
  </si>
  <si>
    <t>005</t>
  </si>
  <si>
    <t>2013-2017</t>
  </si>
  <si>
    <t>2009-2017</t>
  </si>
  <si>
    <t>[unnamed 133]</t>
  </si>
  <si>
    <t>Northwest Africa 5000</t>
  </si>
  <si>
    <t>Northwest Africa 11352</t>
  </si>
  <si>
    <t>006</t>
  </si>
  <si>
    <t>Rabt Sbayta 008</t>
  </si>
  <si>
    <t>007</t>
  </si>
  <si>
    <t>Talhat Lihoudi</t>
  </si>
  <si>
    <t/>
  </si>
  <si>
    <t>88104</t>
  </si>
  <si>
    <t>1153</t>
  </si>
  <si>
    <t>Northwest Africa 11472</t>
  </si>
  <si>
    <t>Northwest Africa 11523</t>
  </si>
  <si>
    <t>Northwest Africa 11524</t>
  </si>
  <si>
    <t>~6</t>
  </si>
  <si>
    <t>Errachidia</t>
  </si>
  <si>
    <t>0.17
&lt;0.2</t>
  </si>
  <si>
    <t>Aridal</t>
  </si>
  <si>
    <t>2011-2017</t>
  </si>
  <si>
    <t>Northwest Africa 10626</t>
  </si>
  <si>
    <t>[unnamed] ("specimen 1153")</t>
  </si>
  <si>
    <t>7.2-10.9</t>
  </si>
  <si>
    <r>
      <t>of mass of rocks in the Apollo collection</t>
    </r>
    <r>
      <rPr>
        <b/>
        <vertAlign val="superscript"/>
        <sz val="10"/>
        <color rgb="FF000000"/>
        <rFont val="Lucida Sans Unicode"/>
        <family val="2"/>
      </rPr>
      <t>2</t>
    </r>
  </si>
  <si>
    <t>total Fe
as FeO
(%)</t>
  </si>
  <si>
    <t>18.2-21.0</t>
  </si>
  <si>
    <t>0.6-4.2</t>
  </si>
  <si>
    <t>[unnamed 130]</t>
  </si>
  <si>
    <r>
      <t>lunar rock type</t>
    </r>
    <r>
      <rPr>
        <b/>
        <vertAlign val="superscript"/>
        <sz val="10"/>
        <color rgb="FF000099"/>
        <rFont val="Lucida Sans Unicode"/>
        <family val="2"/>
      </rPr>
      <t>1</t>
    </r>
  </si>
  <si>
    <t xml:space="preserve">
Meteorites listed in the same box with a slash (/ ), e.g., MacAlpine Hills 88104 and MacAlpine Hills 88105, are verified or assumed pairs - they are two or more fragments of a single object that made the Moon-Earth trip.  Other unidentified pairings may exist. Pairing relationships among stones from northwestern Africa stones are not as well established as those from Antarctica and Oman.  Some of these assumed pairs may be wrong.</t>
  </si>
  <si>
    <t>Northwest Africa 2998/ 7262</t>
  </si>
  <si>
    <t>Dhofar 081/ 280/ 910/ 1224</t>
  </si>
  <si>
    <t>Dhofar 733/ 1766</t>
  </si>
  <si>
    <t>Miller Range 090034/ 090070/ 090075</t>
  </si>
  <si>
    <t>Northwest Africa 8022/ 10082</t>
  </si>
  <si>
    <t>Dhofar 303/ 305/ 306/ 307/ 309/ 310/ 311/ 489/ 730/ 731/ 908/ 909/ 911/ 950/ 1085/ 2047/ [unnamed 28]</t>
  </si>
  <si>
    <t>Dar al Gani 400/ 1058</t>
  </si>
  <si>
    <t>Dhofar 490/ 1084</t>
  </si>
  <si>
    <t>Dar al Gani 262/ 996/ 1042/ 1048</t>
  </si>
  <si>
    <t>Dhofar 026/ 457/ 458/ 459/ 460/ 461/ 462/ 463/ 464/ 465/ 466/ 467/ 468/ 1669</t>
  </si>
  <si>
    <t>Queen Alexandra Range 93069/ 94269</t>
  </si>
  <si>
    <t>MacAlpine Hills 88104/ 88105</t>
  </si>
  <si>
    <t>Dhofar 025/ 301/ 304/ 308</t>
  </si>
  <si>
    <t>Northwest Africa 4936/ 5406/ 6221/ 6355/ 6470/ 6570/ 7190 /7986/ 8181</t>
  </si>
  <si>
    <t>Northwest Africa 8641/ 8682/ 10049/ 10077/ 10133/ [unnamed 77]</t>
  </si>
  <si>
    <t>Yamato 82192/ 82193/ 86032</t>
  </si>
  <si>
    <t>Dhofar 1673/ 1983/ 1984</t>
  </si>
  <si>
    <t>Dhofar 1436/ 1443</t>
  </si>
  <si>
    <t>Northwest Africa 11243/ [unnamed 111]</t>
  </si>
  <si>
    <t>Northwest Africa 3163/ 4483/ 4881/ 6275</t>
  </si>
  <si>
    <t>Dhofar 1527/ [unnamed 96]</t>
  </si>
  <si>
    <t>Northwest Africa 8455/ 8607/ 8609/ 8651/ 8668/ 8727/ 8783/ 10130/ 10228/ 10621/ 10953/ La'gad/ [unnamed 58]/ [unnamed 59]/ [unnamed 95]</t>
  </si>
  <si>
    <t>Northwest Africa 8701/ [unnamed 64]</t>
  </si>
  <si>
    <t>Dhofar 925/ 960/ 961</t>
  </si>
  <si>
    <t>Northwest Africa 2995/ 2996/ 3190/ 4503/ 5151/ 5152/ 6252/ 6554/ 6555/ [unnamed 3]/ [unnamed 12]</t>
  </si>
  <si>
    <t>Yamato 793274/ 981031</t>
  </si>
  <si>
    <t>Elephant Moraine 87521/ 96008</t>
  </si>
  <si>
    <t>Kalahari 008/ 009</t>
  </si>
  <si>
    <t>LaPaz Icefield 02205/ 02224/ 02226/ 02436/ 03632/ 04841</t>
  </si>
  <si>
    <t>Northwest Africa 4734/ 10597</t>
  </si>
  <si>
    <t>Northwest Africa 032/ 479</t>
  </si>
  <si>
    <t>when
found
or
purchased</t>
  </si>
  <si>
    <t>Northwest Africa 11801</t>
  </si>
  <si>
    <t>Northwest Africa 11851</t>
  </si>
  <si>
    <t>[unnamed 142]</t>
  </si>
  <si>
    <t>basalt-rich, mafic breccias</t>
  </si>
  <si>
    <t>Rabt Sbayta 007/ [unnamed 143]</t>
  </si>
  <si>
    <t>Northwest Africa 11886</t>
  </si>
  <si>
    <t>~4</t>
  </si>
  <si>
    <t>Northwest Africa 12008</t>
  </si>
  <si>
    <t>Northwest Africa 12248</t>
  </si>
  <si>
    <t>;10309</t>
  </si>
  <si>
    <t>;10461</t>
  </si>
  <si>
    <t>;10609</t>
  </si>
  <si>
    <t>;10643</t>
  </si>
  <si>
    <t>;10649</t>
  </si>
  <si>
    <t>;10756</t>
  </si>
  <si>
    <t>;10822</t>
  </si>
  <si>
    <t>;10901</t>
  </si>
  <si>
    <t>;11029</t>
  </si>
  <si>
    <t>;11266</t>
  </si>
  <si>
    <t>;11269</t>
  </si>
  <si>
    <t>;11273</t>
  </si>
  <si>
    <t>;11303</t>
  </si>
  <si>
    <t>;11331</t>
  </si>
  <si>
    <t>;11379</t>
  </si>
  <si>
    <t>;11407</t>
  </si>
  <si>
    <t>;11421</t>
  </si>
  <si>
    <t>;11428</t>
  </si>
  <si>
    <t>;11444</t>
  </si>
  <si>
    <t>;11460</t>
  </si>
  <si>
    <t>;11479</t>
  </si>
  <si>
    <t>;11515</t>
  </si>
  <si>
    <t>;11517</t>
  </si>
  <si>
    <t>;11532</t>
  </si>
  <si>
    <t>;11695</t>
  </si>
  <si>
    <t>;2425</t>
  </si>
  <si>
    <t>;11787</t>
  </si>
  <si>
    <t>no Yanai</t>
  </si>
  <si>
    <t>Northwest Africa 8222/ 10823/ 11212/ 11237/ Rabt Sbayta 002/ 004/ 005/ 006/ [unnamed 106]/ [unnamed 115]</t>
  </si>
  <si>
    <t>Northwest Africa 12270</t>
  </si>
  <si>
    <t>Northwest Africa 7834/ 7948/ 8306/ 10149/ 10172/ 10203/ 10253/ 10258/ 10263/ 10272/ 10291/ 10317/ 10376/ 10546/ 10599/ 10644/ 10782/ 10810/ 10989/ 11109/ 11185/ 11249/ 11563/ Galb Inal/ [unnamed 99]</t>
  </si>
  <si>
    <t>Northwest Africa 12368</t>
  </si>
  <si>
    <t>Northwest Africa 12279</t>
  </si>
  <si>
    <t>Northwest Africa 11367</t>
  </si>
  <si>
    <t>Northwest Africa 11474</t>
  </si>
  <si>
    <t>Northwest Africa 11457</t>
  </si>
  <si>
    <t>Northwest Africa 11783</t>
  </si>
  <si>
    <t>Northwest Africa 11828</t>
  </si>
  <si>
    <t>Northwest Africa 11871</t>
  </si>
  <si>
    <t>;11789</t>
  </si>
  <si>
    <t>;11898</t>
  </si>
  <si>
    <t>;11966</t>
  </si>
  <si>
    <t>;11968</t>
  </si>
  <si>
    <t>Northwest Africa 12216</t>
  </si>
  <si>
    <t>Lahmada</t>
  </si>
  <si>
    <t>Northwest Africa 12393</t>
  </si>
  <si>
    <t>Northwest Africa 12422</t>
  </si>
  <si>
    <t>Northwest Africa 12427</t>
  </si>
  <si>
    <t>Northwest Africa 12428</t>
  </si>
  <si>
    <t>~5.5</t>
  </si>
  <si>
    <t>high</t>
  </si>
  <si>
    <t>Northwest Africa 12384</t>
  </si>
  <si>
    <t>Northwest Africa 6831</t>
  </si>
  <si>
    <t>La'gad 003</t>
  </si>
  <si>
    <t>Northwest Africa 12604</t>
  </si>
  <si>
    <t>Arabian Peninsula 007</t>
  </si>
  <si>
    <t>Northwest Africa 12603</t>
  </si>
  <si>
    <t>Arabian Peninsula (AP)</t>
  </si>
  <si>
    <t>Northwest Africa 12643</t>
  </si>
  <si>
    <t>~19</t>
  </si>
  <si>
    <t>Northwest Africa 12697</t>
  </si>
  <si>
    <t>;12695</t>
  </si>
  <si>
    <t>020</t>
  </si>
  <si>
    <t>046</t>
  </si>
  <si>
    <r>
      <rPr>
        <vertAlign val="superscript"/>
        <sz val="11"/>
        <color rgb="FF000000"/>
        <rFont val="Lucida Sans Unicode"/>
        <family val="2"/>
      </rPr>
      <t>2</t>
    </r>
    <r>
      <rPr>
        <sz val="11"/>
        <color rgb="FF000000"/>
        <rFont val="Lucida Sans Unicode"/>
        <family val="2"/>
      </rPr>
      <t> 265.6 kg of rocks &gt;1 cm in size (</t>
    </r>
    <r>
      <rPr>
        <i/>
        <sz val="11"/>
        <color rgb="FF000000"/>
        <rFont val="Lucida Sans Unicode"/>
        <family val="2"/>
      </rPr>
      <t>Lunar Sourcebook</t>
    </r>
    <r>
      <rPr>
        <sz val="11"/>
        <color rgb="FF000000"/>
        <rFont val="Lucida Sans Unicode"/>
        <family val="2"/>
      </rPr>
      <t>, Table 2.2).</t>
    </r>
  </si>
  <si>
    <t>;12760</t>
  </si>
  <si>
    <t>Dominion Range (DOM)</t>
  </si>
  <si>
    <t>18262</t>
  </si>
  <si>
    <t>18509</t>
  </si>
  <si>
    <t>18543</t>
  </si>
  <si>
    <t>18666</t>
  </si>
  <si>
    <t>18678</t>
  </si>
  <si>
    <t>;12691</t>
  </si>
  <si>
    <t>Northwest Africa 12826</t>
  </si>
  <si>
    <t>Northwest Africa 12870</t>
  </si>
  <si>
    <t>Northwest Africa 12830</t>
  </si>
  <si>
    <t>Swayyah</t>
  </si>
  <si>
    <t>Meteorite</t>
  </si>
  <si>
    <t>012</t>
  </si>
  <si>
    <t>A81005</t>
  </si>
  <si>
    <t>881757</t>
  </si>
  <si>
    <t>017</t>
  </si>
  <si>
    <t>12007</t>
  </si>
  <si>
    <t>06157</t>
  </si>
  <si>
    <t>02007</t>
  </si>
  <si>
    <t>;12630</t>
  </si>
  <si>
    <t>Northwest Africa 12831</t>
  </si>
  <si>
    <t>Niger</t>
  </si>
  <si>
    <t>diabase</t>
  </si>
  <si>
    <t>Northwest Africa 12839</t>
  </si>
  <si>
    <t>Sueilila</t>
  </si>
  <si>
    <t>Northwest Africa 2402/ 7611/ 8277/ 10480/ 10566</t>
  </si>
  <si>
    <t>Northwest Africa 10495/ Sueilila 005</t>
  </si>
  <si>
    <t>~5</t>
  </si>
  <si>
    <t>Northwest Africa 2420</t>
  </si>
  <si>
    <t>Northwest Africa 12909</t>
  </si>
  <si>
    <t>Northwest Africa 12952</t>
  </si>
  <si>
    <t>047</t>
  </si>
  <si>
    <t>;12966</t>
  </si>
  <si>
    <t>Northwest Africa 12971</t>
  </si>
  <si>
    <t>Northwest Africa 12980</t>
  </si>
  <si>
    <t>Northwest Africa 12985</t>
  </si>
  <si>
    <t>;13120</t>
  </si>
  <si>
    <t>Northwest Africa 13138</t>
  </si>
  <si>
    <t>polymict breccia</t>
  </si>
  <si>
    <t>Prepared by:</t>
  </si>
  <si>
    <r>
      <rPr>
        <i/>
        <u/>
        <sz val="11"/>
        <color rgb="FF0000FF"/>
        <rFont val="Lucida Sans Unicode"/>
        <family val="2"/>
      </rPr>
      <t>Lunar Sourcebook</t>
    </r>
    <r>
      <rPr>
        <u/>
        <sz val="11"/>
        <color rgb="FF0000FF"/>
        <rFont val="Lucida Sans Unicode"/>
        <family val="2"/>
      </rPr>
      <t xml:space="preserve"> (1991) G. H. Heiken, D. T. Vaniman, and B. M. French, eds., Cambridge University Press</t>
    </r>
  </si>
  <si>
    <t>last update:</t>
  </si>
  <si>
    <t>2012-2019</t>
  </si>
  <si>
    <t>;13101</t>
  </si>
  <si>
    <t>Northwest Africa 13036</t>
  </si>
  <si>
    <t>Northwest Africa 13112</t>
  </si>
  <si>
    <t>Northwest Africa 13119</t>
  </si>
  <si>
    <t>18242</t>
  </si>
  <si>
    <t>18244</t>
  </si>
  <si>
    <t>Northwest Africa 13185</t>
  </si>
  <si>
    <t>Northwest Africa 13191</t>
  </si>
  <si>
    <t>Northwest Africa 12592/ 12593</t>
  </si>
  <si>
    <t>Algeria &amp; Mali</t>
  </si>
  <si>
    <t>Northwest Africa 13216</t>
  </si>
  <si>
    <t>Northwest Africa 13225</t>
  </si>
  <si>
    <t>Northwest Africa 13256</t>
  </si>
  <si>
    <t>Northwest Africa 13259</t>
  </si>
  <si>
    <t>~4.6</t>
  </si>
  <si>
    <t>Some Meteorite Information</t>
  </si>
  <si>
    <t>Identifying Meteorites</t>
  </si>
  <si>
    <t>Northwest Africa 8046/ 10309/ 10461/ 10609/ 10643/ 10649/ 10756/ 10822/ 10901/ 11029/ 11266/ 11269/ 11273/ 11303/ 11379/ 11428/ 11460/ 11479/ 11515/ 12691/ 12760/</t>
  </si>
  <si>
    <t>Tisserlitine</t>
  </si>
  <si>
    <t>Northwest Africa 13306</t>
  </si>
  <si>
    <t>06638</t>
  </si>
  <si>
    <t>090070</t>
  </si>
  <si>
    <t>090075</t>
  </si>
  <si>
    <t>Northwest Africa 13346</t>
  </si>
  <si>
    <t>Ghadduwah 001</t>
  </si>
  <si>
    <t>Ghadduwah</t>
  </si>
  <si>
    <t>anorthosite</t>
  </si>
  <si>
    <t>Northwest Africa 13408</t>
  </si>
  <si>
    <t>~2.8</t>
  </si>
  <si>
    <t>low</t>
  </si>
  <si>
    <t>2014-2020</t>
  </si>
  <si>
    <t>;13426</t>
  </si>
  <si>
    <t>014</t>
  </si>
  <si>
    <t>Northeast Africa 014</t>
  </si>
  <si>
    <t>Dhofar 1627/ 1980/ 2101</t>
  </si>
  <si>
    <t>Touat</t>
  </si>
  <si>
    <t>Northwest Africa 13283</t>
  </si>
  <si>
    <t>Touat 004</t>
  </si>
  <si>
    <t>Northwest Africa 13478</t>
  </si>
  <si>
    <t>Northwest Africa 13450</t>
  </si>
  <si>
    <t>Northwest Africa 10678/ [unnamed 131]</t>
  </si>
  <si>
    <t>Northwest Africa 11223/ 11809</t>
  </si>
  <si>
    <t>2017/ 2018</t>
  </si>
  <si>
    <t>Northwest Africa 13484</t>
  </si>
  <si>
    <t>Touat 005</t>
  </si>
  <si>
    <t>Northwest Africa 13531</t>
  </si>
  <si>
    <t>Northwest Africa 13582</t>
  </si>
  <si>
    <t>~3.7</t>
  </si>
  <si>
    <t>Northwest Africa 13568</t>
  </si>
  <si>
    <t>Tisserlitine 001/ Northwest Africa 13621</t>
  </si>
  <si>
    <t>2019-20</t>
  </si>
  <si>
    <t>2015-2020</t>
  </si>
  <si>
    <t>Tata</t>
  </si>
  <si>
    <t>Northwest Africa 13546</t>
  </si>
  <si>
    <t>Northwest Africa 13625</t>
  </si>
  <si>
    <t>Tata 001</t>
  </si>
  <si>
    <t>Northwest Africa 13638</t>
  </si>
  <si>
    <t>Swayyah 003</t>
  </si>
  <si>
    <t>Northwest Africa 13715</t>
  </si>
  <si>
    <t>Northwest Africa 13714</t>
  </si>
  <si>
    <t>Northwest Africa 13717</t>
  </si>
  <si>
    <t>Northwest Africa 8673/ 8733/ 8746/ 10048/ 10065/ 10123/ 10902/ 10964/ 11110/ 11193/ 11216/ 11228/ 11788/ 13637 [unnamed 109]</t>
  </si>
  <si>
    <t>Northwest Africa 13785</t>
  </si>
  <si>
    <t>Northwest Africa 13788</t>
  </si>
  <si>
    <t>;13390</t>
  </si>
  <si>
    <t>;13739</t>
  </si>
  <si>
    <t>fragmental breccia with large clasts of basalt and  gabbro</t>
  </si>
  <si>
    <t>2014-16</t>
  </si>
  <si>
    <t>~8</t>
  </si>
  <si>
    <t>monomict breccia</t>
  </si>
  <si>
    <r>
      <rPr>
        <vertAlign val="superscript"/>
        <sz val="11"/>
        <color rgb="FF000000"/>
        <rFont val="Lucida Sans Unicode"/>
        <family val="2"/>
      </rPr>
      <t>1</t>
    </r>
    <r>
      <rPr>
        <sz val="11"/>
        <color rgb="FF000000"/>
        <rFont val="Lucida Sans Unicode"/>
        <family val="2"/>
      </rPr>
      <t xml:space="preserve"> It is not always possible to identify the type of breccia from the small sections used to classify many on these meteorites and different petrologists don't always agree on the classification. Some of these classifications might be in error. </t>
    </r>
    <r>
      <rPr>
        <i/>
        <sz val="11"/>
        <color rgb="FF000000"/>
        <rFont val="Lucida Sans Unicode"/>
        <family val="2"/>
      </rPr>
      <t>Impact-melt breccia</t>
    </r>
    <r>
      <rPr>
        <sz val="11"/>
        <color rgb="FF000000"/>
        <rFont val="Lucida Sans Unicode"/>
        <family val="2"/>
      </rPr>
      <t xml:space="preserve"> implies a fine-grained matrix that crystallized from a melt. Only meteorites in which "glass spheres" or "glass beads" occur are listed as </t>
    </r>
    <r>
      <rPr>
        <i/>
        <sz val="11"/>
        <color rgb="FF000000"/>
        <rFont val="Lucida Sans Unicode"/>
        <family val="2"/>
      </rPr>
      <t>regolith breccias</t>
    </r>
    <r>
      <rPr>
        <sz val="11"/>
        <color rgb="FF000000"/>
        <rFont val="Lucida Sans Unicode"/>
        <family val="2"/>
      </rPr>
      <t xml:space="preserve">. All </t>
    </r>
    <r>
      <rPr>
        <i/>
        <sz val="11"/>
        <color rgb="FF000000"/>
        <rFont val="Lucida Sans Unicode"/>
        <family val="2"/>
      </rPr>
      <t>polymict breccias</t>
    </r>
    <r>
      <rPr>
        <sz val="11"/>
        <color rgb="FF000000"/>
        <rFont val="Lucida Sans Unicode"/>
        <family val="2"/>
      </rPr>
      <t xml:space="preserve"> are likely to be fragmental, regolith, glassy, or impact-melt breccias with more detailed study. </t>
    </r>
  </si>
  <si>
    <r>
      <t xml:space="preserve">The list contains only those meteorites that have been announced in the Meteoritical Bulletin Database, described elsewhere in the scientific literature, or that I've studied myself and know to be of lunar origin. Names and numbers in </t>
    </r>
    <r>
      <rPr>
        <b/>
        <sz val="15"/>
        <color rgb="FF000000"/>
        <rFont val="Lucida Sans Unicode"/>
        <family val="2"/>
      </rPr>
      <t>bold</t>
    </r>
    <r>
      <rPr>
        <sz val="15"/>
        <color rgb="FF000000"/>
        <rFont val="Lucida Sans Unicode"/>
        <family val="2"/>
      </rPr>
      <t xml:space="preserve"> represent the only or lowest-numbered stone of a presumed pair group. </t>
    </r>
  </si>
  <si>
    <r>
      <rPr>
        <b/>
        <sz val="16"/>
        <color rgb="FFFFFFFF"/>
        <rFont val="Lucida Sans Unicode"/>
        <family val="2"/>
      </rPr>
      <t>less feldspathic (anorthositic norite and troctolite) breccias</t>
    </r>
    <r>
      <rPr>
        <b/>
        <sz val="10"/>
        <color rgb="FFFFFFFF"/>
        <rFont val="Lucida Sans Unicode"/>
        <family val="2"/>
      </rPr>
      <t xml:space="preserve">
perhaps with some mare basalt</t>
    </r>
  </si>
  <si>
    <t>Northwest Africa 13779</t>
  </si>
  <si>
    <t>Northwest Africa 13837</t>
  </si>
  <si>
    <t>granular igneous rock</t>
  </si>
  <si>
    <t>Ghardaïa</t>
  </si>
  <si>
    <t>Northwest Africa 13859</t>
  </si>
  <si>
    <t>Northwest Africa 13907</t>
  </si>
  <si>
    <t>Northwest Africa 13916</t>
  </si>
  <si>
    <t>Tichiya 003</t>
  </si>
  <si>
    <t>Northwest Africa 4472/ 4485/ 11962</t>
  </si>
  <si>
    <t>2006, 2013</t>
  </si>
  <si>
    <t>Northwest Africa 13930</t>
  </si>
  <si>
    <t>Northwest Africa 13942</t>
  </si>
  <si>
    <t>Northwest Africa 13951</t>
  </si>
  <si>
    <t>Northwest Africa 13957</t>
  </si>
  <si>
    <t>01210</t>
  </si>
  <si>
    <t>Gadamis</t>
  </si>
  <si>
    <t>Northwest Africa 13937</t>
  </si>
  <si>
    <t>Northwest Africa 13974</t>
  </si>
  <si>
    <t>Northwest Africa 13979</t>
  </si>
  <si>
    <t>Northwest Africa 13989</t>
  </si>
  <si>
    <t>Northwest Africa 13992</t>
  </si>
  <si>
    <t>Northwest Africa 14005</t>
  </si>
  <si>
    <t>2013/2020</t>
  </si>
  <si>
    <t>Northwest Africa 13964</t>
  </si>
  <si>
    <t>Northwest Africa 14035</t>
  </si>
  <si>
    <t>Northwest Africa 14041</t>
  </si>
  <si>
    <t>Northwest Africa 14050</t>
  </si>
  <si>
    <t>Northwest Africa 13967</t>
  </si>
  <si>
    <t>Northwest Africa 14012</t>
  </si>
  <si>
    <t>Northwest Africa 14019</t>
  </si>
  <si>
    <r>
      <t xml:space="preserve">Northwest Africa </t>
    </r>
    <r>
      <rPr>
        <b/>
        <sz val="10"/>
        <color rgb="FF000000"/>
        <rFont val="Lucida Sans Unicode"/>
        <family val="2"/>
      </rPr>
      <t>10141</t>
    </r>
    <r>
      <rPr>
        <sz val="10"/>
        <color rgb="FF000000"/>
        <rFont val="Lucida Sans Unicode"/>
        <family val="2"/>
      </rPr>
      <t>/ 10142/ 10415/ 11111</t>
    </r>
  </si>
  <si>
    <t>gabbro/basalt</t>
  </si>
  <si>
    <t>2018/ 2019</t>
  </si>
  <si>
    <t>Swayyah 001/ 004</t>
  </si>
  <si>
    <t>Northwest Africa 14088</t>
  </si>
  <si>
    <t>Northwest Africa 5744/ 8599/ 8687/ 10140/ 10178/ 10318/ 10401/ 11252/ 12997?/ 14088?/ [unnamed 55]/ [unnamed 60]/ [unnamed 68]</t>
  </si>
  <si>
    <t>troctolitic anorthosite</t>
  </si>
  <si>
    <t>Northwest Africa 14063/ 14064</t>
  </si>
  <si>
    <t>I have not analyzed samples of the following meteorites but from the descriptions they are all possible pairs to NWA 8046</t>
  </si>
  <si>
    <t>Northwest Africa 10509/ 10798/ 10986/ La'gad 003</t>
  </si>
  <si>
    <t>Northwest Africa 14137</t>
  </si>
  <si>
    <t>Ramlat Fasad</t>
  </si>
  <si>
    <t>532</t>
  </si>
  <si>
    <t>Dhofar 2122</t>
  </si>
  <si>
    <t>Northwest Africa 14071</t>
  </si>
  <si>
    <t>Northwest Africa 14140</t>
  </si>
  <si>
    <t>Northwest Africa 14134</t>
  </si>
  <si>
    <t>Northwest Africa 14178</t>
  </si>
  <si>
    <t>Northwest Africa 14202</t>
  </si>
  <si>
    <t>Hassi Touil</t>
  </si>
  <si>
    <t>Hassi Touil 001</t>
  </si>
  <si>
    <t>;14340</t>
  </si>
  <si>
    <t>Northwest Africa 14258</t>
  </si>
  <si>
    <t>Northwest Africa 14280</t>
  </si>
  <si>
    <t>Northwest Africa 14341</t>
  </si>
  <si>
    <t>Ouargla</t>
  </si>
  <si>
    <t>Northwest Africa 13892</t>
  </si>
  <si>
    <t>Northwest Africa 14338</t>
  </si>
  <si>
    <t>Northwest Africa 14358</t>
  </si>
  <si>
    <t>D</t>
  </si>
  <si>
    <t>Northwest Africa 13896</t>
  </si>
  <si>
    <t>Northwest Africa 13899</t>
  </si>
  <si>
    <t>high?</t>
  </si>
  <si>
    <t>See also alternate list in alphanumeric order.</t>
  </si>
  <si>
    <t>Northwest Africa 14323</t>
  </si>
  <si>
    <t>Northwest Africa 14446</t>
  </si>
  <si>
    <t>Northwest Africa 12765</t>
  </si>
  <si>
    <t>Northwest Africa 14372</t>
  </si>
  <si>
    <t>Northwest Africa 14415</t>
  </si>
  <si>
    <t>Northwest Africa 14523</t>
  </si>
  <si>
    <t>Northwest Africa 14524</t>
  </si>
  <si>
    <t xml:space="preserve"> basalt</t>
  </si>
  <si>
    <t xml:space="preserve"> basalt with minor glassy breccia</t>
  </si>
  <si>
    <t xml:space="preserve"> basalt with minor regolith breccia</t>
  </si>
  <si>
    <t xml:space="preserve"> basalt or gabbro</t>
  </si>
  <si>
    <t>Issaouane-n-Irrararene 001</t>
  </si>
  <si>
    <t>Northwest Africa 14576</t>
  </si>
  <si>
    <t>Northwest Africa 14577</t>
  </si>
  <si>
    <t>Northwest Africa 14594</t>
  </si>
  <si>
    <t>Choum</t>
  </si>
  <si>
    <t>Choum 001</t>
  </si>
  <si>
    <t>Northwest Africa 14531/ 14532</t>
  </si>
  <si>
    <t>Northwest Africa 14540</t>
  </si>
  <si>
    <t>Laâyoune</t>
  </si>
  <si>
    <t>Northwest Africa 14527</t>
  </si>
  <si>
    <t>Northwest Africa 14687</t>
  </si>
  <si>
    <t>Northwest Africa 14703</t>
  </si>
  <si>
    <t>Northwest Africa 14704</t>
  </si>
  <si>
    <t>Northwest Africa 14705</t>
  </si>
  <si>
    <t>Northwest Africa 14706</t>
  </si>
  <si>
    <t>Northwest Africa 14727</t>
  </si>
  <si>
    <t>Northwest Africa 14729</t>
  </si>
  <si>
    <t>Northwest Africa 14747</t>
  </si>
  <si>
    <t>Northwest Africa 14769</t>
  </si>
  <si>
    <t>Northwest Africa 14730/ 14731</t>
  </si>
  <si>
    <t>Northwest Africa 14755/ 14761</t>
  </si>
  <si>
    <t>Northwest Africa 14657</t>
  </si>
  <si>
    <t>Istifane</t>
  </si>
  <si>
    <t>Northwest Africa 14798</t>
  </si>
  <si>
    <t>Northwest Africa 14908</t>
  </si>
  <si>
    <t>with other possibles</t>
  </si>
  <si>
    <t>Northwest Africa 14188</t>
  </si>
  <si>
    <t>Northwest Africa 14695</t>
  </si>
  <si>
    <t>Northwest Africa 14884</t>
  </si>
  <si>
    <t>Northwest Africa 14900</t>
  </si>
  <si>
    <t>Northwest Africa 14905</t>
  </si>
  <si>
    <t>Northwest Africa 14836</t>
  </si>
  <si>
    <t>J column</t>
  </si>
  <si>
    <t>Northwest Africa 14685/ 14686</t>
  </si>
  <si>
    <t>Istifane 007</t>
  </si>
  <si>
    <t xml:space="preserve">Northwest Africa 8046 probable pairs: 2425/ 11331/ 11407/ 11421/ 11444/ 11517/ 11532/ 11695/ 11787/ 11789, 11898, 11966, 11968, 12630, 12695, 12966, 13101, 13120, 13390, 13426, 13739, 14340 </t>
  </si>
  <si>
    <t>Northwest Africa 8046 more possible pairs (below)</t>
  </si>
  <si>
    <t>Qued Mya</t>
  </si>
  <si>
    <t>Qued Mya 004</t>
  </si>
  <si>
    <t>Northwest Africa 14969</t>
  </si>
  <si>
    <t>Northwest Africa 14977</t>
  </si>
  <si>
    <t>019</t>
  </si>
  <si>
    <t>Bechar</t>
  </si>
  <si>
    <t>Aridal 019</t>
  </si>
  <si>
    <t>Northwest Africa 14741</t>
  </si>
  <si>
    <t>Northwest Africa 15052</t>
  </si>
  <si>
    <t>Northwest Africa 15069</t>
  </si>
  <si>
    <t>Rafsa</t>
  </si>
  <si>
    <t>Rafsa 002</t>
  </si>
  <si>
    <t>Northwest Africa 15018</t>
  </si>
  <si>
    <t>Northwest Africa 15051</t>
  </si>
  <si>
    <t>Northwest Africa 15099</t>
  </si>
  <si>
    <t>El Milhas</t>
  </si>
  <si>
    <t>Northwest Africa 15026</t>
  </si>
  <si>
    <t>El Milhas 001</t>
  </si>
  <si>
    <t>Tifariti 002</t>
  </si>
  <si>
    <t>Northwest Africa 10073/ 15216</t>
  </si>
  <si>
    <t>18545</t>
  </si>
  <si>
    <t xml:space="preserve">Dominion Range 18242/ 18244/  18262/ 18509/ 18543/ 18545/ 18666/ 18678 </t>
  </si>
  <si>
    <t>El Hareicha (EH)</t>
  </si>
  <si>
    <t>El Hareicha 001</t>
  </si>
  <si>
    <t>El Milhas 002</t>
  </si>
  <si>
    <t>The following meteorites have not been chemically analyzed so I do not know whether or not they are paired with others in the list. I suspect that several are.</t>
  </si>
  <si>
    <t>Northwest Africa 14681</t>
  </si>
  <si>
    <t>Northwest Africa 15286</t>
  </si>
  <si>
    <t>Northwest Africa 15288</t>
  </si>
  <si>
    <t>Northwest Africa 15172/ 15173</t>
  </si>
  <si>
    <t>melt breccia</t>
  </si>
  <si>
    <t>Northwest Africa 15300</t>
  </si>
  <si>
    <t>Northwest Africa 15348</t>
  </si>
  <si>
    <t>Northwest Africa 15349</t>
  </si>
  <si>
    <t>Agator el Feroua (AeF)</t>
  </si>
  <si>
    <t>Grove Mountains (GRV)</t>
  </si>
  <si>
    <t>Issaouane-n-Irrararene (InI)</t>
  </si>
  <si>
    <t>Agator el Feroua 001</t>
  </si>
  <si>
    <t>2020-2022</t>
  </si>
  <si>
    <t>Grove Mountains 150357</t>
  </si>
  <si>
    <t>Northwest Africa 15312</t>
  </si>
  <si>
    <t>Northwest Africa 15368</t>
  </si>
  <si>
    <t>Northwest Africa 15373</t>
  </si>
  <si>
    <t>Northwest Africa 15375</t>
  </si>
  <si>
    <t>Northwest Africa 15377</t>
  </si>
  <si>
    <t>Northwest Africa 15343</t>
  </si>
  <si>
    <t>Northwest Africa 15367</t>
  </si>
  <si>
    <t>Northwest Africa 15374</t>
  </si>
  <si>
    <t>Northwest Africa 15431</t>
  </si>
  <si>
    <t>Northwest Africa 15433</t>
  </si>
  <si>
    <t>Northwest Africa 13676/ 13757/ 13908/ 15352</t>
  </si>
  <si>
    <t>Northwest Africa 15432</t>
  </si>
  <si>
    <t>Northwest Africa 15483</t>
  </si>
  <si>
    <t>dimict breccia</t>
  </si>
  <si>
    <t>Northwest Africa 15500</t>
  </si>
  <si>
    <t>Northwest Africa 15528</t>
  </si>
  <si>
    <t>Grizim</t>
  </si>
  <si>
    <t>Grizim 002</t>
  </si>
  <si>
    <t>Hassi el Biod</t>
  </si>
  <si>
    <t>Aridal 020</t>
  </si>
  <si>
    <t>Northwest Africa 15169</t>
  </si>
  <si>
    <t>Northwest Africa 15583</t>
  </si>
  <si>
    <t>Northwest Africa 773/ 2700/ 2727/ 2977/ 3160/ 3170 / 3333/ 6950/ 7007/ 8127/ 10656/ 10985/ 11616/ 11703/ 11767/ 15644/ Anoual/</t>
  </si>
  <si>
    <t>2000-2022</t>
  </si>
  <si>
    <t>Northwest Africa 15655</t>
  </si>
  <si>
    <t>2021-2022</t>
  </si>
  <si>
    <t>Northwest Africa 15714</t>
  </si>
  <si>
    <t>Northwest Africa 15612</t>
  </si>
  <si>
    <t>Northwest Africa 15603</t>
  </si>
  <si>
    <t>Northwest Africa 15604</t>
  </si>
  <si>
    <t>Northwest Africa 15605</t>
  </si>
  <si>
    <t>Northwest Africa 15482</t>
  </si>
  <si>
    <t>Northwest Africa 12788</t>
  </si>
  <si>
    <t>Northwest Africa 12789</t>
  </si>
  <si>
    <t>Northwest Africa 12790</t>
  </si>
  <si>
    <t>Algeria/Mauritania</t>
  </si>
  <si>
    <t>(monomict?) breccia</t>
  </si>
  <si>
    <t>Northwest Africa 15062/ 15063</t>
  </si>
  <si>
    <t>010</t>
  </si>
  <si>
    <t>Arguin</t>
  </si>
  <si>
    <t>Adrar</t>
  </si>
  <si>
    <t>Adrar 012</t>
  </si>
  <si>
    <t>Arguin 002</t>
  </si>
  <si>
    <t>norite, unbrecciated</t>
  </si>
  <si>
    <t>Northwest Africa 15192</t>
  </si>
  <si>
    <t>Northwest Africa 15686</t>
  </si>
  <si>
    <t>Northwest Africa 15782</t>
  </si>
  <si>
    <t>Northwest Africa 15800</t>
  </si>
  <si>
    <t>~7%</t>
  </si>
  <si>
    <t>011</t>
  </si>
  <si>
    <t>Northwest Africa 15533</t>
  </si>
  <si>
    <t>Northwest Africa 15806</t>
  </si>
  <si>
    <t>Ramlat Fasad 600</t>
  </si>
  <si>
    <t>Northwest Africa 15945</t>
  </si>
  <si>
    <t>Northwest Africa 15952</t>
  </si>
  <si>
    <t>Northwest Africa 15963</t>
  </si>
  <si>
    <t>basalt</t>
  </si>
  <si>
    <t>Tiris</t>
  </si>
  <si>
    <t>Tiris 001</t>
  </si>
  <si>
    <t>Al ’Aweinat</t>
  </si>
  <si>
    <t>039</t>
  </si>
  <si>
    <t xml:space="preserve">Al ’Aweinat </t>
  </si>
  <si>
    <t>Northeast Africa 039</t>
  </si>
  <si>
    <t>Northwest Africa 15807</t>
  </si>
  <si>
    <t>Northwest Africa 16095</t>
  </si>
  <si>
    <t>Northwest Africa 16106</t>
  </si>
  <si>
    <t>Jiddat al Harasis 1118</t>
  </si>
  <si>
    <t>Northwest Africa 15954</t>
  </si>
  <si>
    <t>Northwest Africa 15859</t>
  </si>
  <si>
    <t>Northwest Africa 16132</t>
  </si>
  <si>
    <t>Northwest Africa 16134</t>
  </si>
  <si>
    <t>Northwest Africa 16173</t>
  </si>
  <si>
    <t>Erg Atouila</t>
  </si>
  <si>
    <t>Erg Atouila 005</t>
  </si>
  <si>
    <t>Laâyoune 002/ 003</t>
  </si>
  <si>
    <t>Northwest Africa 16002</t>
  </si>
  <si>
    <t>Northwest Africa 16008</t>
  </si>
  <si>
    <t>Northwest Africa 16200</t>
  </si>
  <si>
    <t>Northwest Africa 16238</t>
  </si>
  <si>
    <t>Touat 008</t>
  </si>
  <si>
    <t>Bir Moghrein (BiM)</t>
  </si>
  <si>
    <t>042</t>
  </si>
  <si>
    <t>Bir Moghrein 003</t>
  </si>
  <si>
    <t>Northeast Africa 042</t>
  </si>
  <si>
    <t>Northwest Africa 16267</t>
  </si>
  <si>
    <t>Northwest Africa 16278</t>
  </si>
  <si>
    <t>Northwest Africa 16282</t>
  </si>
  <si>
    <t>Northwest Africa 16283</t>
  </si>
  <si>
    <t>Northwest Africa 16292</t>
  </si>
  <si>
    <t>Northwest Africa 16294</t>
  </si>
  <si>
    <t>Northwest Africa 16189</t>
  </si>
  <si>
    <t>Ajdabiya</t>
  </si>
  <si>
    <t>Ajdabiya 001</t>
  </si>
  <si>
    <t>fragmental to melt breccia</t>
  </si>
  <si>
    <t>melt or granulitic breccia</t>
  </si>
  <si>
    <t>regolith to melt breccia</t>
  </si>
  <si>
    <t>granulitic to melt breccia</t>
  </si>
  <si>
    <t>fragmental breccia dominated by one large melt-breccia clast</t>
  </si>
  <si>
    <t>polymict breccia dominated by 1 large clast of melt breccia</t>
  </si>
  <si>
    <t>regolith breccia with large melt breccia clast</t>
  </si>
  <si>
    <t>melt rock</t>
  </si>
  <si>
    <t>Northwest Africa 16277</t>
  </si>
  <si>
    <t>Northwest Africa 16286</t>
  </si>
  <si>
    <t>Northwest Africa 16349</t>
  </si>
  <si>
    <t>basalt/gabbro breccia</t>
  </si>
  <si>
    <t>Northwest Africa 16366</t>
  </si>
  <si>
    <t>Northwest Africa 16400</t>
  </si>
  <si>
    <t>Northwest Africa 15059</t>
  </si>
  <si>
    <t>013</t>
  </si>
  <si>
    <t>Adrar 013/ 014</t>
  </si>
  <si>
    <t>Northwest Africa 16460</t>
  </si>
  <si>
    <t>Northwest Africa 16484</t>
  </si>
  <si>
    <t>Pakepake 005</t>
  </si>
  <si>
    <t>China</t>
  </si>
  <si>
    <t>Pakepake</t>
  </si>
  <si>
    <t>Northwest Africa 16372</t>
  </si>
  <si>
    <t>Northwest Africa 16507</t>
  </si>
  <si>
    <t>Aridal 017/ Northwest Africa 10608</t>
  </si>
  <si>
    <t>Ghardaïa 001/ 002</t>
  </si>
  <si>
    <t>Northwest Africa 15629</t>
  </si>
  <si>
    <t>Northwest Africa 16530</t>
  </si>
  <si>
    <t>Northwest Africa 16531</t>
  </si>
  <si>
    <t>Northwest Africa 16535</t>
  </si>
  <si>
    <t>Bechar 003/ 006/ 007/ 009/ 010/ 011/ 012/ 013</t>
  </si>
  <si>
    <t>Bir Ounane</t>
  </si>
  <si>
    <t>Bir Ounane 005</t>
  </si>
  <si>
    <t>Northwest Africa 16469/ 16470/ 16471</t>
  </si>
  <si>
    <t>How Do We Know That It Is a Rock from the Moon?</t>
  </si>
  <si>
    <t>Department of Earth, Environmental, and Planetary Sciences</t>
  </si>
  <si>
    <t>Randy L. Korotev, retired</t>
  </si>
  <si>
    <t>Northwest Africa 16520</t>
  </si>
  <si>
    <t>Northwest Africa 16625</t>
  </si>
  <si>
    <t>Northwest Africa 16626</t>
  </si>
  <si>
    <t>Northwest Africa 16657</t>
  </si>
  <si>
    <t>Northwest Africa 16684</t>
  </si>
  <si>
    <t>El Milhas 007</t>
  </si>
  <si>
    <t>anorthositic troctolite</t>
  </si>
  <si>
    <t>Hassi el Biod 004/ 005</t>
  </si>
  <si>
    <t>2022-2023</t>
  </si>
  <si>
    <t>Northwest Africa 16716</t>
  </si>
  <si>
    <t>Northwest Africa 16727</t>
  </si>
  <si>
    <t>Northwest Africa 16683</t>
  </si>
  <si>
    <t>Northwest Africa 16690</t>
  </si>
  <si>
    <t>Ramlat Fasad 532/ 535</t>
  </si>
  <si>
    <t>Aguelt Mahba</t>
  </si>
  <si>
    <t>Northwest Africa 16256</t>
  </si>
  <si>
    <t>gabbro</t>
  </si>
  <si>
    <t>Hassi Zerara</t>
  </si>
  <si>
    <t>Northwest Africa 16761</t>
  </si>
  <si>
    <t>Hassi Zerara 001</t>
  </si>
  <si>
    <t>~18</t>
  </si>
  <si>
    <t>Dayet el Aam 003</t>
  </si>
  <si>
    <t>Northwest Africa 16784</t>
  </si>
  <si>
    <t>063</t>
  </si>
  <si>
    <t>Northeast Africa 063</t>
  </si>
  <si>
    <t>~7</t>
  </si>
  <si>
    <t>Northwest Africa 16557</t>
  </si>
  <si>
    <t>Northwest Africa 16660</t>
  </si>
  <si>
    <t>Al Qaryah al Sharqiyah (AQS)</t>
  </si>
  <si>
    <t>Aguelt Mahba 001/ 002</t>
  </si>
  <si>
    <t>Northwest Africa 16760</t>
  </si>
  <si>
    <t>Northwest Africa 16882</t>
  </si>
  <si>
    <t>Reggane</t>
  </si>
  <si>
    <t>Northwest Africa 16717</t>
  </si>
  <si>
    <t>Northwest Africa 16720</t>
  </si>
  <si>
    <t>Northwest Africa 16914</t>
  </si>
  <si>
    <t>Northwest Africa 16974</t>
  </si>
  <si>
    <t>x</t>
  </si>
  <si>
    <t>Reggane 007</t>
  </si>
  <si>
    <t>Oued El Hamim (OEH)</t>
  </si>
  <si>
    <t>Northwest Africa 16315</t>
  </si>
  <si>
    <t>Northwest Africa 16894</t>
  </si>
  <si>
    <t>Oued El Hamim 001</t>
  </si>
  <si>
    <t>150357</t>
  </si>
  <si>
    <t>Northwest Africa 16888</t>
  </si>
  <si>
    <t>Northwest Africa 16881</t>
  </si>
  <si>
    <t>Northwest Africa 17060</t>
  </si>
  <si>
    <t>Northwest Africa 17061</t>
  </si>
  <si>
    <t>Northwest Africa 17209</t>
  </si>
  <si>
    <t>Northwest Africa 17217</t>
  </si>
  <si>
    <t>051</t>
  </si>
  <si>
    <t>Lahmada 020/ 046/ 047/ 051</t>
  </si>
  <si>
    <t>075</t>
  </si>
  <si>
    <t>Northeast Africa 075</t>
  </si>
  <si>
    <t>Northwest Africa 17241</t>
  </si>
  <si>
    <t>Northwest Africa 17294</t>
  </si>
  <si>
    <t>Northwest Africa 16718</t>
  </si>
  <si>
    <t>Northwest Africa 17295</t>
  </si>
  <si>
    <t>Northwest Africa 17351</t>
  </si>
  <si>
    <t>Northwest Africa 14526/ 14992/ 17021</t>
  </si>
  <si>
    <t>Tin-Essako</t>
  </si>
  <si>
    <t>Tifariti (TE)</t>
  </si>
  <si>
    <t>Northwest Africa 17307</t>
  </si>
  <si>
    <t>Tin-Essako 004</t>
  </si>
  <si>
    <t>076</t>
  </si>
  <si>
    <t>078</t>
  </si>
  <si>
    <t>079</t>
  </si>
  <si>
    <t>Northwest Africa 17352/ 17353/ 17502</t>
  </si>
  <si>
    <t>Northeast Africa 076</t>
  </si>
  <si>
    <t>Northeast Africa 078</t>
  </si>
  <si>
    <t>Northeast Africa 079</t>
  </si>
  <si>
    <t>Northwest Africa 17270</t>
  </si>
  <si>
    <t>Northwest Africa 17271</t>
  </si>
  <si>
    <t>Northwest Africa 17276</t>
  </si>
  <si>
    <t>Tisserlitine 003/ 005/ 006</t>
  </si>
  <si>
    <t>Northwest Africa 17405</t>
  </si>
  <si>
    <t>Hassi el Biod 006</t>
  </si>
  <si>
    <t>granuliic breccia</t>
  </si>
  <si>
    <t>Northwest Africa 17355</t>
  </si>
  <si>
    <t>Aridal 022</t>
  </si>
  <si>
    <t>Northwest Africa 17586</t>
  </si>
  <si>
    <t>Northwest Africa 17587</t>
  </si>
  <si>
    <t>022</t>
  </si>
  <si>
    <t>Gadamis 002/ 003/ 004/ 005/ 006/ 008</t>
  </si>
  <si>
    <t>Hassi Zerara 004</t>
  </si>
  <si>
    <t>Northwest Africa 17471</t>
  </si>
  <si>
    <t>Northwest Africa 17581</t>
  </si>
  <si>
    <t>Ajdabiya 007</t>
  </si>
  <si>
    <t>Araouane</t>
  </si>
  <si>
    <t>Araouane 001</t>
  </si>
  <si>
    <t>Northwest Africa 17679</t>
  </si>
  <si>
    <t>2024, 2025</t>
  </si>
  <si>
    <t>Al Qaryah al Sharqiyah 001/ 002</t>
  </si>
  <si>
    <t>Guemar</t>
  </si>
  <si>
    <t>Guemar 002</t>
  </si>
  <si>
    <t>Northwest Africa 17716</t>
  </si>
  <si>
    <t>Northwest Africa 17721</t>
  </si>
  <si>
    <t>Northwest Africa 17747</t>
  </si>
  <si>
    <t>Timétrine 001</t>
  </si>
  <si>
    <t>Touat 011</t>
  </si>
  <si>
    <t>Ouargla 004/ 007</t>
  </si>
  <si>
    <t>Northwest Africa 17859</t>
  </si>
  <si>
    <t>Northwest Africa 17869</t>
  </si>
  <si>
    <t>Ash Shaqqah</t>
  </si>
  <si>
    <t>Ash Shaqqah 002</t>
  </si>
  <si>
    <t>Northeast Africa 104</t>
  </si>
  <si>
    <t>Northwest Africa 17687</t>
  </si>
  <si>
    <t>Northwest Africa 17688</t>
  </si>
  <si>
    <t>Northwest Africa 17689</t>
  </si>
  <si>
    <t>Northwest Africa 17302</t>
  </si>
  <si>
    <t>Northwest Africa 17313</t>
  </si>
  <si>
    <t>Northwest Africa 17497</t>
  </si>
  <si>
    <t>024</t>
  </si>
  <si>
    <t>El Atchane</t>
  </si>
  <si>
    <t>Adrar 017</t>
  </si>
  <si>
    <t>El Atchane 024</t>
  </si>
  <si>
    <t>Northwest Africa 17651</t>
  </si>
  <si>
    <t>Northwest Africa 17680</t>
  </si>
  <si>
    <t>Northwest Africa 17700</t>
  </si>
  <si>
    <t>Northwest Africa 17706</t>
  </si>
  <si>
    <t>Northwest Africa 17826</t>
  </si>
  <si>
    <t>Northwest Africa 17861</t>
  </si>
  <si>
    <t>Northwest Africa 17865</t>
  </si>
  <si>
    <t>Ouargla 008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</si>
</sst>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5" formatCode="&quot;$&quot;#,##0_);\(&quot;$&quot;#,##0\)"/>
    <numFmt numFmtId="7" formatCode="&quot;$&quot;#,##0.00_);\(&quot;$&quot;#,##0.00\)"/>
    <numFmt numFmtId="44" formatCode="_(&quot;$&quot;* #,##0.00_);_(&quot;$&quot;* \(#,##0.00\);_(&quot;$&quot;* &quot;-&quot;??_);_(@_)"/>
    <numFmt numFmtId="164" formatCode="0.0"/>
    <numFmt numFmtId="165" formatCode="[$-409]mmmm\ d\,\ yyyy;@"/>
    <numFmt numFmtId="166" formatCode="0.000"/>
    <numFmt numFmtId="167" formatCode="0.0000"/>
    <numFmt numFmtId="168" formatCode="0.0%"/>
    <numFmt numFmtId="169" formatCode="#,##0.000"/>
  </numFmts>
  <fonts count="105" x14ac:knownFonts="1">
    <font>
      <sz val="11"/>
      <color rgb="FF000000"/>
      <name val="Calibri"/>
      <family val="2"/>
    </font>
    <font>
      <sz val="11"/>
      <color theme="1"/>
      <name val="Calibri"/>
      <family val="2"/>
    </font>
    <font>
      <sz val="11"/>
      <color theme="1"/>
      <name val="Calibri"/>
      <family val="2"/>
    </font>
    <font>
      <b/>
      <sz val="18"/>
      <color theme="3"/>
      <name val="Cambria"/>
      <family val="2"/>
      <scheme val="major"/>
    </font>
    <font>
      <b/>
      <sz val="15"/>
      <color theme="3"/>
      <name val="Calibri"/>
      <family val="2"/>
    </font>
    <font>
      <b/>
      <sz val="13"/>
      <color theme="3"/>
      <name val="Calibri"/>
      <family val="2"/>
    </font>
    <font>
      <b/>
      <sz val="11"/>
      <color theme="3"/>
      <name val="Calibri"/>
      <family val="2"/>
    </font>
    <font>
      <sz val="11"/>
      <color rgb="FF006100"/>
      <name val="Calibri"/>
      <family val="2"/>
    </font>
    <font>
      <sz val="11"/>
      <color rgb="FF9C0006"/>
      <name val="Calibri"/>
      <family val="2"/>
    </font>
    <font>
      <sz val="11"/>
      <color rgb="FF9C6500"/>
      <name val="Calibri"/>
      <family val="2"/>
    </font>
    <font>
      <sz val="11"/>
      <color rgb="FF3F3F76"/>
      <name val="Calibri"/>
      <family val="2"/>
    </font>
    <font>
      <b/>
      <sz val="11"/>
      <color rgb="FF3F3F3F"/>
      <name val="Calibri"/>
      <family val="2"/>
    </font>
    <font>
      <b/>
      <sz val="11"/>
      <color rgb="FFFA7D00"/>
      <name val="Calibri"/>
      <family val="2"/>
    </font>
    <font>
      <sz val="11"/>
      <color rgb="FFFA7D00"/>
      <name val="Calibri"/>
      <family val="2"/>
    </font>
    <font>
      <b/>
      <sz val="11"/>
      <color theme="0"/>
      <name val="Calibri"/>
      <family val="2"/>
    </font>
    <font>
      <sz val="11"/>
      <color rgb="FFFF0000"/>
      <name val="Calibri"/>
      <family val="2"/>
    </font>
    <font>
      <i/>
      <sz val="11"/>
      <color rgb="FF7F7F7F"/>
      <name val="Calibri"/>
      <family val="2"/>
    </font>
    <font>
      <b/>
      <sz val="11"/>
      <color theme="1"/>
      <name val="Calibri"/>
      <family val="2"/>
    </font>
    <font>
      <sz val="11"/>
      <color theme="0"/>
      <name val="Calibri"/>
      <family val="2"/>
    </font>
    <font>
      <u/>
      <sz val="11"/>
      <color rgb="FF0000FF"/>
      <name val="Calibri"/>
      <family val="2"/>
    </font>
    <font>
      <u/>
      <sz val="11"/>
      <color rgb="FF800080"/>
      <name val="Calibri"/>
      <family val="2"/>
    </font>
    <font>
      <sz val="11"/>
      <color rgb="FF000000"/>
      <name val="Lucida Sans Unicode"/>
      <family val="2"/>
    </font>
    <font>
      <i/>
      <sz val="11"/>
      <color rgb="FF000000"/>
      <name val="Lucida Sans Unicode"/>
      <family val="2"/>
    </font>
    <font>
      <sz val="12"/>
      <color rgb="FF000099"/>
      <name val="Lucida Sans Unicode"/>
      <family val="2"/>
    </font>
    <font>
      <sz val="10"/>
      <color rgb="FF000000"/>
      <name val="Lucida Sans Unicode"/>
      <family val="2"/>
    </font>
    <font>
      <u/>
      <sz val="10"/>
      <color rgb="FF0000FF"/>
      <name val="Lucida Sans Unicode"/>
      <family val="2"/>
    </font>
    <font>
      <i/>
      <sz val="10"/>
      <color rgb="FF000000"/>
      <name val="Lucida Sans Unicode"/>
      <family val="2"/>
    </font>
    <font>
      <u/>
      <sz val="11"/>
      <color rgb="FF0000FF"/>
      <name val="Lucida Sans Unicode"/>
      <family val="2"/>
    </font>
    <font>
      <sz val="15"/>
      <color rgb="FF000000"/>
      <name val="Lucida Sans Unicode"/>
      <family val="2"/>
    </font>
    <font>
      <u/>
      <sz val="14"/>
      <color rgb="FF0000FF"/>
      <name val="Lucida Sans Unicode"/>
      <family val="2"/>
    </font>
    <font>
      <sz val="9"/>
      <color rgb="FF000000"/>
      <name val="Lucida Sans Unicode"/>
      <family val="2"/>
    </font>
    <font>
      <b/>
      <sz val="16"/>
      <color rgb="FFFFFFFF"/>
      <name val="Lucida Sans Unicode"/>
      <family val="2"/>
    </font>
    <font>
      <b/>
      <sz val="10"/>
      <color rgb="FFFFFFFF"/>
      <name val="Lucida Sans Unicode"/>
      <family val="2"/>
    </font>
    <font>
      <b/>
      <sz val="12"/>
      <color rgb="FFFFFFFF"/>
      <name val="Lucida Sans Unicode"/>
      <family val="2"/>
    </font>
    <font>
      <b/>
      <i/>
      <sz val="10"/>
      <color rgb="FF000099"/>
      <name val="Lucida Sans Unicode"/>
      <family val="2"/>
    </font>
    <font>
      <b/>
      <sz val="10"/>
      <color rgb="FF000099"/>
      <name val="Lucida Sans Unicode"/>
      <family val="2"/>
    </font>
    <font>
      <b/>
      <sz val="11"/>
      <color theme="0"/>
      <name val="Lucida Sans Unicode"/>
      <family val="2"/>
    </font>
    <font>
      <b/>
      <sz val="10"/>
      <color rgb="FF000000"/>
      <name val="Lucida Sans Unicode"/>
      <family val="2"/>
    </font>
    <font>
      <u/>
      <sz val="11"/>
      <color theme="10"/>
      <name val="Calibri"/>
      <family val="2"/>
    </font>
    <font>
      <b/>
      <sz val="15"/>
      <color rgb="FF000000"/>
      <name val="Lucida Sans Unicode"/>
      <family val="2"/>
    </font>
    <font>
      <b/>
      <sz val="14"/>
      <color theme="1"/>
      <name val="Lucida Sans Unicode"/>
      <family val="2"/>
    </font>
    <font>
      <sz val="10"/>
      <name val="Arial Narrow"/>
      <family val="2"/>
    </font>
    <font>
      <sz val="10"/>
      <name val="Arial Narrow"/>
      <family val="2"/>
    </font>
    <font>
      <sz val="12"/>
      <name val="Arial"/>
      <family val="2"/>
    </font>
    <font>
      <sz val="12"/>
      <name val="Arial Rounded MT Bold"/>
      <family val="2"/>
    </font>
    <font>
      <sz val="12"/>
      <color indexed="13"/>
      <name val="Arial Black"/>
      <family val="2"/>
    </font>
    <font>
      <b/>
      <sz val="10"/>
      <name val="Arial"/>
      <family val="2"/>
    </font>
    <font>
      <u/>
      <sz val="10"/>
      <color indexed="12"/>
      <name val="Arial Narrow"/>
      <family val="2"/>
    </font>
    <font>
      <sz val="10"/>
      <name val="Arial"/>
      <family val="2"/>
    </font>
    <font>
      <sz val="10"/>
      <color indexed="13"/>
      <name val="Arial Black"/>
      <family val="2"/>
    </font>
    <font>
      <sz val="11"/>
      <color indexed="8"/>
      <name val="Calibri"/>
      <family val="2"/>
    </font>
    <font>
      <sz val="11"/>
      <color indexed="9"/>
      <name val="Calibri"/>
      <family val="2"/>
    </font>
    <font>
      <sz val="11"/>
      <color indexed="24"/>
      <name val="Calibri"/>
      <family val="2"/>
    </font>
    <font>
      <b/>
      <sz val="11"/>
      <color indexed="25"/>
      <name val="Calibri"/>
      <family val="2"/>
    </font>
    <font>
      <b/>
      <sz val="11"/>
      <color indexed="9"/>
      <name val="Calibri"/>
      <family val="2"/>
    </font>
    <font>
      <i/>
      <sz val="11"/>
      <color indexed="55"/>
      <name val="Calibri"/>
      <family val="2"/>
    </font>
    <font>
      <sz val="11"/>
      <color indexed="34"/>
      <name val="Calibri"/>
      <family val="2"/>
    </font>
    <font>
      <b/>
      <sz val="15"/>
      <color indexed="33"/>
      <name val="Calibri"/>
      <family val="2"/>
    </font>
    <font>
      <b/>
      <sz val="13"/>
      <color indexed="33"/>
      <name val="Calibri"/>
      <family val="2"/>
    </font>
    <font>
      <b/>
      <sz val="11"/>
      <color indexed="33"/>
      <name val="Calibri"/>
      <family val="2"/>
    </font>
    <font>
      <sz val="11"/>
      <color indexed="63"/>
      <name val="Calibri"/>
      <family val="2"/>
    </font>
    <font>
      <sz val="11"/>
      <color indexed="25"/>
      <name val="Calibri"/>
      <family val="2"/>
    </font>
    <font>
      <sz val="11"/>
      <color indexed="37"/>
      <name val="Calibri"/>
      <family val="2"/>
    </font>
    <font>
      <b/>
      <sz val="11"/>
      <color indexed="63"/>
      <name val="Calibri"/>
      <family val="2"/>
    </font>
    <font>
      <b/>
      <sz val="18"/>
      <color indexed="33"/>
      <name val="Cambria"/>
      <family val="2"/>
    </font>
    <font>
      <b/>
      <sz val="11"/>
      <color indexed="8"/>
      <name val="Calibri"/>
      <family val="2"/>
    </font>
    <font>
      <sz val="11"/>
      <color indexed="10"/>
      <name val="Calibri"/>
      <family val="2"/>
    </font>
    <font>
      <sz val="8"/>
      <name val="Arial"/>
      <family val="2"/>
    </font>
    <font>
      <sz val="11"/>
      <color theme="1"/>
      <name val="Calibri"/>
      <family val="2"/>
      <scheme val="minor"/>
    </font>
    <font>
      <sz val="10"/>
      <name val="Courier New"/>
      <family val="3"/>
    </font>
    <font>
      <b/>
      <sz val="10"/>
      <color indexed="13"/>
      <name val="Arial"/>
      <family val="2"/>
    </font>
    <font>
      <sz val="10"/>
      <color indexed="18"/>
      <name val="Arial"/>
      <family val="2"/>
    </font>
    <font>
      <b/>
      <sz val="10"/>
      <color indexed="25"/>
      <name val="Arial"/>
      <family val="2"/>
    </font>
    <font>
      <sz val="11"/>
      <color rgb="FF000000"/>
      <name val="Calibri"/>
      <family val="2"/>
    </font>
    <font>
      <b/>
      <u/>
      <sz val="10"/>
      <color rgb="FF0000FF"/>
      <name val="Lucida Sans Unicode"/>
      <family val="2"/>
    </font>
    <font>
      <b/>
      <sz val="12"/>
      <color rgb="FFA50021"/>
      <name val="Lucida Sans Unicode"/>
      <family val="2"/>
    </font>
    <font>
      <sz val="9"/>
      <color rgb="FFA50021"/>
      <name val="Lucida Sans Unicode"/>
      <family val="2"/>
    </font>
    <font>
      <sz val="9"/>
      <color theme="1"/>
      <name val="Lucida Sans Unicode"/>
      <family val="2"/>
    </font>
    <font>
      <b/>
      <sz val="28"/>
      <color rgb="FFA50021"/>
      <name val="Lucida Sans Unicode"/>
      <family val="2"/>
    </font>
    <font>
      <sz val="11"/>
      <color rgb="FFA50021"/>
      <name val="Lucida Sans Unicode"/>
      <family val="2"/>
    </font>
    <font>
      <sz val="11"/>
      <color theme="1"/>
      <name val="Lucida Sans Unicode"/>
      <family val="2"/>
    </font>
    <font>
      <b/>
      <sz val="14"/>
      <color rgb="FFA50021"/>
      <name val="Lucida Sans Unicode"/>
      <family val="2"/>
    </font>
    <font>
      <b/>
      <sz val="28"/>
      <color rgb="FFFFFFFF"/>
      <name val="Lucida Sans Unicode"/>
      <family val="2"/>
    </font>
    <font>
      <sz val="12"/>
      <color rgb="FFFFFFFF"/>
      <name val="Lucida Sans Unicode"/>
      <family val="2"/>
    </font>
    <font>
      <b/>
      <sz val="10"/>
      <color theme="0" tint="-0.14999847407452621"/>
      <name val="Lucida Sans Unicode"/>
      <family val="2"/>
    </font>
    <font>
      <sz val="10"/>
      <color theme="0" tint="-0.14999847407452621"/>
      <name val="Lucida Sans Unicode"/>
      <family val="2"/>
    </font>
    <font>
      <b/>
      <vertAlign val="superscript"/>
      <sz val="10"/>
      <color rgb="FF000099"/>
      <name val="Lucida Sans Unicode"/>
      <family val="2"/>
    </font>
    <font>
      <vertAlign val="superscript"/>
      <sz val="11"/>
      <color rgb="FF000000"/>
      <name val="Lucida Sans Unicode"/>
      <family val="2"/>
    </font>
    <font>
      <b/>
      <vertAlign val="superscript"/>
      <sz val="10"/>
      <color rgb="FF000000"/>
      <name val="Lucida Sans Unicode"/>
      <family val="2"/>
    </font>
    <font>
      <i/>
      <u/>
      <sz val="11"/>
      <color rgb="FF0000FF"/>
      <name val="Lucida Sans Unicode"/>
      <family val="2"/>
    </font>
    <font>
      <sz val="9"/>
      <color indexed="81"/>
      <name val="Tahoma"/>
      <family val="2"/>
    </font>
    <font>
      <b/>
      <sz val="9"/>
      <color indexed="81"/>
      <name val="Tahoma"/>
      <family val="2"/>
    </font>
    <font>
      <b/>
      <sz val="10"/>
      <color rgb="FFA50021"/>
      <name val="Lucida Sans Unicode"/>
      <family val="2"/>
    </font>
    <font>
      <sz val="10"/>
      <color rgb="FFA50021"/>
      <name val="Lucida Sans Unicode"/>
      <family val="2"/>
    </font>
    <font>
      <sz val="10"/>
      <color rgb="FF0000FF"/>
      <name val="Lucida Sans Unicode"/>
      <family val="2"/>
    </font>
    <font>
      <sz val="11"/>
      <color rgb="FF0000FF"/>
      <name val="Lucida Sans Unicode"/>
      <family val="2"/>
    </font>
    <font>
      <u/>
      <sz val="10"/>
      <name val="Lucida Sans Unicode"/>
      <family val="2"/>
    </font>
    <font>
      <b/>
      <sz val="10"/>
      <color theme="0"/>
      <name val="Lucida Sans Unicode"/>
      <family val="2"/>
    </font>
    <font>
      <sz val="10"/>
      <name val="Lucida Sans Unicode"/>
      <family val="2"/>
    </font>
    <font>
      <sz val="10"/>
      <color theme="1"/>
      <name val="Symbol"/>
      <family val="1"/>
      <charset val="2"/>
    </font>
    <font>
      <b/>
      <sz val="28"/>
      <color rgb="FFA50021"/>
      <name val="Georgia"/>
      <family val="1"/>
    </font>
    <font>
      <i/>
      <sz val="10"/>
      <color rgb="FF0000FF"/>
      <name val="Lucida Sans Unicode"/>
      <family val="2"/>
    </font>
    <font>
      <b/>
      <sz val="10"/>
      <color theme="0"/>
      <name val="Calibri"/>
      <family val="2"/>
      <scheme val="minor"/>
    </font>
    <font>
      <b/>
      <u/>
      <sz val="10"/>
      <color rgb="FF0000FF"/>
      <name val="Lucida Sans"/>
      <family val="2"/>
    </font>
    <font>
      <sz val="8"/>
      <name val="Calibri"/>
      <family val="2"/>
    </font>
  </fonts>
  <fills count="92">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2F2F2"/>
        <bgColor rgb="FF000000"/>
      </patternFill>
    </fill>
    <fill>
      <patternFill patternType="solid">
        <fgColor rgb="FF993333"/>
        <bgColor rgb="FF000000"/>
      </patternFill>
    </fill>
    <fill>
      <patternFill patternType="solid">
        <fgColor rgb="FFFFC6AA"/>
        <bgColor rgb="FF000000"/>
      </patternFill>
    </fill>
    <fill>
      <patternFill patternType="solid">
        <fgColor rgb="FFB7F0FF"/>
        <bgColor rgb="FF000000"/>
      </patternFill>
    </fill>
    <fill>
      <patternFill patternType="solid">
        <fgColor rgb="FFFFCC00"/>
        <bgColor rgb="FF000000"/>
      </patternFill>
    </fill>
    <fill>
      <patternFill patternType="solid">
        <fgColor rgb="FF17375D"/>
        <bgColor rgb="FF000000"/>
      </patternFill>
    </fill>
    <fill>
      <patternFill patternType="solid">
        <fgColor rgb="FF376091"/>
        <bgColor rgb="FF000000"/>
      </patternFill>
    </fill>
    <fill>
      <patternFill patternType="solid">
        <fgColor rgb="FFEAF4FF"/>
        <bgColor rgb="FF000000"/>
      </patternFill>
    </fill>
    <fill>
      <patternFill patternType="solid">
        <fgColor rgb="FFC6FFE2"/>
        <bgColor rgb="FF000000"/>
      </patternFill>
    </fill>
    <fill>
      <patternFill patternType="solid">
        <fgColor rgb="FFFFEDAE"/>
        <bgColor rgb="FF000000"/>
      </patternFill>
    </fill>
    <fill>
      <patternFill patternType="solid">
        <fgColor theme="0" tint="-0.14999847407452621"/>
        <bgColor rgb="FF000000"/>
      </patternFill>
    </fill>
    <fill>
      <patternFill patternType="solid">
        <fgColor theme="0" tint="-4.9989318521683403E-2"/>
        <bgColor indexed="64"/>
      </patternFill>
    </fill>
    <fill>
      <patternFill patternType="solid">
        <fgColor rgb="FFFF9999"/>
        <bgColor rgb="FF000000"/>
      </patternFill>
    </fill>
    <fill>
      <patternFill patternType="solid">
        <fgColor rgb="FFCCCCFF"/>
        <bgColor rgb="FF000000"/>
      </patternFill>
    </fill>
    <fill>
      <patternFill patternType="solid">
        <fgColor rgb="FFA50021"/>
        <bgColor rgb="FF000000"/>
      </patternFill>
    </fill>
    <fill>
      <patternFill patternType="solid">
        <fgColor rgb="FFFFFF00"/>
        <bgColor rgb="FF000000"/>
      </patternFill>
    </fill>
    <fill>
      <patternFill patternType="solid">
        <fgColor theme="0"/>
        <bgColor rgb="FF000000"/>
      </patternFill>
    </fill>
    <fill>
      <patternFill patternType="solid">
        <fgColor rgb="FFFFFF00"/>
        <bgColor indexed="64"/>
      </patternFill>
    </fill>
    <fill>
      <patternFill patternType="solid">
        <fgColor indexed="60"/>
      </patternFill>
    </fill>
    <fill>
      <patternFill patternType="solid">
        <fgColor indexed="43"/>
      </patternFill>
    </fill>
    <fill>
      <patternFill patternType="gray0625">
        <fgColor indexed="10"/>
      </patternFill>
    </fill>
    <fill>
      <patternFill patternType="solid">
        <fgColor indexed="12"/>
        <bgColor indexed="64"/>
      </patternFill>
    </fill>
    <fill>
      <patternFill patternType="solid">
        <fgColor indexed="41"/>
        <bgColor indexed="64"/>
      </patternFill>
    </fill>
    <fill>
      <patternFill patternType="solid">
        <fgColor indexed="11"/>
        <bgColor indexed="64"/>
      </patternFill>
    </fill>
    <fill>
      <patternFill patternType="solid">
        <fgColor indexed="29"/>
        <bgColor indexed="64"/>
      </patternFill>
    </fill>
    <fill>
      <patternFill patternType="solid">
        <fgColor indexed="9"/>
        <bgColor indexed="64"/>
      </patternFill>
    </fill>
    <fill>
      <patternFill patternType="solid">
        <fgColor indexed="43"/>
        <bgColor indexed="64"/>
      </patternFill>
    </fill>
    <fill>
      <patternFill patternType="darkTrellis">
        <fgColor indexed="13"/>
      </patternFill>
    </fill>
    <fill>
      <patternFill patternType="solid">
        <fgColor indexed="54"/>
      </patternFill>
    </fill>
    <fill>
      <patternFill patternType="solid">
        <fgColor indexed="10"/>
      </patternFill>
    </fill>
    <fill>
      <patternFill patternType="solid">
        <fgColor theme="9" tint="0.59999389629810485"/>
        <bgColor indexed="64"/>
      </patternFill>
    </fill>
    <fill>
      <patternFill patternType="solid">
        <fgColor rgb="FF92D050"/>
        <bgColor indexed="64"/>
      </patternFill>
    </fill>
    <fill>
      <patternFill patternType="solid">
        <fgColor indexed="44"/>
      </patternFill>
    </fill>
    <fill>
      <patternFill patternType="solid">
        <fgColor indexed="18"/>
      </patternFill>
    </fill>
    <fill>
      <patternFill patternType="solid">
        <fgColor indexed="62"/>
      </patternFill>
    </fill>
    <fill>
      <patternFill patternType="solid">
        <fgColor indexed="17"/>
      </patternFill>
    </fill>
    <fill>
      <patternFill patternType="solid">
        <fgColor indexed="45"/>
      </patternFill>
    </fill>
    <fill>
      <patternFill patternType="solid">
        <fgColor indexed="55"/>
      </patternFill>
    </fill>
    <fill>
      <patternFill patternType="solid">
        <fgColor indexed="61"/>
      </patternFill>
    </fill>
    <fill>
      <patternFill patternType="solid">
        <fgColor indexed="15"/>
      </patternFill>
    </fill>
    <fill>
      <patternFill patternType="solid">
        <fgColor indexed="52"/>
      </patternFill>
    </fill>
    <fill>
      <patternFill patternType="gray0625">
        <fgColor indexed="15"/>
      </patternFill>
    </fill>
    <fill>
      <patternFill patternType="solid">
        <fgColor indexed="39"/>
      </patternFill>
    </fill>
    <fill>
      <patternFill patternType="solid">
        <fgColor indexed="21"/>
      </patternFill>
    </fill>
    <fill>
      <patternFill patternType="darkTrellis">
        <fgColor indexed="11"/>
        <bgColor indexed="25"/>
      </patternFill>
    </fill>
    <fill>
      <patternFill patternType="gray0625">
        <fgColor indexed="10"/>
        <bgColor indexed="25"/>
      </patternFill>
    </fill>
    <fill>
      <patternFill patternType="darkTrellis">
        <fgColor indexed="13"/>
        <bgColor indexed="25"/>
      </patternFill>
    </fill>
    <fill>
      <patternFill patternType="solid">
        <fgColor rgb="FF92D050"/>
        <bgColor rgb="FF000000"/>
      </patternFill>
    </fill>
    <fill>
      <patternFill patternType="solid">
        <fgColor rgb="FF99CCFF"/>
        <bgColor rgb="FF000000"/>
      </patternFill>
    </fill>
    <fill>
      <patternFill patternType="solid">
        <fgColor rgb="FFFFFEC5"/>
        <bgColor indexed="64"/>
      </patternFill>
    </fill>
    <fill>
      <patternFill patternType="solid">
        <fgColor theme="9" tint="0.39997558519241921"/>
        <bgColor indexed="64"/>
      </patternFill>
    </fill>
    <fill>
      <patternFill patternType="solid">
        <fgColor rgb="FFCCFFFF"/>
        <bgColor rgb="FF000000"/>
      </patternFill>
    </fill>
    <fill>
      <patternFill patternType="solid">
        <fgColor theme="5" tint="0.59999389629810485"/>
        <bgColor indexed="64"/>
      </patternFill>
    </fill>
    <fill>
      <patternFill patternType="solid">
        <fgColor rgb="FFFFC000"/>
        <bgColor indexed="64"/>
      </patternFill>
    </fill>
    <fill>
      <patternFill patternType="solid">
        <fgColor rgb="FFC00000"/>
        <bgColor indexed="64"/>
      </patternFill>
    </fill>
    <fill>
      <patternFill patternType="solid">
        <fgColor theme="0" tint="-0.249977111117893"/>
        <bgColor rgb="FF000000"/>
      </patternFill>
    </fill>
    <fill>
      <patternFill patternType="solid">
        <fgColor rgb="FFFF99FF"/>
        <bgColor indexed="64"/>
      </patternFill>
    </fill>
    <fill>
      <patternFill patternType="solid">
        <fgColor rgb="FF66CCFF"/>
        <bgColor rgb="FF000000"/>
      </patternFill>
    </fill>
    <fill>
      <patternFill patternType="solid">
        <fgColor rgb="FF66FFCC"/>
        <bgColor rgb="FF000000"/>
      </patternFill>
    </fill>
  </fills>
  <borders count="47">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000000"/>
      </left>
      <right/>
      <top/>
      <bottom/>
      <diagonal/>
    </border>
    <border>
      <left/>
      <right/>
      <top style="thin">
        <color indexed="64"/>
      </top>
      <bottom/>
      <diagonal/>
    </border>
    <border>
      <left/>
      <right/>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ck">
        <color indexed="64"/>
      </top>
      <bottom/>
      <diagonal/>
    </border>
    <border>
      <left style="thin">
        <color indexed="55"/>
      </left>
      <right style="thin">
        <color indexed="55"/>
      </right>
      <top style="thin">
        <color indexed="55"/>
      </top>
      <bottom style="thin">
        <color indexed="55"/>
      </bottom>
      <diagonal/>
    </border>
    <border>
      <left style="double">
        <color indexed="63"/>
      </left>
      <right style="double">
        <color indexed="63"/>
      </right>
      <top style="double">
        <color indexed="63"/>
      </top>
      <bottom style="double">
        <color indexed="63"/>
      </bottom>
      <diagonal/>
    </border>
    <border>
      <left/>
      <right/>
      <top/>
      <bottom style="thick">
        <color indexed="55"/>
      </bottom>
      <diagonal/>
    </border>
    <border>
      <left/>
      <right/>
      <top/>
      <bottom style="thick">
        <color indexed="44"/>
      </bottom>
      <diagonal/>
    </border>
    <border>
      <left/>
      <right/>
      <top/>
      <bottom style="medium">
        <color indexed="44"/>
      </bottom>
      <diagonal/>
    </border>
    <border>
      <left/>
      <right/>
      <top/>
      <bottom style="double">
        <color indexed="25"/>
      </bottom>
      <diagonal/>
    </border>
    <border>
      <left style="thin">
        <color indexed="39"/>
      </left>
      <right style="thin">
        <color indexed="39"/>
      </right>
      <top style="thin">
        <color indexed="39"/>
      </top>
      <bottom style="thin">
        <color indexed="39"/>
      </bottom>
      <diagonal/>
    </border>
    <border>
      <left style="thin">
        <color indexed="63"/>
      </left>
      <right style="thin">
        <color indexed="63"/>
      </right>
      <top style="thin">
        <color indexed="63"/>
      </top>
      <bottom style="thin">
        <color indexed="63"/>
      </bottom>
      <diagonal/>
    </border>
    <border>
      <left/>
      <right/>
      <top style="thin">
        <color indexed="55"/>
      </top>
      <bottom style="double">
        <color indexed="55"/>
      </bottom>
      <diagonal/>
    </border>
    <border>
      <left/>
      <right/>
      <top style="thick">
        <color indexed="8"/>
      </top>
      <bottom/>
      <diagonal/>
    </border>
    <border>
      <left style="thin">
        <color indexed="8"/>
      </left>
      <right style="thin">
        <color indexed="8"/>
      </right>
      <top style="thin">
        <color indexed="8"/>
      </top>
      <bottom style="thin">
        <color indexed="8"/>
      </bottom>
      <diagonal/>
    </border>
    <border>
      <left style="thin">
        <color indexed="64"/>
      </left>
      <right style="thin">
        <color indexed="64"/>
      </right>
      <top/>
      <bottom/>
      <diagonal/>
    </border>
  </borders>
  <cellStyleXfs count="46003">
    <xf numFmtId="0" fontId="0" fillId="0" borderId="0"/>
    <xf numFmtId="0" fontId="3" fillId="0" borderId="0" applyNumberFormat="0" applyFill="0" applyBorder="0" applyAlignment="0" applyProtection="0"/>
    <xf numFmtId="0" fontId="4" fillId="0" borderId="1" applyNumberFormat="0" applyFill="0" applyAlignment="0" applyProtection="0"/>
    <xf numFmtId="0" fontId="5" fillId="0" borderId="2" applyNumberFormat="0" applyFill="0" applyAlignment="0" applyProtection="0"/>
    <xf numFmtId="0" fontId="6" fillId="0" borderId="3" applyNumberFormat="0" applyFill="0" applyAlignment="0" applyProtection="0"/>
    <xf numFmtId="0" fontId="6" fillId="0" borderId="0" applyNumberFormat="0" applyFill="0" applyBorder="0" applyAlignment="0" applyProtection="0"/>
    <xf numFmtId="0" fontId="7" fillId="2" borderId="0" applyNumberFormat="0" applyBorder="0" applyAlignment="0" applyProtection="0"/>
    <xf numFmtId="0" fontId="8" fillId="3" borderId="0" applyNumberFormat="0" applyBorder="0" applyAlignment="0" applyProtection="0"/>
    <xf numFmtId="0" fontId="9" fillId="4" borderId="0" applyNumberFormat="0" applyBorder="0" applyAlignment="0" applyProtection="0"/>
    <xf numFmtId="0" fontId="10" fillId="5" borderId="4" applyNumberFormat="0" applyAlignment="0" applyProtection="0"/>
    <xf numFmtId="0" fontId="11" fillId="6" borderId="5" applyNumberFormat="0" applyAlignment="0" applyProtection="0"/>
    <xf numFmtId="0" fontId="12" fillId="6" borderId="4" applyNumberFormat="0" applyAlignment="0" applyProtection="0"/>
    <xf numFmtId="0" fontId="13" fillId="0" borderId="6" applyNumberFormat="0" applyFill="0" applyAlignment="0" applyProtection="0"/>
    <xf numFmtId="0" fontId="14" fillId="7" borderId="7" applyNumberFormat="0" applyAlignment="0" applyProtection="0"/>
    <xf numFmtId="0" fontId="15" fillId="0" borderId="0" applyNumberFormat="0" applyFill="0" applyBorder="0" applyAlignment="0" applyProtection="0"/>
    <xf numFmtId="0" fontId="2" fillId="8" borderId="8" applyNumberFormat="0" applyFont="0" applyAlignment="0" applyProtection="0"/>
    <xf numFmtId="0" fontId="16" fillId="0" borderId="0" applyNumberFormat="0" applyFill="0" applyBorder="0" applyAlignment="0" applyProtection="0"/>
    <xf numFmtId="0" fontId="17" fillId="0" borderId="9" applyNumberFormat="0" applyFill="0" applyAlignment="0" applyProtection="0"/>
    <xf numFmtId="0" fontId="18"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18" fillId="12" borderId="0" applyNumberFormat="0" applyBorder="0" applyAlignment="0" applyProtection="0"/>
    <xf numFmtId="0" fontId="18"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18" fillId="16" borderId="0" applyNumberFormat="0" applyBorder="0" applyAlignment="0" applyProtection="0"/>
    <xf numFmtId="0" fontId="18"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18" fillId="20" borderId="0" applyNumberFormat="0" applyBorder="0" applyAlignment="0" applyProtection="0"/>
    <xf numFmtId="0" fontId="18"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18" fillId="24" borderId="0" applyNumberFormat="0" applyBorder="0" applyAlignment="0" applyProtection="0"/>
    <xf numFmtId="0" fontId="18"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18" fillId="28" borderId="0" applyNumberFormat="0" applyBorder="0" applyAlignment="0" applyProtection="0"/>
    <xf numFmtId="0" fontId="18"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18" fillId="32" borderId="0" applyNumberFormat="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38" fillId="0" borderId="0" applyNumberFormat="0" applyFill="0" applyBorder="0" applyAlignment="0" applyProtection="0">
      <alignment vertical="top"/>
      <protection locked="0"/>
    </xf>
    <xf numFmtId="0" fontId="41" fillId="0" borderId="0"/>
    <xf numFmtId="0" fontId="44" fillId="0" borderId="0" applyNumberFormat="0" applyFill="0" applyBorder="0" applyAlignment="0" applyProtection="0"/>
    <xf numFmtId="0" fontId="48" fillId="53" borderId="34" applyNumberFormat="0" applyFont="0" applyBorder="0" applyAlignment="0" applyProtection="0"/>
    <xf numFmtId="44" fontId="42" fillId="0" borderId="0" applyFont="0" applyFill="0" applyBorder="0" applyAlignment="0" applyProtection="0"/>
    <xf numFmtId="1" fontId="43" fillId="0" borderId="0" applyFont="0" applyFill="0" applyBorder="0" applyAlignment="0" applyProtection="0"/>
    <xf numFmtId="164" fontId="43" fillId="0" borderId="0" applyFont="0" applyFill="0" applyBorder="0" applyAlignment="0" applyProtection="0"/>
    <xf numFmtId="2" fontId="43" fillId="0" borderId="0" applyFont="0" applyFill="0" applyBorder="0" applyAlignment="0" applyProtection="0"/>
    <xf numFmtId="166" fontId="43" fillId="0" borderId="0" applyFont="0" applyFill="0" applyBorder="0" applyAlignment="0" applyProtection="0"/>
    <xf numFmtId="167" fontId="43" fillId="0" borderId="0" applyFont="0" applyFill="0" applyBorder="0" applyAlignment="0" applyProtection="0"/>
    <xf numFmtId="0" fontId="48" fillId="0" borderId="0" applyFont="0" applyFill="0" applyBorder="0" applyAlignment="0" applyProtection="0">
      <alignment horizontal="right"/>
    </xf>
    <xf numFmtId="0" fontId="45" fillId="54" borderId="0" applyNumberFormat="0" applyBorder="0" applyProtection="0">
      <alignment vertical="center"/>
    </xf>
    <xf numFmtId="0" fontId="47" fillId="0" borderId="0" applyNumberFormat="0" applyFill="0" applyBorder="0" applyAlignment="0" applyProtection="0">
      <alignment vertical="top"/>
      <protection locked="0"/>
    </xf>
    <xf numFmtId="0" fontId="42" fillId="55" borderId="0" applyNumberFormat="0" applyFont="0" applyBorder="0" applyAlignment="0" applyProtection="0">
      <alignment vertical="center"/>
    </xf>
    <xf numFmtId="10" fontId="42" fillId="0" borderId="0" applyFont="0" applyFill="0" applyBorder="0" applyAlignment="0" applyProtection="0"/>
    <xf numFmtId="9" fontId="42" fillId="0" borderId="0" applyFont="0" applyFill="0" applyBorder="0" applyAlignment="0" applyProtection="0"/>
    <xf numFmtId="0" fontId="42" fillId="56" borderId="0" applyNumberFormat="0" applyFont="0" applyBorder="0" applyAlignment="0" applyProtection="0">
      <alignment vertical="center"/>
    </xf>
    <xf numFmtId="0" fontId="44" fillId="57" borderId="0" applyNumberFormat="0" applyFont="0" applyBorder="0" applyAlignment="0" applyProtection="0"/>
    <xf numFmtId="0" fontId="42" fillId="58" borderId="0" applyNumberFormat="0" applyFont="0" applyBorder="0" applyAlignment="0" applyProtection="0">
      <alignment vertical="center"/>
    </xf>
    <xf numFmtId="0" fontId="44" fillId="59" borderId="0" applyNumberFormat="0" applyFont="0" applyBorder="0" applyAlignment="0" applyProtection="0"/>
    <xf numFmtId="0" fontId="46" fillId="53" borderId="15" applyNumberFormat="0" applyFont="0" applyBorder="0" applyAlignment="0" applyProtection="0">
      <alignment horizontal="right"/>
    </xf>
    <xf numFmtId="0" fontId="48" fillId="60" borderId="0" applyNumberFormat="0" applyFont="0" applyBorder="0" applyAlignment="0" applyProtection="0">
      <alignment horizontal="right"/>
    </xf>
    <xf numFmtId="0" fontId="46" fillId="0" borderId="0" applyNumberFormat="0" applyFont="0" applyBorder="0" applyAlignment="0" applyProtection="0">
      <alignment horizontal="right"/>
    </xf>
    <xf numFmtId="0" fontId="46" fillId="0" borderId="0" applyNumberFormat="0" applyFont="0" applyBorder="0" applyAlignment="0" applyProtection="0"/>
    <xf numFmtId="0" fontId="42" fillId="0" borderId="0">
      <alignment vertical="center"/>
    </xf>
    <xf numFmtId="0" fontId="42" fillId="0" borderId="0">
      <alignment vertical="center"/>
    </xf>
    <xf numFmtId="0" fontId="48" fillId="53" borderId="34" applyNumberFormat="0" applyFont="0" applyBorder="0" applyAlignment="0" applyProtection="0"/>
    <xf numFmtId="1" fontId="43" fillId="0" borderId="0" applyFont="0" applyFill="0" applyBorder="0" applyAlignment="0" applyProtection="0"/>
    <xf numFmtId="164" fontId="43" fillId="0" borderId="0" applyFont="0" applyFill="0" applyBorder="0" applyAlignment="0" applyProtection="0"/>
    <xf numFmtId="2" fontId="43" fillId="0" borderId="0" applyFont="0" applyFill="0" applyBorder="0" applyAlignment="0" applyProtection="0"/>
    <xf numFmtId="166" fontId="43" fillId="0" borderId="0" applyFont="0" applyFill="0" applyBorder="0" applyAlignment="0" applyProtection="0"/>
    <xf numFmtId="167" fontId="43" fillId="0" borderId="0" applyFont="0" applyFill="0" applyBorder="0" applyAlignment="0" applyProtection="0"/>
    <xf numFmtId="0" fontId="49" fillId="54" borderId="0" applyNumberFormat="0" applyBorder="0" applyProtection="0">
      <alignment vertical="center"/>
    </xf>
    <xf numFmtId="10" fontId="42" fillId="0" borderId="0" applyFont="0" applyFill="0" applyBorder="0" applyAlignment="0" applyProtection="0"/>
    <xf numFmtId="9" fontId="42" fillId="0" borderId="0" applyFont="0" applyFill="0" applyBorder="0" applyAlignment="0" applyProtection="0"/>
    <xf numFmtId="0" fontId="42" fillId="56" borderId="0" applyNumberFormat="0" applyFont="0" applyBorder="0" applyAlignment="0" applyProtection="0">
      <alignment vertical="center"/>
    </xf>
    <xf numFmtId="0" fontId="42" fillId="0" borderId="0">
      <alignment vertical="center"/>
    </xf>
    <xf numFmtId="0" fontId="42" fillId="0" borderId="0">
      <alignment vertical="center"/>
    </xf>
    <xf numFmtId="0" fontId="48" fillId="53" borderId="34" applyNumberFormat="0" applyFont="0" applyBorder="0" applyAlignment="0" applyProtection="0"/>
    <xf numFmtId="0" fontId="42" fillId="0" borderId="0">
      <alignment vertical="center"/>
    </xf>
    <xf numFmtId="0" fontId="42" fillId="0" borderId="0">
      <alignment vertical="center"/>
    </xf>
    <xf numFmtId="0" fontId="42" fillId="0" borderId="0">
      <alignment vertical="center"/>
    </xf>
    <xf numFmtId="0" fontId="1" fillId="0" borderId="0"/>
    <xf numFmtId="0" fontId="42" fillId="0" borderId="0">
      <alignment vertical="center"/>
    </xf>
    <xf numFmtId="0" fontId="42" fillId="0" borderId="0">
      <alignment vertical="center"/>
    </xf>
    <xf numFmtId="0" fontId="50" fillId="65" borderId="0" applyNumberFormat="0" applyBorder="0" applyAlignment="0" applyProtection="0"/>
    <xf numFmtId="0" fontId="50" fillId="66" borderId="0" applyNumberFormat="0" applyBorder="0" applyAlignment="0" applyProtection="0"/>
    <xf numFmtId="0" fontId="50" fillId="67" borderId="0" applyNumberFormat="0" applyBorder="0" applyAlignment="0" applyProtection="0"/>
    <xf numFmtId="0" fontId="50" fillId="68" borderId="0" applyNumberFormat="0" applyBorder="0" applyAlignment="0" applyProtection="0"/>
    <xf numFmtId="0" fontId="50" fillId="65" borderId="0" applyNumberFormat="0" applyBorder="0" applyAlignment="0" applyProtection="0"/>
    <xf numFmtId="0" fontId="50" fillId="66" borderId="0" applyNumberFormat="0" applyBorder="0" applyAlignment="0" applyProtection="0"/>
    <xf numFmtId="0" fontId="50" fillId="65" borderId="0" applyNumberFormat="0" applyBorder="0" applyAlignment="0" applyProtection="0"/>
    <xf numFmtId="0" fontId="50" fillId="67" borderId="0" applyNumberFormat="0" applyBorder="0" applyAlignment="0" applyProtection="0"/>
    <xf numFmtId="0" fontId="50" fillId="67" borderId="0" applyNumberFormat="0" applyBorder="0" applyAlignment="0" applyProtection="0"/>
    <xf numFmtId="0" fontId="50" fillId="69" borderId="0" applyNumberFormat="0" applyBorder="0" applyAlignment="0" applyProtection="0"/>
    <xf numFmtId="0" fontId="50" fillId="65" borderId="0" applyNumberFormat="0" applyBorder="0" applyAlignment="0" applyProtection="0"/>
    <xf numFmtId="0" fontId="50" fillId="52" borderId="0" applyNumberFormat="0" applyBorder="0" applyAlignment="0" applyProtection="0"/>
    <xf numFmtId="0" fontId="51" fillId="65" borderId="0" applyNumberFormat="0" applyBorder="0" applyAlignment="0" applyProtection="0"/>
    <xf numFmtId="0" fontId="51" fillId="51" borderId="0" applyNumberFormat="0" applyBorder="0" applyAlignment="0" applyProtection="0"/>
    <xf numFmtId="0" fontId="51" fillId="67" borderId="0" applyNumberFormat="0" applyBorder="0" applyAlignment="0" applyProtection="0"/>
    <xf numFmtId="0" fontId="51" fillId="69" borderId="0" applyNumberFormat="0" applyBorder="0" applyAlignment="0" applyProtection="0"/>
    <xf numFmtId="0" fontId="51" fillId="65" borderId="0" applyNumberFormat="0" applyBorder="0" applyAlignment="0" applyProtection="0"/>
    <xf numFmtId="0" fontId="51" fillId="51" borderId="0" applyNumberFormat="0" applyBorder="0" applyAlignment="0" applyProtection="0"/>
    <xf numFmtId="0" fontId="51" fillId="70" borderId="0" applyNumberFormat="0" applyBorder="0" applyAlignment="0" applyProtection="0"/>
    <xf numFmtId="0" fontId="51" fillId="62" borderId="0" applyNumberFormat="0" applyBorder="0" applyAlignment="0" applyProtection="0"/>
    <xf numFmtId="0" fontId="51" fillId="67" borderId="0" applyNumberFormat="0" applyBorder="0" applyAlignment="0" applyProtection="0"/>
    <xf numFmtId="0" fontId="51" fillId="71" borderId="0" applyNumberFormat="0" applyBorder="0" applyAlignment="0" applyProtection="0"/>
    <xf numFmtId="0" fontId="51" fillId="72" borderId="0" applyNumberFormat="0" applyBorder="0" applyAlignment="0" applyProtection="0"/>
    <xf numFmtId="0" fontId="51" fillId="73" borderId="0" applyNumberFormat="0" applyBorder="0" applyAlignment="0" applyProtection="0"/>
    <xf numFmtId="0" fontId="52" fillId="61" borderId="0" applyNumberFormat="0" applyBorder="0" applyAlignment="0" applyProtection="0"/>
    <xf numFmtId="0" fontId="53" fillId="68" borderId="35" applyNumberFormat="0" applyAlignment="0" applyProtection="0"/>
    <xf numFmtId="0" fontId="67" fillId="74" borderId="34" applyNumberFormat="0" applyFont="0" applyBorder="0" applyAlignment="0" applyProtection="0"/>
    <xf numFmtId="0" fontId="54" fillId="75" borderId="36" applyNumberFormat="0" applyAlignment="0" applyProtection="0"/>
    <xf numFmtId="0" fontId="55" fillId="0" borderId="0" applyNumberFormat="0" applyFill="0" applyBorder="0" applyAlignment="0" applyProtection="0"/>
    <xf numFmtId="0" fontId="56" fillId="67" borderId="0" applyNumberFormat="0" applyBorder="0" applyAlignment="0" applyProtection="0"/>
    <xf numFmtId="0" fontId="57" fillId="0" borderId="37" applyNumberFormat="0" applyFill="0" applyAlignment="0" applyProtection="0"/>
    <xf numFmtId="0" fontId="58" fillId="0" borderId="38" applyNumberFormat="0" applyFill="0" applyAlignment="0" applyProtection="0"/>
    <xf numFmtId="0" fontId="59" fillId="0" borderId="39" applyNumberFormat="0" applyFill="0" applyAlignment="0" applyProtection="0"/>
    <xf numFmtId="0" fontId="59" fillId="0" borderId="0" applyNumberFormat="0" applyFill="0" applyBorder="0" applyAlignment="0" applyProtection="0"/>
    <xf numFmtId="0" fontId="60" fillId="52" borderId="35" applyNumberFormat="0" applyAlignment="0" applyProtection="0"/>
    <xf numFmtId="0" fontId="61" fillId="0" borderId="40" applyNumberFormat="0" applyFill="0" applyAlignment="0" applyProtection="0"/>
    <xf numFmtId="0" fontId="62" fillId="52" borderId="0" applyNumberFormat="0" applyBorder="0" applyAlignment="0" applyProtection="0"/>
    <xf numFmtId="0" fontId="42" fillId="76" borderId="41" applyNumberFormat="0" applyFont="0" applyAlignment="0" applyProtection="0"/>
    <xf numFmtId="0" fontId="63" fillId="68" borderId="42" applyNumberFormat="0" applyAlignment="0" applyProtection="0"/>
    <xf numFmtId="0" fontId="64" fillId="0" borderId="0" applyNumberFormat="0" applyFill="0" applyBorder="0" applyAlignment="0" applyProtection="0"/>
    <xf numFmtId="0" fontId="65" fillId="0" borderId="43" applyNumberFormat="0" applyFill="0" applyAlignment="0" applyProtection="0"/>
    <xf numFmtId="0" fontId="66" fillId="0" borderId="0" applyNumberFormat="0" applyFill="0" applyBorder="0" applyAlignment="0" applyProtection="0"/>
    <xf numFmtId="0" fontId="42" fillId="0" borderId="0">
      <alignment vertical="center"/>
    </xf>
    <xf numFmtId="0" fontId="50" fillId="67" borderId="0" applyNumberFormat="0" applyBorder="0" applyAlignment="0" applyProtection="0"/>
    <xf numFmtId="0" fontId="50" fillId="68" borderId="0" applyNumberFormat="0" applyBorder="0" applyAlignment="0" applyProtection="0"/>
    <xf numFmtId="0" fontId="50" fillId="52" borderId="0" applyNumberFormat="0" applyBorder="0" applyAlignment="0" applyProtection="0"/>
    <xf numFmtId="0" fontId="50" fillId="65" borderId="0" applyNumberFormat="0" applyBorder="0" applyAlignment="0" applyProtection="0"/>
    <xf numFmtId="0" fontId="50" fillId="69" borderId="0" applyNumberFormat="0" applyBorder="0" applyAlignment="0" applyProtection="0"/>
    <xf numFmtId="0" fontId="50" fillId="67" borderId="0" applyNumberFormat="0" applyBorder="0" applyAlignment="0" applyProtection="0"/>
    <xf numFmtId="0" fontId="50" fillId="65" borderId="0" applyNumberFormat="0" applyBorder="0" applyAlignment="0" applyProtection="0"/>
    <xf numFmtId="0" fontId="50" fillId="66" borderId="0" applyNumberFormat="0" applyBorder="0" applyAlignment="0" applyProtection="0"/>
    <xf numFmtId="0" fontId="50" fillId="65" borderId="0" applyNumberFormat="0" applyBorder="0" applyAlignment="0" applyProtection="0"/>
    <xf numFmtId="0" fontId="50" fillId="66" borderId="0" applyNumberFormat="0" applyBorder="0" applyAlignment="0" applyProtection="0"/>
    <xf numFmtId="0" fontId="50" fillId="65" borderId="0" applyNumberFormat="0" applyBorder="0" applyAlignment="0" applyProtection="0"/>
    <xf numFmtId="0" fontId="50" fillId="67" borderId="0" applyNumberFormat="0" applyBorder="0" applyAlignment="0" applyProtection="0"/>
    <xf numFmtId="0" fontId="51" fillId="65" borderId="0" applyNumberFormat="0" applyBorder="0" applyAlignment="0" applyProtection="0"/>
    <xf numFmtId="0" fontId="51" fillId="51" borderId="0" applyNumberFormat="0" applyBorder="0" applyAlignment="0" applyProtection="0"/>
    <xf numFmtId="0" fontId="51" fillId="67" borderId="0" applyNumberFormat="0" applyBorder="0" applyAlignment="0" applyProtection="0"/>
    <xf numFmtId="0" fontId="51" fillId="69" borderId="0" applyNumberFormat="0" applyBorder="0" applyAlignment="0" applyProtection="0"/>
    <xf numFmtId="0" fontId="51" fillId="65" borderId="0" applyNumberFormat="0" applyBorder="0" applyAlignment="0" applyProtection="0"/>
    <xf numFmtId="0" fontId="51" fillId="51" borderId="0" applyNumberFormat="0" applyBorder="0" applyAlignment="0" applyProtection="0"/>
    <xf numFmtId="0" fontId="51" fillId="70" borderId="0" applyNumberFormat="0" applyBorder="0" applyAlignment="0" applyProtection="0"/>
    <xf numFmtId="0" fontId="51" fillId="62" borderId="0" applyNumberFormat="0" applyBorder="0" applyAlignment="0" applyProtection="0"/>
    <xf numFmtId="0" fontId="51" fillId="67" borderId="0" applyNumberFormat="0" applyBorder="0" applyAlignment="0" applyProtection="0"/>
    <xf numFmtId="0" fontId="51" fillId="71" borderId="0" applyNumberFormat="0" applyBorder="0" applyAlignment="0" applyProtection="0"/>
    <xf numFmtId="0" fontId="51" fillId="72" borderId="0" applyNumberFormat="0" applyBorder="0" applyAlignment="0" applyProtection="0"/>
    <xf numFmtId="0" fontId="51" fillId="73" borderId="0" applyNumberFormat="0" applyBorder="0" applyAlignment="0" applyProtection="0"/>
    <xf numFmtId="0" fontId="52" fillId="61" borderId="0" applyNumberFormat="0" applyBorder="0" applyAlignment="0" applyProtection="0"/>
    <xf numFmtId="0" fontId="53" fillId="68" borderId="35" applyNumberFormat="0" applyAlignment="0" applyProtection="0"/>
    <xf numFmtId="0" fontId="54" fillId="75" borderId="36" applyNumberFormat="0" applyAlignment="0" applyProtection="0"/>
    <xf numFmtId="0" fontId="55" fillId="0" borderId="0" applyNumberFormat="0" applyFill="0" applyBorder="0" applyAlignment="0" applyProtection="0"/>
    <xf numFmtId="0" fontId="56" fillId="67" borderId="0" applyNumberFormat="0" applyBorder="0" applyAlignment="0" applyProtection="0"/>
    <xf numFmtId="0" fontId="57" fillId="0" borderId="37" applyNumberFormat="0" applyFill="0" applyAlignment="0" applyProtection="0"/>
    <xf numFmtId="0" fontId="58" fillId="0" borderId="38" applyNumberFormat="0" applyFill="0" applyAlignment="0" applyProtection="0"/>
    <xf numFmtId="0" fontId="59" fillId="0" borderId="39" applyNumberFormat="0" applyFill="0" applyAlignment="0" applyProtection="0"/>
    <xf numFmtId="0" fontId="59" fillId="0" borderId="0" applyNumberFormat="0" applyFill="0" applyBorder="0" applyAlignment="0" applyProtection="0"/>
    <xf numFmtId="0" fontId="60" fillId="52" borderId="35" applyNumberFormat="0" applyAlignment="0" applyProtection="0"/>
    <xf numFmtId="0" fontId="61" fillId="0" borderId="40" applyNumberFormat="0" applyFill="0" applyAlignment="0" applyProtection="0"/>
    <xf numFmtId="0" fontId="62" fillId="52" borderId="0" applyNumberFormat="0" applyBorder="0" applyAlignment="0" applyProtection="0"/>
    <xf numFmtId="0" fontId="42" fillId="76" borderId="41" applyNumberFormat="0" applyFont="0" applyAlignment="0" applyProtection="0"/>
    <xf numFmtId="0" fontId="63" fillId="68" borderId="42" applyNumberFormat="0" applyAlignment="0" applyProtection="0"/>
    <xf numFmtId="10" fontId="42" fillId="0" borderId="0" applyFont="0" applyFill="0" applyBorder="0" applyAlignment="0" applyProtection="0"/>
    <xf numFmtId="0" fontId="64" fillId="0" borderId="0" applyNumberFormat="0" applyFill="0" applyBorder="0" applyAlignment="0" applyProtection="0"/>
    <xf numFmtId="0" fontId="65" fillId="0" borderId="43" applyNumberFormat="0" applyFill="0" applyAlignment="0" applyProtection="0"/>
    <xf numFmtId="0" fontId="66" fillId="0" borderId="0" applyNumberFormat="0" applyFill="0" applyBorder="0" applyAlignment="0" applyProtection="0"/>
    <xf numFmtId="0" fontId="1" fillId="0" borderId="0"/>
    <xf numFmtId="0" fontId="3" fillId="0" borderId="0" applyNumberFormat="0" applyFill="0" applyBorder="0" applyAlignment="0" applyProtection="0"/>
    <xf numFmtId="0" fontId="4" fillId="0" borderId="1" applyNumberFormat="0" applyFill="0" applyAlignment="0" applyProtection="0"/>
    <xf numFmtId="0" fontId="5" fillId="0" borderId="2" applyNumberFormat="0" applyFill="0" applyAlignment="0" applyProtection="0"/>
    <xf numFmtId="0" fontId="6" fillId="0" borderId="3" applyNumberFormat="0" applyFill="0" applyAlignment="0" applyProtection="0"/>
    <xf numFmtId="0" fontId="6" fillId="0" borderId="0" applyNumberFormat="0" applyFill="0" applyBorder="0" applyAlignment="0" applyProtection="0"/>
    <xf numFmtId="0" fontId="7" fillId="2" borderId="0" applyNumberFormat="0" applyBorder="0" applyAlignment="0" applyProtection="0"/>
    <xf numFmtId="0" fontId="8" fillId="3" borderId="0" applyNumberFormat="0" applyBorder="0" applyAlignment="0" applyProtection="0"/>
    <xf numFmtId="0" fontId="9" fillId="4" borderId="0" applyNumberFormat="0" applyBorder="0" applyAlignment="0" applyProtection="0"/>
    <xf numFmtId="0" fontId="10" fillId="5" borderId="4" applyNumberFormat="0" applyAlignment="0" applyProtection="0"/>
    <xf numFmtId="0" fontId="11" fillId="6" borderId="5" applyNumberFormat="0" applyAlignment="0" applyProtection="0"/>
    <xf numFmtId="0" fontId="12" fillId="6" borderId="4" applyNumberFormat="0" applyAlignment="0" applyProtection="0"/>
    <xf numFmtId="0" fontId="13" fillId="0" borderId="6" applyNumberFormat="0" applyFill="0" applyAlignment="0" applyProtection="0"/>
    <xf numFmtId="0" fontId="14" fillId="7" borderId="7" applyNumberFormat="0" applyAlignment="0" applyProtection="0"/>
    <xf numFmtId="0" fontId="15" fillId="0" borderId="0" applyNumberFormat="0" applyFill="0" applyBorder="0" applyAlignment="0" applyProtection="0"/>
    <xf numFmtId="0" fontId="1" fillId="8" borderId="8" applyNumberFormat="0" applyFont="0" applyAlignment="0" applyProtection="0"/>
    <xf numFmtId="0" fontId="16" fillId="0" borderId="0" applyNumberFormat="0" applyFill="0" applyBorder="0" applyAlignment="0" applyProtection="0"/>
    <xf numFmtId="0" fontId="17" fillId="0" borderId="9" applyNumberFormat="0" applyFill="0" applyAlignment="0" applyProtection="0"/>
    <xf numFmtId="0" fontId="18"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8" fillId="12" borderId="0" applyNumberFormat="0" applyBorder="0" applyAlignment="0" applyProtection="0"/>
    <xf numFmtId="0" fontId="18"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8" fillId="16" borderId="0" applyNumberFormat="0" applyBorder="0" applyAlignment="0" applyProtection="0"/>
    <xf numFmtId="0" fontId="18"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8" fillId="20" borderId="0" applyNumberFormat="0" applyBorder="0" applyAlignment="0" applyProtection="0"/>
    <xf numFmtId="0" fontId="18"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8" fillId="24" borderId="0" applyNumberFormat="0" applyBorder="0" applyAlignment="0" applyProtection="0"/>
    <xf numFmtId="0" fontId="18"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8" fillId="28" borderId="0" applyNumberFormat="0" applyBorder="0" applyAlignment="0" applyProtection="0"/>
    <xf numFmtId="0" fontId="18"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8" fillId="32" borderId="0" applyNumberFormat="0" applyBorder="0" applyAlignment="0" applyProtection="0"/>
    <xf numFmtId="0" fontId="48" fillId="60" borderId="0" applyNumberFormat="0" applyFont="0" applyBorder="0" applyAlignment="0" applyProtection="0">
      <alignment horizontal="right"/>
    </xf>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42" fillId="0" borderId="0"/>
    <xf numFmtId="44" fontId="42" fillId="0" borderId="0" applyFont="0" applyFill="0" applyBorder="0" applyAlignment="0" applyProtection="0"/>
    <xf numFmtId="0" fontId="48" fillId="0" borderId="0" applyFont="0" applyFill="0" applyBorder="0" applyAlignment="0" applyProtection="0">
      <alignment horizontal="right"/>
    </xf>
    <xf numFmtId="0" fontId="45" fillId="54" borderId="0" applyNumberFormat="0" applyBorder="0" applyProtection="0">
      <alignment vertical="center"/>
    </xf>
    <xf numFmtId="0" fontId="42" fillId="0" borderId="0">
      <alignment vertical="center"/>
    </xf>
    <xf numFmtId="0" fontId="48" fillId="53" borderId="34" applyNumberFormat="0" applyFont="0" applyBorder="0" applyAlignment="0" applyProtection="0"/>
    <xf numFmtId="1" fontId="43" fillId="0" borderId="0" applyFont="0" applyFill="0" applyBorder="0" applyAlignment="0" applyProtection="0"/>
    <xf numFmtId="164" fontId="43" fillId="0" borderId="0" applyFont="0" applyFill="0" applyBorder="0" applyAlignment="0" applyProtection="0"/>
    <xf numFmtId="2" fontId="43" fillId="0" borderId="0" applyFont="0" applyFill="0" applyBorder="0" applyAlignment="0" applyProtection="0"/>
    <xf numFmtId="166" fontId="43" fillId="0" borderId="0" applyFont="0" applyFill="0" applyBorder="0" applyAlignment="0" applyProtection="0"/>
    <xf numFmtId="167" fontId="43" fillId="0" borderId="0" applyFont="0" applyFill="0" applyBorder="0" applyAlignment="0" applyProtection="0"/>
    <xf numFmtId="9" fontId="42" fillId="0" borderId="0" applyFont="0" applyFill="0" applyBorder="0" applyAlignment="0" applyProtection="0"/>
    <xf numFmtId="0" fontId="42" fillId="56" borderId="0" applyNumberFormat="0" applyFont="0" applyBorder="0" applyAlignment="0" applyProtection="0">
      <alignment vertical="center"/>
    </xf>
    <xf numFmtId="0" fontId="42" fillId="0" borderId="0">
      <alignment vertical="center"/>
    </xf>
    <xf numFmtId="0" fontId="42" fillId="0" borderId="0">
      <alignment vertical="center"/>
    </xf>
    <xf numFmtId="0" fontId="42" fillId="0" borderId="0">
      <alignment vertical="center"/>
    </xf>
    <xf numFmtId="0" fontId="42" fillId="0" borderId="0">
      <alignment vertical="center"/>
    </xf>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4" fillId="0" borderId="1" applyNumberFormat="0" applyFill="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6" fillId="0" borderId="3" applyNumberFormat="0" applyFill="0" applyAlignment="0" applyProtection="0"/>
    <xf numFmtId="0" fontId="1" fillId="0" borderId="0"/>
    <xf numFmtId="0" fontId="1" fillId="8" borderId="8" applyNumberFormat="0" applyFont="0" applyAlignment="0" applyProtection="0"/>
    <xf numFmtId="0" fontId="18" fillId="32" borderId="0" applyNumberFormat="0" applyBorder="0" applyAlignment="0" applyProtection="0"/>
    <xf numFmtId="0" fontId="1" fillId="31" borderId="0" applyNumberFormat="0" applyBorder="0" applyAlignment="0" applyProtection="0"/>
    <xf numFmtId="0" fontId="10" fillId="5" borderId="4" applyNumberFormat="0" applyAlignment="0" applyProtection="0"/>
    <xf numFmtId="0" fontId="18" fillId="16" borderId="0" applyNumberFormat="0" applyBorder="0" applyAlignment="0" applyProtection="0"/>
    <xf numFmtId="0" fontId="8" fillId="3" borderId="0" applyNumberFormat="0" applyBorder="0" applyAlignment="0" applyProtection="0"/>
    <xf numFmtId="0" fontId="1" fillId="30" borderId="0" applyNumberFormat="0" applyBorder="0" applyAlignment="0" applyProtection="0"/>
    <xf numFmtId="0" fontId="50" fillId="65" borderId="0" applyNumberFormat="0" applyBorder="0" applyAlignment="0" applyProtection="0"/>
    <xf numFmtId="0" fontId="50" fillId="66" borderId="0" applyNumberFormat="0" applyBorder="0" applyAlignment="0" applyProtection="0"/>
    <xf numFmtId="0" fontId="50" fillId="67" borderId="0" applyNumberFormat="0" applyBorder="0" applyAlignment="0" applyProtection="0"/>
    <xf numFmtId="0" fontId="50" fillId="68" borderId="0" applyNumberFormat="0" applyBorder="0" applyAlignment="0" applyProtection="0"/>
    <xf numFmtId="0" fontId="50" fillId="65" borderId="0" applyNumberFormat="0" applyBorder="0" applyAlignment="0" applyProtection="0"/>
    <xf numFmtId="0" fontId="50" fillId="66" borderId="0" applyNumberFormat="0" applyBorder="0" applyAlignment="0" applyProtection="0"/>
    <xf numFmtId="0" fontId="50" fillId="65" borderId="0" applyNumberFormat="0" applyBorder="0" applyAlignment="0" applyProtection="0"/>
    <xf numFmtId="0" fontId="50" fillId="67" borderId="0" applyNumberFormat="0" applyBorder="0" applyAlignment="0" applyProtection="0"/>
    <xf numFmtId="0" fontId="50" fillId="67" borderId="0" applyNumberFormat="0" applyBorder="0" applyAlignment="0" applyProtection="0"/>
    <xf numFmtId="0" fontId="50" fillId="69" borderId="0" applyNumberFormat="0" applyBorder="0" applyAlignment="0" applyProtection="0"/>
    <xf numFmtId="0" fontId="50" fillId="65" borderId="0" applyNumberFormat="0" applyBorder="0" applyAlignment="0" applyProtection="0"/>
    <xf numFmtId="0" fontId="50" fillId="52" borderId="0" applyNumberFormat="0" applyBorder="0" applyAlignment="0" applyProtection="0"/>
    <xf numFmtId="0" fontId="51" fillId="65" borderId="0" applyNumberFormat="0" applyBorder="0" applyAlignment="0" applyProtection="0"/>
    <xf numFmtId="0" fontId="51" fillId="51" borderId="0" applyNumberFormat="0" applyBorder="0" applyAlignment="0" applyProtection="0"/>
    <xf numFmtId="0" fontId="51" fillId="67" borderId="0" applyNumberFormat="0" applyBorder="0" applyAlignment="0" applyProtection="0"/>
    <xf numFmtId="0" fontId="51" fillId="69" borderId="0" applyNumberFormat="0" applyBorder="0" applyAlignment="0" applyProtection="0"/>
    <xf numFmtId="0" fontId="51" fillId="65" borderId="0" applyNumberFormat="0" applyBorder="0" applyAlignment="0" applyProtection="0"/>
    <xf numFmtId="0" fontId="51" fillId="51" borderId="0" applyNumberFormat="0" applyBorder="0" applyAlignment="0" applyProtection="0"/>
    <xf numFmtId="0" fontId="51" fillId="70" borderId="0" applyNumberFormat="0" applyBorder="0" applyAlignment="0" applyProtection="0"/>
    <xf numFmtId="0" fontId="51" fillId="62" borderId="0" applyNumberFormat="0" applyBorder="0" applyAlignment="0" applyProtection="0"/>
    <xf numFmtId="0" fontId="51" fillId="67" borderId="0" applyNumberFormat="0" applyBorder="0" applyAlignment="0" applyProtection="0"/>
    <xf numFmtId="0" fontId="51" fillId="71" borderId="0" applyNumberFormat="0" applyBorder="0" applyAlignment="0" applyProtection="0"/>
    <xf numFmtId="0" fontId="51" fillId="72" borderId="0" applyNumberFormat="0" applyBorder="0" applyAlignment="0" applyProtection="0"/>
    <xf numFmtId="0" fontId="51" fillId="73" borderId="0" applyNumberFormat="0" applyBorder="0" applyAlignment="0" applyProtection="0"/>
    <xf numFmtId="0" fontId="52" fillId="61" borderId="0" applyNumberFormat="0" applyBorder="0" applyAlignment="0" applyProtection="0"/>
    <xf numFmtId="0" fontId="53" fillId="68" borderId="35" applyNumberFormat="0" applyAlignment="0" applyProtection="0"/>
    <xf numFmtId="0" fontId="54" fillId="75" borderId="36" applyNumberFormat="0" applyAlignment="0" applyProtection="0"/>
    <xf numFmtId="0" fontId="55" fillId="0" borderId="0" applyNumberFormat="0" applyFill="0" applyBorder="0" applyAlignment="0" applyProtection="0"/>
    <xf numFmtId="0" fontId="56" fillId="67" borderId="0" applyNumberFormat="0" applyBorder="0" applyAlignment="0" applyProtection="0"/>
    <xf numFmtId="0" fontId="57" fillId="0" borderId="37" applyNumberFormat="0" applyFill="0" applyAlignment="0" applyProtection="0"/>
    <xf numFmtId="0" fontId="58" fillId="0" borderId="38" applyNumberFormat="0" applyFill="0" applyAlignment="0" applyProtection="0"/>
    <xf numFmtId="0" fontId="59" fillId="0" borderId="39" applyNumberFormat="0" applyFill="0" applyAlignment="0" applyProtection="0"/>
    <xf numFmtId="0" fontId="59" fillId="0" borderId="0" applyNumberFormat="0" applyFill="0" applyBorder="0" applyAlignment="0" applyProtection="0"/>
    <xf numFmtId="0" fontId="60" fillId="52" borderId="35" applyNumberFormat="0" applyAlignment="0" applyProtection="0"/>
    <xf numFmtId="0" fontId="61" fillId="0" borderId="40" applyNumberFormat="0" applyFill="0" applyAlignment="0" applyProtection="0"/>
    <xf numFmtId="0" fontId="62" fillId="52" borderId="0" applyNumberFormat="0" applyBorder="0" applyAlignment="0" applyProtection="0"/>
    <xf numFmtId="0" fontId="42" fillId="76" borderId="41" applyNumberFormat="0" applyFont="0" applyAlignment="0" applyProtection="0"/>
    <xf numFmtId="0" fontId="63" fillId="68" borderId="42" applyNumberFormat="0" applyAlignment="0" applyProtection="0"/>
    <xf numFmtId="10" fontId="42" fillId="0" borderId="0" applyFont="0" applyFill="0" applyBorder="0" applyAlignment="0" applyProtection="0"/>
    <xf numFmtId="0" fontId="64" fillId="0" borderId="0" applyNumberFormat="0" applyFill="0" applyBorder="0" applyAlignment="0" applyProtection="0"/>
    <xf numFmtId="0" fontId="65" fillId="0" borderId="43" applyNumberFormat="0" applyFill="0" applyAlignment="0" applyProtection="0"/>
    <xf numFmtId="0" fontId="66" fillId="0" borderId="0" applyNumberFormat="0" applyFill="0" applyBorder="0" applyAlignment="0" applyProtection="0"/>
    <xf numFmtId="0" fontId="42" fillId="0" borderId="0">
      <alignment vertical="center"/>
    </xf>
    <xf numFmtId="0" fontId="1" fillId="27" borderId="0" applyNumberFormat="0" applyBorder="0" applyAlignment="0" applyProtection="0"/>
    <xf numFmtId="0" fontId="18" fillId="21" borderId="0" applyNumberFormat="0" applyBorder="0" applyAlignment="0" applyProtection="0"/>
    <xf numFmtId="0" fontId="18" fillId="17" borderId="0" applyNumberFormat="0" applyBorder="0" applyAlignment="0" applyProtection="0"/>
    <xf numFmtId="0" fontId="1" fillId="15" borderId="0" applyNumberFormat="0" applyBorder="0" applyAlignment="0" applyProtection="0"/>
    <xf numFmtId="0" fontId="16" fillId="0" borderId="0" applyNumberFormat="0" applyFill="0" applyBorder="0" applyAlignment="0" applyProtection="0"/>
    <xf numFmtId="0" fontId="42" fillId="76" borderId="41" applyNumberFormat="0" applyFont="0" applyAlignment="0" applyProtection="0"/>
    <xf numFmtId="0" fontId="12" fillId="6" borderId="4" applyNumberFormat="0" applyAlignment="0" applyProtection="0"/>
    <xf numFmtId="0" fontId="1" fillId="0" borderId="0"/>
    <xf numFmtId="0" fontId="11" fillId="6" borderId="5" applyNumberFormat="0" applyAlignment="0" applyProtection="0"/>
    <xf numFmtId="0" fontId="18" fillId="20"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4" fillId="7" borderId="7" applyNumberFormat="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0" borderId="9" applyNumberFormat="0" applyFill="0" applyAlignment="0" applyProtection="0"/>
    <xf numFmtId="0" fontId="1" fillId="30" borderId="0" applyNumberFormat="0" applyBorder="0" applyAlignment="0" applyProtection="0"/>
    <xf numFmtId="0" fontId="1" fillId="31" borderId="0" applyNumberFormat="0" applyBorder="0" applyAlignment="0" applyProtection="0"/>
    <xf numFmtId="0" fontId="18" fillId="2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6" fillId="0" borderId="0" applyNumberFormat="0" applyFill="0" applyBorder="0" applyAlignment="0" applyProtection="0"/>
    <xf numFmtId="0" fontId="1" fillId="19" borderId="0" applyNumberFormat="0" applyBorder="0" applyAlignment="0" applyProtection="0"/>
    <xf numFmtId="0" fontId="18" fillId="28"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5" fillId="0" borderId="0" applyNumberFormat="0" applyFill="0" applyBorder="0" applyAlignment="0" applyProtection="0"/>
    <xf numFmtId="0" fontId="18" fillId="24" borderId="0" applyNumberFormat="0" applyBorder="0" applyAlignment="0" applyProtection="0"/>
    <xf numFmtId="0" fontId="18" fillId="9" borderId="0" applyNumberFormat="0" applyBorder="0" applyAlignment="0" applyProtection="0"/>
    <xf numFmtId="0" fontId="1" fillId="10" borderId="0" applyNumberFormat="0" applyBorder="0" applyAlignment="0" applyProtection="0"/>
    <xf numFmtId="0" fontId="5" fillId="0" borderId="2" applyNumberFormat="0" applyFill="0" applyAlignment="0" applyProtection="0"/>
    <xf numFmtId="0" fontId="1" fillId="18" borderId="0" applyNumberFormat="0" applyBorder="0" applyAlignment="0" applyProtection="0"/>
    <xf numFmtId="0" fontId="3" fillId="0" borderId="0" applyNumberFormat="0" applyFill="0" applyBorder="0" applyAlignment="0" applyProtection="0"/>
    <xf numFmtId="0" fontId="1" fillId="14" borderId="0" applyNumberFormat="0" applyBorder="0" applyAlignment="0" applyProtection="0"/>
    <xf numFmtId="0" fontId="9" fillId="4" borderId="0" applyNumberFormat="0" applyBorder="0" applyAlignment="0" applyProtection="0"/>
    <xf numFmtId="0" fontId="18" fillId="29" borderId="0" applyNumberFormat="0" applyBorder="0" applyAlignment="0" applyProtection="0"/>
    <xf numFmtId="0" fontId="18" fillId="12" borderId="0" applyNumberFormat="0" applyBorder="0" applyAlignment="0" applyProtection="0"/>
    <xf numFmtId="0" fontId="7" fillId="2" borderId="0" applyNumberFormat="0" applyBorder="0" applyAlignment="0" applyProtection="0"/>
    <xf numFmtId="0" fontId="18" fillId="13" borderId="0" applyNumberFormat="0" applyBorder="0" applyAlignment="0" applyProtection="0"/>
    <xf numFmtId="0" fontId="13" fillId="0" borderId="6" applyNumberFormat="0" applyFill="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9" fontId="42" fillId="0" borderId="0" applyFont="0" applyFill="0" applyBorder="0" applyAlignment="0" applyProtection="0"/>
    <xf numFmtId="0" fontId="42" fillId="57" borderId="0"/>
    <xf numFmtId="0" fontId="50" fillId="65" borderId="0" applyNumberFormat="0" applyBorder="0" applyAlignment="0" applyProtection="0"/>
    <xf numFmtId="0" fontId="50" fillId="66" borderId="0" applyNumberFormat="0" applyBorder="0" applyAlignment="0" applyProtection="0"/>
    <xf numFmtId="0" fontId="50" fillId="67" borderId="0" applyNumberFormat="0" applyBorder="0" applyAlignment="0" applyProtection="0"/>
    <xf numFmtId="0" fontId="50" fillId="68" borderId="0" applyNumberFormat="0" applyBorder="0" applyAlignment="0" applyProtection="0"/>
    <xf numFmtId="0" fontId="50" fillId="65" borderId="0" applyNumberFormat="0" applyBorder="0" applyAlignment="0" applyProtection="0"/>
    <xf numFmtId="0" fontId="50" fillId="66" borderId="0" applyNumberFormat="0" applyBorder="0" applyAlignment="0" applyProtection="0"/>
    <xf numFmtId="0" fontId="50" fillId="65" borderId="0" applyNumberFormat="0" applyBorder="0" applyAlignment="0" applyProtection="0"/>
    <xf numFmtId="0" fontId="50" fillId="67" borderId="0" applyNumberFormat="0" applyBorder="0" applyAlignment="0" applyProtection="0"/>
    <xf numFmtId="0" fontId="50" fillId="67" borderId="0" applyNumberFormat="0" applyBorder="0" applyAlignment="0" applyProtection="0"/>
    <xf numFmtId="0" fontId="50" fillId="69" borderId="0" applyNumberFormat="0" applyBorder="0" applyAlignment="0" applyProtection="0"/>
    <xf numFmtId="0" fontId="50" fillId="65" borderId="0" applyNumberFormat="0" applyBorder="0" applyAlignment="0" applyProtection="0"/>
    <xf numFmtId="0" fontId="50" fillId="52" borderId="0" applyNumberFormat="0" applyBorder="0" applyAlignment="0" applyProtection="0"/>
    <xf numFmtId="0" fontId="51" fillId="65" borderId="0" applyNumberFormat="0" applyBorder="0" applyAlignment="0" applyProtection="0"/>
    <xf numFmtId="0" fontId="51" fillId="51" borderId="0" applyNumberFormat="0" applyBorder="0" applyAlignment="0" applyProtection="0"/>
    <xf numFmtId="0" fontId="51" fillId="67" borderId="0" applyNumberFormat="0" applyBorder="0" applyAlignment="0" applyProtection="0"/>
    <xf numFmtId="0" fontId="51" fillId="69" borderId="0" applyNumberFormat="0" applyBorder="0" applyAlignment="0" applyProtection="0"/>
    <xf numFmtId="0" fontId="51" fillId="65" borderId="0" applyNumberFormat="0" applyBorder="0" applyAlignment="0" applyProtection="0"/>
    <xf numFmtId="0" fontId="51" fillId="51" borderId="0" applyNumberFormat="0" applyBorder="0" applyAlignment="0" applyProtection="0"/>
    <xf numFmtId="0" fontId="51" fillId="70" borderId="0" applyNumberFormat="0" applyBorder="0" applyAlignment="0" applyProtection="0"/>
    <xf numFmtId="0" fontId="51" fillId="62" borderId="0" applyNumberFormat="0" applyBorder="0" applyAlignment="0" applyProtection="0"/>
    <xf numFmtId="0" fontId="51" fillId="67" borderId="0" applyNumberFormat="0" applyBorder="0" applyAlignment="0" applyProtection="0"/>
    <xf numFmtId="0" fontId="51" fillId="71" borderId="0" applyNumberFormat="0" applyBorder="0" applyAlignment="0" applyProtection="0"/>
    <xf numFmtId="0" fontId="51" fillId="72" borderId="0" applyNumberFormat="0" applyBorder="0" applyAlignment="0" applyProtection="0"/>
    <xf numFmtId="0" fontId="51" fillId="73" borderId="0" applyNumberFormat="0" applyBorder="0" applyAlignment="0" applyProtection="0"/>
    <xf numFmtId="0" fontId="52" fillId="61" borderId="0" applyNumberFormat="0" applyBorder="0" applyAlignment="0" applyProtection="0"/>
    <xf numFmtId="0" fontId="53" fillId="68" borderId="35" applyNumberFormat="0" applyAlignment="0" applyProtection="0"/>
    <xf numFmtId="0" fontId="54" fillId="75" borderId="36" applyNumberFormat="0" applyAlignment="0" applyProtection="0"/>
    <xf numFmtId="0" fontId="55" fillId="0" borderId="0" applyNumberFormat="0" applyFill="0" applyBorder="0" applyAlignment="0" applyProtection="0"/>
    <xf numFmtId="0" fontId="56" fillId="67" borderId="0" applyNumberFormat="0" applyBorder="0" applyAlignment="0" applyProtection="0"/>
    <xf numFmtId="0" fontId="57" fillId="0" borderId="37" applyNumberFormat="0" applyFill="0" applyAlignment="0" applyProtection="0"/>
    <xf numFmtId="0" fontId="58" fillId="0" borderId="38" applyNumberFormat="0" applyFill="0" applyAlignment="0" applyProtection="0"/>
    <xf numFmtId="0" fontId="59" fillId="0" borderId="39" applyNumberFormat="0" applyFill="0" applyAlignment="0" applyProtection="0"/>
    <xf numFmtId="0" fontId="59" fillId="0" borderId="0" applyNumberFormat="0" applyFill="0" applyBorder="0" applyAlignment="0" applyProtection="0"/>
    <xf numFmtId="0" fontId="60" fillId="52" borderId="35" applyNumberFormat="0" applyAlignment="0" applyProtection="0"/>
    <xf numFmtId="0" fontId="61" fillId="0" borderId="40" applyNumberFormat="0" applyFill="0" applyAlignment="0" applyProtection="0"/>
    <xf numFmtId="0" fontId="62" fillId="52" borderId="0" applyNumberFormat="0" applyBorder="0" applyAlignment="0" applyProtection="0"/>
    <xf numFmtId="0" fontId="42" fillId="76" borderId="41" applyNumberFormat="0" applyFont="0" applyAlignment="0" applyProtection="0"/>
    <xf numFmtId="0" fontId="63" fillId="68" borderId="42" applyNumberFormat="0" applyAlignment="0" applyProtection="0"/>
    <xf numFmtId="0" fontId="44" fillId="57" borderId="0" applyNumberFormat="0" applyFont="0" applyBorder="0" applyAlignment="0" applyProtection="0"/>
    <xf numFmtId="0" fontId="64" fillId="0" borderId="0" applyNumberFormat="0" applyFill="0" applyBorder="0" applyAlignment="0" applyProtection="0"/>
    <xf numFmtId="0" fontId="65" fillId="0" borderId="43" applyNumberFormat="0" applyFill="0" applyAlignment="0" applyProtection="0"/>
    <xf numFmtId="0" fontId="66" fillId="0" borderId="0" applyNumberFormat="0" applyFill="0" applyBorder="0" applyAlignment="0" applyProtection="0"/>
    <xf numFmtId="9" fontId="42" fillId="0" borderId="0" applyFont="0" applyFill="0" applyBorder="0" applyAlignment="0" applyProtection="0"/>
    <xf numFmtId="0" fontId="1" fillId="0" borderId="0"/>
    <xf numFmtId="0" fontId="48" fillId="60" borderId="0" applyNumberFormat="0" applyFont="0" applyBorder="0" applyAlignment="0" applyProtection="0">
      <alignment horizontal="right"/>
    </xf>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10" fontId="42" fillId="0" borderId="0" applyFont="0" applyFill="0" applyBorder="0" applyAlignment="0" applyProtection="0"/>
    <xf numFmtId="0" fontId="42" fillId="57" borderId="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3" fillId="0" borderId="0" applyNumberFormat="0" applyFill="0" applyBorder="0" applyAlignment="0" applyProtection="0"/>
    <xf numFmtId="0" fontId="4" fillId="0" borderId="1" applyNumberFormat="0" applyFill="0" applyAlignment="0" applyProtection="0"/>
    <xf numFmtId="0" fontId="5" fillId="0" borderId="2" applyNumberFormat="0" applyFill="0" applyAlignment="0" applyProtection="0"/>
    <xf numFmtId="0" fontId="6" fillId="0" borderId="3" applyNumberFormat="0" applyFill="0" applyAlignment="0" applyProtection="0"/>
    <xf numFmtId="0" fontId="6" fillId="0" borderId="0" applyNumberFormat="0" applyFill="0" applyBorder="0" applyAlignment="0" applyProtection="0"/>
    <xf numFmtId="0" fontId="7" fillId="2" borderId="0" applyNumberFormat="0" applyBorder="0" applyAlignment="0" applyProtection="0"/>
    <xf numFmtId="0" fontId="8" fillId="3" borderId="0" applyNumberFormat="0" applyBorder="0" applyAlignment="0" applyProtection="0"/>
    <xf numFmtId="0" fontId="9" fillId="4" borderId="0" applyNumberFormat="0" applyBorder="0" applyAlignment="0" applyProtection="0"/>
    <xf numFmtId="0" fontId="10" fillId="5" borderId="4" applyNumberFormat="0" applyAlignment="0" applyProtection="0"/>
    <xf numFmtId="0" fontId="11" fillId="6" borderId="5" applyNumberFormat="0" applyAlignment="0" applyProtection="0"/>
    <xf numFmtId="0" fontId="12" fillId="6" borderId="4" applyNumberFormat="0" applyAlignment="0" applyProtection="0"/>
    <xf numFmtId="0" fontId="13" fillId="0" borderId="6" applyNumberFormat="0" applyFill="0" applyAlignment="0" applyProtection="0"/>
    <xf numFmtId="0" fontId="14" fillId="7" borderId="7" applyNumberFormat="0" applyAlignment="0" applyProtection="0"/>
    <xf numFmtId="0" fontId="15" fillId="0" borderId="0" applyNumberFormat="0" applyFill="0" applyBorder="0" applyAlignment="0" applyProtection="0"/>
    <xf numFmtId="0" fontId="1" fillId="8" borderId="8" applyNumberFormat="0" applyFont="0" applyAlignment="0" applyProtection="0"/>
    <xf numFmtId="0" fontId="16" fillId="0" borderId="0" applyNumberFormat="0" applyFill="0" applyBorder="0" applyAlignment="0" applyProtection="0"/>
    <xf numFmtId="0" fontId="17" fillId="0" borderId="9" applyNumberFormat="0" applyFill="0" applyAlignment="0" applyProtection="0"/>
    <xf numFmtId="0" fontId="18"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8" fillId="12" borderId="0" applyNumberFormat="0" applyBorder="0" applyAlignment="0" applyProtection="0"/>
    <xf numFmtId="0" fontId="18"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8" fillId="16" borderId="0" applyNumberFormat="0" applyBorder="0" applyAlignment="0" applyProtection="0"/>
    <xf numFmtId="0" fontId="18"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8" fillId="20" borderId="0" applyNumberFormat="0" applyBorder="0" applyAlignment="0" applyProtection="0"/>
    <xf numFmtId="0" fontId="18"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8" fillId="24" borderId="0" applyNumberFormat="0" applyBorder="0" applyAlignment="0" applyProtection="0"/>
    <xf numFmtId="0" fontId="18"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8" fillId="28" borderId="0" applyNumberFormat="0" applyBorder="0" applyAlignment="0" applyProtection="0"/>
    <xf numFmtId="0" fontId="18"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8" fillId="32"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42" fillId="0" borderId="0">
      <alignment vertical="center"/>
    </xf>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10" fontId="42" fillId="0" borderId="0" applyFont="0" applyFill="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9" fontId="42" fillId="0" borderId="0" applyFont="0" applyFill="0" applyBorder="0" applyAlignment="0" applyProtection="0"/>
    <xf numFmtId="0" fontId="1" fillId="0" borderId="0"/>
    <xf numFmtId="0" fontId="1" fillId="0" borderId="0"/>
    <xf numFmtId="0" fontId="48"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8" fillId="25" borderId="0" applyNumberFormat="0" applyBorder="0" applyAlignment="0" applyProtection="0"/>
    <xf numFmtId="0" fontId="18" fillId="9" borderId="0" applyNumberFormat="0" applyBorder="0" applyAlignment="0" applyProtection="0"/>
    <xf numFmtId="0" fontId="1" fillId="0" borderId="0"/>
    <xf numFmtId="0" fontId="45" fillId="54" borderId="0" applyNumberFormat="0" applyBorder="0" applyProtection="0">
      <alignment vertical="center"/>
    </xf>
    <xf numFmtId="0" fontId="42" fillId="57" borderId="0"/>
    <xf numFmtId="0" fontId="1" fillId="8" borderId="8" applyNumberFormat="0" applyFont="0" applyAlignment="0" applyProtection="0"/>
    <xf numFmtId="0" fontId="1" fillId="10" borderId="0" applyNumberFormat="0" applyBorder="0" applyAlignment="0" applyProtection="0"/>
    <xf numFmtId="0" fontId="1" fillId="23" borderId="0" applyNumberFormat="0" applyBorder="0" applyAlignment="0" applyProtection="0"/>
    <xf numFmtId="0" fontId="10" fillId="5" borderId="4" applyNumberFormat="0" applyAlignment="0" applyProtection="0"/>
    <xf numFmtId="0" fontId="55" fillId="0" borderId="0" applyNumberFormat="0" applyFill="0" applyBorder="0" applyAlignment="0" applyProtection="0"/>
    <xf numFmtId="2" fontId="43" fillId="0" borderId="0" applyFont="0" applyFill="0" applyBorder="0" applyAlignment="0" applyProtection="0"/>
    <xf numFmtId="0" fontId="54" fillId="75" borderId="36" applyNumberFormat="0" applyAlignment="0" applyProtection="0"/>
    <xf numFmtId="0" fontId="4" fillId="0" borderId="1" applyNumberFormat="0" applyFill="0" applyAlignment="0" applyProtection="0"/>
    <xf numFmtId="0" fontId="51" fillId="73" borderId="0" applyNumberFormat="0" applyBorder="0" applyAlignment="0" applyProtection="0"/>
    <xf numFmtId="0" fontId="51" fillId="72" borderId="0" applyNumberFormat="0" applyBorder="0" applyAlignment="0" applyProtection="0"/>
    <xf numFmtId="0" fontId="45" fillId="54" borderId="0" applyNumberFormat="0" applyBorder="0" applyProtection="0">
      <alignment vertical="center"/>
    </xf>
    <xf numFmtId="0" fontId="50" fillId="69" borderId="0" applyNumberFormat="0" applyBorder="0" applyAlignment="0" applyProtection="0"/>
    <xf numFmtId="0" fontId="50" fillId="69" borderId="0" applyNumberFormat="0" applyBorder="0" applyAlignment="0" applyProtection="0"/>
    <xf numFmtId="0" fontId="57" fillId="0" borderId="37" applyNumberFormat="0" applyFill="0" applyAlignment="0" applyProtection="0"/>
    <xf numFmtId="0" fontId="1" fillId="11" borderId="0" applyNumberFormat="0" applyBorder="0" applyAlignment="0" applyProtection="0"/>
    <xf numFmtId="0" fontId="7" fillId="2" borderId="0" applyNumberFormat="0" applyBorder="0" applyAlignment="0" applyProtection="0"/>
    <xf numFmtId="0" fontId="1" fillId="19" borderId="0" applyNumberFormat="0" applyBorder="0" applyAlignment="0" applyProtection="0"/>
    <xf numFmtId="0" fontId="6" fillId="0" borderId="0" applyNumberFormat="0" applyFill="0" applyBorder="0" applyAlignment="0" applyProtection="0"/>
    <xf numFmtId="0" fontId="1" fillId="0" borderId="0"/>
    <xf numFmtId="164" fontId="43" fillId="0" borderId="0" applyFont="0" applyFill="0" applyBorder="0" applyAlignment="0" applyProtection="0"/>
    <xf numFmtId="0" fontId="4" fillId="0" borderId="1" applyNumberFormat="0" applyFill="0" applyAlignment="0" applyProtection="0"/>
    <xf numFmtId="0" fontId="5" fillId="0" borderId="2" applyNumberFormat="0" applyFill="0" applyAlignment="0" applyProtection="0"/>
    <xf numFmtId="0" fontId="6" fillId="0" borderId="3" applyNumberFormat="0" applyFill="0" applyAlignment="0" applyProtection="0"/>
    <xf numFmtId="0" fontId="6" fillId="0" borderId="0" applyNumberFormat="0" applyFill="0" applyBorder="0" applyAlignment="0" applyProtection="0"/>
    <xf numFmtId="0" fontId="7" fillId="2" borderId="0" applyNumberFormat="0" applyBorder="0" applyAlignment="0" applyProtection="0"/>
    <xf numFmtId="0" fontId="8" fillId="3" borderId="0" applyNumberFormat="0" applyBorder="0" applyAlignment="0" applyProtection="0"/>
    <xf numFmtId="0" fontId="9" fillId="4" borderId="0" applyNumberFormat="0" applyBorder="0" applyAlignment="0" applyProtection="0"/>
    <xf numFmtId="0" fontId="10" fillId="5" borderId="4" applyNumberFormat="0" applyAlignment="0" applyProtection="0"/>
    <xf numFmtId="0" fontId="11" fillId="6" borderId="5" applyNumberFormat="0" applyAlignment="0" applyProtection="0"/>
    <xf numFmtId="0" fontId="12" fillId="6" borderId="4" applyNumberFormat="0" applyAlignment="0" applyProtection="0"/>
    <xf numFmtId="0" fontId="13" fillId="0" borderId="6" applyNumberFormat="0" applyFill="0" applyAlignment="0" applyProtection="0"/>
    <xf numFmtId="0" fontId="14" fillId="7" borderId="7" applyNumberFormat="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7" fillId="0" borderId="9" applyNumberFormat="0" applyFill="0" applyAlignment="0" applyProtection="0"/>
    <xf numFmtId="0" fontId="18"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8" fillId="12" borderId="0" applyNumberFormat="0" applyBorder="0" applyAlignment="0" applyProtection="0"/>
    <xf numFmtId="0" fontId="18"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8" fillId="16" borderId="0" applyNumberFormat="0" applyBorder="0" applyAlignment="0" applyProtection="0"/>
    <xf numFmtId="0" fontId="18"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8" fillId="20" borderId="0" applyNumberFormat="0" applyBorder="0" applyAlignment="0" applyProtection="0"/>
    <xf numFmtId="0" fontId="18"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8" fillId="24" borderId="0" applyNumberFormat="0" applyBorder="0" applyAlignment="0" applyProtection="0"/>
    <xf numFmtId="0" fontId="18"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8" fillId="28" borderId="0" applyNumberFormat="0" applyBorder="0" applyAlignment="0" applyProtection="0"/>
    <xf numFmtId="0" fontId="18"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8" fillId="32" borderId="0" applyNumberFormat="0" applyBorder="0" applyAlignment="0" applyProtection="0"/>
    <xf numFmtId="0" fontId="1" fillId="0" borderId="0"/>
    <xf numFmtId="0" fontId="1" fillId="8" borderId="8" applyNumberFormat="0" applyFont="0" applyAlignment="0" applyProtection="0"/>
    <xf numFmtId="0" fontId="14" fillId="7" borderId="7" applyNumberForma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8" fillId="24" borderId="0" applyNumberFormat="0" applyBorder="0" applyAlignment="0" applyProtection="0"/>
    <xf numFmtId="0" fontId="18" fillId="17" borderId="0" applyNumberFormat="0" applyBorder="0" applyAlignment="0" applyProtection="0"/>
    <xf numFmtId="0" fontId="50" fillId="66" borderId="0" applyNumberFormat="0" applyBorder="0" applyAlignment="0" applyProtection="0"/>
    <xf numFmtId="0" fontId="45" fillId="54" borderId="0" applyNumberFormat="0" applyBorder="0" applyProtection="0">
      <alignment vertical="center"/>
    </xf>
    <xf numFmtId="0" fontId="12" fillId="6" borderId="4" applyNumberFormat="0" applyAlignment="0" applyProtection="0"/>
    <xf numFmtId="0" fontId="52" fillId="61" borderId="0" applyNumberFormat="0" applyBorder="0" applyAlignment="0" applyProtection="0"/>
    <xf numFmtId="0" fontId="1" fillId="8" borderId="8" applyNumberFormat="0" applyFont="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5" fillId="0" borderId="0" applyNumberFormat="0" applyFill="0" applyBorder="0" applyAlignment="0" applyProtection="0"/>
    <xf numFmtId="9" fontId="42" fillId="0" borderId="0" applyFont="0" applyFill="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167" fontId="43" fillId="0" borderId="0" applyFont="0" applyFill="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3" borderId="0" applyNumberFormat="0" applyBorder="0" applyAlignment="0" applyProtection="0"/>
    <xf numFmtId="2" fontId="43" fillId="0" borderId="0" applyFont="0" applyFill="0" applyBorder="0" applyAlignment="0" applyProtection="0"/>
    <xf numFmtId="0" fontId="66" fillId="0" borderId="0" applyNumberFormat="0" applyFill="0" applyBorder="0" applyAlignment="0" applyProtection="0"/>
    <xf numFmtId="0" fontId="1" fillId="30" borderId="0" applyNumberFormat="0" applyBorder="0" applyAlignment="0" applyProtection="0"/>
    <xf numFmtId="0" fontId="50" fillId="65"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5" fillId="0" borderId="2" applyNumberFormat="0" applyFill="0" applyAlignment="0" applyProtection="0"/>
    <xf numFmtId="0" fontId="51" fillId="51" borderId="0" applyNumberFormat="0" applyBorder="0" applyAlignment="0" applyProtection="0"/>
    <xf numFmtId="0" fontId="42" fillId="76" borderId="41" applyNumberFormat="0" applyFont="0" applyAlignment="0" applyProtection="0"/>
    <xf numFmtId="0" fontId="50" fillId="65" borderId="0" applyNumberFormat="0" applyBorder="0" applyAlignment="0" applyProtection="0"/>
    <xf numFmtId="0" fontId="50" fillId="67" borderId="0" applyNumberFormat="0" applyBorder="0" applyAlignment="0" applyProtection="0"/>
    <xf numFmtId="0" fontId="1" fillId="19" borderId="0" applyNumberFormat="0" applyBorder="0" applyAlignment="0" applyProtection="0"/>
    <xf numFmtId="0" fontId="18" fillId="25" borderId="0" applyNumberFormat="0" applyBorder="0" applyAlignment="0" applyProtection="0"/>
    <xf numFmtId="0" fontId="53" fillId="68" borderId="35" applyNumberFormat="0" applyAlignment="0" applyProtection="0"/>
    <xf numFmtId="0" fontId="1" fillId="27" borderId="0" applyNumberFormat="0" applyBorder="0" applyAlignment="0" applyProtection="0"/>
    <xf numFmtId="0" fontId="1" fillId="15" borderId="0" applyNumberFormat="0" applyBorder="0" applyAlignment="0" applyProtection="0"/>
    <xf numFmtId="0" fontId="51" fillId="70"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50" fillId="66"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60" fillId="52" borderId="35" applyNumberForma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51" fillId="71" borderId="0" applyNumberFormat="0" applyBorder="0" applyAlignment="0" applyProtection="0"/>
    <xf numFmtId="0" fontId="18" fillId="21" borderId="0" applyNumberFormat="0" applyBorder="0" applyAlignment="0" applyProtection="0"/>
    <xf numFmtId="0" fontId="63" fillId="68" borderId="42" applyNumberFormat="0" applyAlignment="0" applyProtection="0"/>
    <xf numFmtId="0" fontId="18" fillId="9" borderId="0" applyNumberFormat="0" applyBorder="0" applyAlignment="0" applyProtection="0"/>
    <xf numFmtId="0" fontId="48" fillId="53" borderId="34" applyNumberFormat="0" applyFont="0" applyBorder="0" applyAlignment="0" applyProtection="0"/>
    <xf numFmtId="0" fontId="8" fillId="3"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8" fillId="17"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10" fontId="42" fillId="0" borderId="0" applyFont="0" applyFill="0" applyBorder="0" applyAlignment="0" applyProtection="0"/>
    <xf numFmtId="0" fontId="48" fillId="53" borderId="34" applyNumberFormat="0" applyFont="0" applyBorder="0" applyAlignment="0" applyProtection="0"/>
    <xf numFmtId="1" fontId="43" fillId="0" borderId="0" applyFont="0" applyFill="0" applyBorder="0" applyAlignment="0" applyProtection="0"/>
    <xf numFmtId="2" fontId="43" fillId="0" borderId="0" applyFont="0" applyFill="0" applyBorder="0" applyAlignment="0" applyProtection="0"/>
    <xf numFmtId="166" fontId="43" fillId="0" borderId="0" applyFont="0" applyFill="0" applyBorder="0" applyAlignment="0" applyProtection="0"/>
    <xf numFmtId="167" fontId="43" fillId="0" borderId="0" applyFont="0" applyFill="0" applyBorder="0" applyAlignment="0" applyProtection="0"/>
    <xf numFmtId="9" fontId="42" fillId="0" borderId="0" applyFont="0" applyFill="0" applyBorder="0" applyAlignment="0" applyProtection="0"/>
    <xf numFmtId="0" fontId="42" fillId="56" borderId="0" applyNumberFormat="0" applyFont="0" applyBorder="0" applyAlignment="0" applyProtection="0">
      <alignment vertical="center"/>
    </xf>
    <xf numFmtId="164" fontId="43" fillId="0" borderId="0" applyFont="0" applyFill="0" applyBorder="0" applyAlignment="0" applyProtection="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10" fontId="42" fillId="0" borderId="0" applyFont="0" applyFill="0" applyBorder="0" applyAlignment="0" applyProtection="0"/>
    <xf numFmtId="0" fontId="48" fillId="53" borderId="34" applyNumberFormat="0" applyFont="0" applyBorder="0" applyAlignment="0" applyProtection="0"/>
    <xf numFmtId="1" fontId="43" fillId="0" borderId="0" applyFont="0" applyFill="0" applyBorder="0" applyAlignment="0" applyProtection="0"/>
    <xf numFmtId="2" fontId="43" fillId="0" borderId="0" applyFont="0" applyFill="0" applyBorder="0" applyAlignment="0" applyProtection="0"/>
    <xf numFmtId="166" fontId="43" fillId="0" borderId="0" applyFont="0" applyFill="0" applyBorder="0" applyAlignment="0" applyProtection="0"/>
    <xf numFmtId="167" fontId="43" fillId="0" borderId="0" applyFont="0" applyFill="0" applyBorder="0" applyAlignment="0" applyProtection="0"/>
    <xf numFmtId="9" fontId="42" fillId="0" borderId="0" applyFont="0" applyFill="0" applyBorder="0" applyAlignment="0" applyProtection="0"/>
    <xf numFmtId="0" fontId="42" fillId="56" borderId="0" applyNumberFormat="0" applyFont="0" applyBorder="0" applyAlignment="0" applyProtection="0">
      <alignment vertical="center"/>
    </xf>
    <xf numFmtId="164" fontId="43" fillId="0" borderId="0" applyFont="0" applyFill="0" applyBorder="0" applyAlignment="0" applyProtection="0"/>
    <xf numFmtId="0" fontId="1" fillId="11" borderId="0" applyNumberFormat="0" applyBorder="0" applyAlignment="0" applyProtection="0"/>
    <xf numFmtId="0" fontId="51" fillId="69" borderId="0" applyNumberFormat="0" applyBorder="0" applyAlignment="0" applyProtection="0"/>
    <xf numFmtId="0" fontId="1" fillId="22" borderId="0" applyNumberFormat="0" applyBorder="0" applyAlignment="0" applyProtection="0"/>
    <xf numFmtId="9" fontId="42" fillId="0" borderId="0" applyFont="0" applyFill="0" applyBorder="0" applyAlignment="0" applyProtection="0"/>
    <xf numFmtId="0" fontId="50" fillId="67" borderId="0" applyNumberFormat="0" applyBorder="0" applyAlignment="0" applyProtection="0"/>
    <xf numFmtId="0" fontId="11" fillId="6" borderId="5" applyNumberFormat="0" applyAlignment="0" applyProtection="0"/>
    <xf numFmtId="0" fontId="42" fillId="57" borderId="0"/>
    <xf numFmtId="0" fontId="50" fillId="65" borderId="0" applyNumberFormat="0" applyBorder="0" applyAlignment="0" applyProtection="0"/>
    <xf numFmtId="0" fontId="55" fillId="0" borderId="0" applyNumberFormat="0" applyFill="0" applyBorder="0" applyAlignment="0" applyProtection="0"/>
    <xf numFmtId="0" fontId="51" fillId="51" borderId="0" applyNumberFormat="0" applyBorder="0" applyAlignment="0" applyProtection="0"/>
    <xf numFmtId="0" fontId="18" fillId="21" borderId="0" applyNumberFormat="0" applyBorder="0" applyAlignment="0" applyProtection="0"/>
    <xf numFmtId="0" fontId="18" fillId="28" borderId="0" applyNumberFormat="0" applyBorder="0" applyAlignment="0" applyProtection="0"/>
    <xf numFmtId="9" fontId="42" fillId="0" borderId="0" applyFont="0" applyFill="0" applyBorder="0" applyAlignment="0" applyProtection="0"/>
    <xf numFmtId="0" fontId="56" fillId="67" borderId="0" applyNumberFormat="0" applyBorder="0" applyAlignment="0" applyProtection="0"/>
    <xf numFmtId="0" fontId="12" fillId="6" borderId="4" applyNumberFormat="0" applyAlignment="0" applyProtection="0"/>
    <xf numFmtId="0" fontId="50" fillId="66" borderId="0" applyNumberFormat="0" applyBorder="0" applyAlignment="0" applyProtection="0"/>
    <xf numFmtId="0" fontId="59" fillId="0" borderId="0" applyNumberFormat="0" applyFill="0" applyBorder="0" applyAlignment="0" applyProtection="0"/>
    <xf numFmtId="0" fontId="7" fillId="2" borderId="0" applyNumberFormat="0" applyBorder="0" applyAlignment="0" applyProtection="0"/>
    <xf numFmtId="0" fontId="18" fillId="13" borderId="0" applyNumberFormat="0" applyBorder="0" applyAlignment="0" applyProtection="0"/>
    <xf numFmtId="0" fontId="8" fillId="3" borderId="0" applyNumberFormat="0" applyBorder="0" applyAlignment="0" applyProtection="0"/>
    <xf numFmtId="0" fontId="1" fillId="14" borderId="0" applyNumberFormat="0" applyBorder="0" applyAlignment="0" applyProtection="0"/>
    <xf numFmtId="0" fontId="6" fillId="0" borderId="3" applyNumberFormat="0" applyFill="0" applyAlignment="0" applyProtection="0"/>
    <xf numFmtId="0" fontId="51" fillId="67" borderId="0" applyNumberFormat="0" applyBorder="0" applyAlignment="0" applyProtection="0"/>
    <xf numFmtId="0" fontId="50" fillId="67" borderId="0" applyNumberFormat="0" applyBorder="0" applyAlignment="0" applyProtection="0"/>
    <xf numFmtId="0" fontId="42" fillId="57" borderId="0"/>
    <xf numFmtId="0" fontId="51" fillId="65" borderId="0" applyNumberFormat="0" applyBorder="0" applyAlignment="0" applyProtection="0"/>
    <xf numFmtId="0" fontId="51" fillId="65" borderId="0" applyNumberFormat="0" applyBorder="0" applyAlignment="0" applyProtection="0"/>
    <xf numFmtId="0" fontId="59" fillId="0" borderId="39" applyNumberFormat="0" applyFill="0" applyAlignment="0" applyProtection="0"/>
    <xf numFmtId="0" fontId="50" fillId="65" borderId="0" applyNumberFormat="0" applyBorder="0" applyAlignment="0" applyProtection="0"/>
    <xf numFmtId="0" fontId="51" fillId="71" borderId="0" applyNumberFormat="0" applyBorder="0" applyAlignment="0" applyProtection="0"/>
    <xf numFmtId="0" fontId="50" fillId="67" borderId="0" applyNumberFormat="0" applyBorder="0" applyAlignment="0" applyProtection="0"/>
    <xf numFmtId="0" fontId="50" fillId="52" borderId="0" applyNumberFormat="0" applyBorder="0" applyAlignment="0" applyProtection="0"/>
    <xf numFmtId="0" fontId="61" fillId="0" borderId="40" applyNumberFormat="0" applyFill="0" applyAlignment="0" applyProtection="0"/>
    <xf numFmtId="0" fontId="51" fillId="67" borderId="0" applyNumberFormat="0" applyBorder="0" applyAlignment="0" applyProtection="0"/>
    <xf numFmtId="0" fontId="1" fillId="26" borderId="0" applyNumberFormat="0" applyBorder="0" applyAlignment="0" applyProtection="0"/>
    <xf numFmtId="0" fontId="18" fillId="24" borderId="0" applyNumberFormat="0" applyBorder="0" applyAlignment="0" applyProtection="0"/>
    <xf numFmtId="0" fontId="51" fillId="51" borderId="0" applyNumberFormat="0" applyBorder="0" applyAlignment="0" applyProtection="0"/>
    <xf numFmtId="0" fontId="18" fillId="12" borderId="0" applyNumberFormat="0" applyBorder="0" applyAlignment="0" applyProtection="0"/>
    <xf numFmtId="167" fontId="43" fillId="0" borderId="0" applyFont="0" applyFill="0" applyBorder="0" applyAlignment="0" applyProtection="0"/>
    <xf numFmtId="0" fontId="62" fillId="52" borderId="0" applyNumberFormat="0" applyBorder="0" applyAlignment="0" applyProtection="0"/>
    <xf numFmtId="0" fontId="61" fillId="0" borderId="40" applyNumberFormat="0" applyFill="0" applyAlignment="0" applyProtection="0"/>
    <xf numFmtId="0" fontId="51" fillId="70" borderId="0" applyNumberFormat="0" applyBorder="0" applyAlignment="0" applyProtection="0"/>
    <xf numFmtId="0" fontId="60" fillId="52" borderId="35" applyNumberFormat="0" applyAlignment="0" applyProtection="0"/>
    <xf numFmtId="0" fontId="18" fillId="16" borderId="0" applyNumberFormat="0" applyBorder="0" applyAlignment="0" applyProtection="0"/>
    <xf numFmtId="0" fontId="18" fillId="32" borderId="0" applyNumberFormat="0" applyBorder="0" applyAlignment="0" applyProtection="0"/>
    <xf numFmtId="0" fontId="51" fillId="67" borderId="0" applyNumberFormat="0" applyBorder="0" applyAlignment="0" applyProtection="0"/>
    <xf numFmtId="0" fontId="1" fillId="15" borderId="0" applyNumberFormat="0" applyBorder="0" applyAlignment="0" applyProtection="0"/>
    <xf numFmtId="0" fontId="51" fillId="65" borderId="0" applyNumberFormat="0" applyBorder="0" applyAlignment="0" applyProtection="0"/>
    <xf numFmtId="0" fontId="1" fillId="15" borderId="0" applyNumberFormat="0" applyBorder="0" applyAlignment="0" applyProtection="0"/>
    <xf numFmtId="0" fontId="51" fillId="51" borderId="0" applyNumberFormat="0" applyBorder="0" applyAlignment="0" applyProtection="0"/>
    <xf numFmtId="166" fontId="43" fillId="0" borderId="0" applyFont="0" applyFill="0" applyBorder="0" applyAlignment="0" applyProtection="0"/>
    <xf numFmtId="0" fontId="59" fillId="0" borderId="39" applyNumberFormat="0" applyFill="0" applyAlignment="0" applyProtection="0"/>
    <xf numFmtId="0" fontId="65" fillId="0" borderId="43" applyNumberFormat="0" applyFill="0" applyAlignment="0" applyProtection="0"/>
    <xf numFmtId="0" fontId="63" fillId="68" borderId="42" applyNumberFormat="0" applyAlignment="0" applyProtection="0"/>
    <xf numFmtId="0" fontId="66" fillId="0" borderId="0" applyNumberFormat="0" applyFill="0" applyBorder="0" applyAlignment="0" applyProtection="0"/>
    <xf numFmtId="166" fontId="43" fillId="0" borderId="0" applyFont="0" applyFill="0" applyBorder="0" applyAlignment="0" applyProtection="0"/>
    <xf numFmtId="0" fontId="64" fillId="0" borderId="0" applyNumberFormat="0" applyFill="0" applyBorder="0" applyAlignment="0" applyProtection="0"/>
    <xf numFmtId="0" fontId="50" fillId="65" borderId="0" applyNumberFormat="0" applyBorder="0" applyAlignment="0" applyProtection="0"/>
    <xf numFmtId="0" fontId="57" fillId="0" borderId="37" applyNumberFormat="0" applyFill="0" applyAlignment="0" applyProtection="0"/>
    <xf numFmtId="0" fontId="5" fillId="0" borderId="2" applyNumberFormat="0" applyFill="0" applyAlignment="0" applyProtection="0"/>
    <xf numFmtId="1" fontId="43" fillId="0" borderId="0" applyFont="0" applyFill="0" applyBorder="0" applyAlignment="0" applyProtection="0"/>
    <xf numFmtId="0" fontId="50" fillId="67" borderId="0" applyNumberFormat="0" applyBorder="0" applyAlignment="0" applyProtection="0"/>
    <xf numFmtId="164" fontId="43" fillId="0" borderId="0" applyFont="0" applyFill="0" applyBorder="0" applyAlignment="0" applyProtection="0"/>
    <xf numFmtId="0" fontId="42" fillId="0" borderId="0">
      <alignment vertical="center"/>
    </xf>
    <xf numFmtId="0" fontId="1" fillId="27" borderId="0" applyNumberFormat="0" applyBorder="0" applyAlignment="0" applyProtection="0"/>
    <xf numFmtId="0" fontId="18" fillId="12" borderId="0" applyNumberFormat="0" applyBorder="0" applyAlignment="0" applyProtection="0"/>
    <xf numFmtId="0" fontId="17" fillId="0" borderId="9" applyNumberFormat="0" applyFill="0" applyAlignment="0" applyProtection="0"/>
    <xf numFmtId="0" fontId="51" fillId="62" borderId="0" applyNumberFormat="0" applyBorder="0" applyAlignment="0" applyProtection="0"/>
    <xf numFmtId="0" fontId="53" fillId="68" borderId="35" applyNumberFormat="0" applyAlignment="0" applyProtection="0"/>
    <xf numFmtId="0" fontId="50" fillId="65" borderId="0" applyNumberFormat="0" applyBorder="0" applyAlignment="0" applyProtection="0"/>
    <xf numFmtId="0" fontId="1" fillId="26" borderId="0" applyNumberFormat="0" applyBorder="0" applyAlignment="0" applyProtection="0"/>
    <xf numFmtId="0" fontId="50" fillId="65" borderId="0" applyNumberFormat="0" applyBorder="0" applyAlignment="0" applyProtection="0"/>
    <xf numFmtId="0" fontId="18" fillId="29" borderId="0" applyNumberFormat="0" applyBorder="0" applyAlignment="0" applyProtection="0"/>
    <xf numFmtId="0" fontId="1" fillId="22" borderId="0" applyNumberFormat="0" applyBorder="0" applyAlignment="0" applyProtection="0"/>
    <xf numFmtId="0" fontId="51" fillId="69" borderId="0" applyNumberFormat="0" applyBorder="0" applyAlignment="0" applyProtection="0"/>
    <xf numFmtId="0" fontId="65" fillId="0" borderId="43" applyNumberFormat="0" applyFill="0" applyAlignment="0" applyProtection="0"/>
    <xf numFmtId="0" fontId="1" fillId="27" borderId="0" applyNumberFormat="0" applyBorder="0" applyAlignment="0" applyProtection="0"/>
    <xf numFmtId="0" fontId="18" fillId="13" borderId="0" applyNumberFormat="0" applyBorder="0" applyAlignment="0" applyProtection="0"/>
    <xf numFmtId="0" fontId="1" fillId="31" borderId="0" applyNumberFormat="0" applyBorder="0" applyAlignment="0" applyProtection="0"/>
    <xf numFmtId="0" fontId="56" fillId="67" borderId="0" applyNumberFormat="0" applyBorder="0" applyAlignment="0" applyProtection="0"/>
    <xf numFmtId="0" fontId="18" fillId="20" borderId="0" applyNumberFormat="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58" fillId="0" borderId="38" applyNumberFormat="0" applyFill="0" applyAlignment="0" applyProtection="0"/>
    <xf numFmtId="0" fontId="1" fillId="18"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0" fillId="5" borderId="4" applyNumberFormat="0" applyAlignment="0" applyProtection="0"/>
    <xf numFmtId="0" fontId="18" fillId="32" borderId="0" applyNumberFormat="0" applyBorder="0" applyAlignment="0" applyProtection="0"/>
    <xf numFmtId="0" fontId="51" fillId="65" borderId="0" applyNumberFormat="0" applyBorder="0" applyAlignment="0" applyProtection="0"/>
    <xf numFmtId="0" fontId="48" fillId="53" borderId="34" applyNumberFormat="0" applyFont="0" applyBorder="0" applyAlignment="0" applyProtection="0"/>
    <xf numFmtId="0" fontId="18" fillId="29" borderId="0" applyNumberFormat="0" applyBorder="0" applyAlignment="0" applyProtection="0"/>
    <xf numFmtId="0" fontId="52" fillId="61" borderId="0" applyNumberFormat="0" applyBorder="0" applyAlignment="0" applyProtection="0"/>
    <xf numFmtId="0" fontId="9" fillId="4" borderId="0" applyNumberFormat="0" applyBorder="0" applyAlignment="0" applyProtection="0"/>
    <xf numFmtId="0" fontId="42" fillId="56" borderId="0" applyNumberFormat="0" applyFont="0" applyBorder="0" applyAlignment="0" applyProtection="0">
      <alignment vertical="center"/>
    </xf>
    <xf numFmtId="0" fontId="50" fillId="68" borderId="0" applyNumberFormat="0" applyBorder="0" applyAlignment="0" applyProtection="0"/>
    <xf numFmtId="0" fontId="6" fillId="0" borderId="0" applyNumberFormat="0" applyFill="0" applyBorder="0" applyAlignment="0" applyProtection="0"/>
    <xf numFmtId="0" fontId="1" fillId="31" borderId="0" applyNumberFormat="0" applyBorder="0" applyAlignment="0" applyProtection="0"/>
    <xf numFmtId="0" fontId="13" fillId="0" borderId="6" applyNumberFormat="0" applyFill="0" applyAlignment="0" applyProtection="0"/>
    <xf numFmtId="0" fontId="51" fillId="67" borderId="0" applyNumberFormat="0" applyBorder="0" applyAlignment="0" applyProtection="0"/>
    <xf numFmtId="0" fontId="15" fillId="0" borderId="0" applyNumberFormat="0" applyFill="0" applyBorder="0" applyAlignment="0" applyProtection="0"/>
    <xf numFmtId="0" fontId="51" fillId="72" borderId="0" applyNumberFormat="0" applyBorder="0" applyAlignment="0" applyProtection="0"/>
    <xf numFmtId="0" fontId="11" fillId="6" borderId="5" applyNumberFormat="0" applyAlignment="0" applyProtection="0"/>
    <xf numFmtId="0" fontId="51" fillId="62" borderId="0" applyNumberFormat="0" applyBorder="0" applyAlignment="0" applyProtection="0"/>
    <xf numFmtId="0" fontId="6" fillId="0" borderId="3" applyNumberFormat="0" applyFill="0" applyAlignment="0" applyProtection="0"/>
    <xf numFmtId="10" fontId="42" fillId="0" borderId="0" applyFont="0" applyFill="0" applyBorder="0" applyAlignment="0" applyProtection="0"/>
    <xf numFmtId="0" fontId="50" fillId="68" borderId="0" applyNumberFormat="0" applyBorder="0" applyAlignment="0" applyProtection="0"/>
    <xf numFmtId="0" fontId="14" fillId="7" borderId="7" applyNumberFormat="0" applyAlignment="0" applyProtection="0"/>
    <xf numFmtId="0" fontId="18" fillId="16" borderId="0" applyNumberFormat="0" applyBorder="0" applyAlignment="0" applyProtection="0"/>
    <xf numFmtId="0" fontId="4" fillId="0" borderId="1" applyNumberFormat="0" applyFill="0" applyAlignment="0" applyProtection="0"/>
    <xf numFmtId="0" fontId="9" fillId="4" borderId="0" applyNumberFormat="0" applyBorder="0" applyAlignment="0" applyProtection="0"/>
    <xf numFmtId="0" fontId="50" fillId="67" borderId="0" applyNumberFormat="0" applyBorder="0" applyAlignment="0" applyProtection="0"/>
    <xf numFmtId="0" fontId="17" fillId="0" borderId="9" applyNumberFormat="0" applyFill="0" applyAlignment="0" applyProtection="0"/>
    <xf numFmtId="0" fontId="13" fillId="0" borderId="6" applyNumberFormat="0" applyFill="0" applyAlignment="0" applyProtection="0"/>
    <xf numFmtId="0" fontId="42" fillId="56" borderId="0" applyNumberFormat="0" applyFont="0" applyBorder="0" applyAlignment="0" applyProtection="0">
      <alignment vertical="center"/>
    </xf>
    <xf numFmtId="10" fontId="42" fillId="0" borderId="0" applyFont="0" applyFill="0" applyBorder="0" applyAlignment="0" applyProtection="0"/>
    <xf numFmtId="0" fontId="18" fillId="20" borderId="0" applyNumberFormat="0" applyBorder="0" applyAlignment="0" applyProtection="0"/>
    <xf numFmtId="0" fontId="59" fillId="0" borderId="0" applyNumberFormat="0" applyFill="0" applyBorder="0" applyAlignment="0" applyProtection="0"/>
    <xf numFmtId="0" fontId="50" fillId="66" borderId="0" applyNumberFormat="0" applyBorder="0" applyAlignment="0" applyProtection="0"/>
    <xf numFmtId="0" fontId="18" fillId="28" borderId="0" applyNumberFormat="0" applyBorder="0" applyAlignment="0" applyProtection="0"/>
    <xf numFmtId="0" fontId="42" fillId="76" borderId="41" applyNumberFormat="0" applyFont="0" applyAlignment="0" applyProtection="0"/>
    <xf numFmtId="0" fontId="64" fillId="0" borderId="0" applyNumberFormat="0" applyFill="0" applyBorder="0" applyAlignment="0" applyProtection="0"/>
    <xf numFmtId="0" fontId="50" fillId="52" borderId="0" applyNumberFormat="0" applyBorder="0" applyAlignment="0" applyProtection="0"/>
    <xf numFmtId="0" fontId="51" fillId="73" borderId="0" applyNumberFormat="0" applyBorder="0" applyAlignment="0" applyProtection="0"/>
    <xf numFmtId="0" fontId="54" fillId="75" borderId="36" applyNumberFormat="0" applyAlignment="0" applyProtection="0"/>
    <xf numFmtId="0" fontId="50" fillId="65" borderId="0" applyNumberFormat="0" applyBorder="0" applyAlignment="0" applyProtection="0"/>
    <xf numFmtId="0" fontId="62" fillId="52" borderId="0" applyNumberFormat="0" applyBorder="0" applyAlignment="0" applyProtection="0"/>
    <xf numFmtId="1" fontId="43" fillId="0" borderId="0" applyFont="0" applyFill="0" applyBorder="0" applyAlignment="0" applyProtection="0"/>
    <xf numFmtId="0" fontId="58" fillId="0" borderId="38" applyNumberFormat="0" applyFill="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8" fillId="0" borderId="0"/>
    <xf numFmtId="0" fontId="45" fillId="54" borderId="0" applyNumberFormat="0" applyBorder="0" applyProtection="0">
      <alignment vertical="center"/>
    </xf>
    <xf numFmtId="0" fontId="42" fillId="57" borderId="0"/>
    <xf numFmtId="0" fontId="56" fillId="67" borderId="0" applyNumberFormat="0" applyBorder="0" applyAlignment="0" applyProtection="0"/>
    <xf numFmtId="0" fontId="42" fillId="0" borderId="0">
      <alignment vertical="center"/>
    </xf>
    <xf numFmtId="0" fontId="50" fillId="65" borderId="0" applyNumberFormat="0" applyBorder="0" applyAlignment="0" applyProtection="0"/>
    <xf numFmtId="0" fontId="69" fillId="0" borderId="0" applyNumberFormat="0" applyFill="0" applyBorder="0" applyAlignment="0" applyProtection="0">
      <alignment horizontal="right"/>
    </xf>
    <xf numFmtId="0" fontId="59" fillId="0" borderId="0" applyNumberFormat="0" applyFill="0" applyBorder="0" applyAlignment="0" applyProtection="0"/>
    <xf numFmtId="0" fontId="63" fillId="68" borderId="42" applyNumberFormat="0" applyAlignment="0" applyProtection="0"/>
    <xf numFmtId="0" fontId="1" fillId="0" borderId="0"/>
    <xf numFmtId="0" fontId="6" fillId="0" borderId="0" applyNumberFormat="0" applyFill="0" applyBorder="0" applyAlignment="0" applyProtection="0"/>
    <xf numFmtId="0" fontId="71" fillId="79" borderId="0" applyNumberFormat="0" applyFont="0" applyBorder="0" applyAlignment="0" applyProtection="0">
      <alignment horizontal="right"/>
    </xf>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6" fillId="0" borderId="3" applyNumberFormat="0" applyFill="0" applyAlignment="0" applyProtection="0"/>
    <xf numFmtId="0" fontId="1" fillId="14" borderId="0" applyNumberFormat="0" applyBorder="0" applyAlignment="0" applyProtection="0"/>
    <xf numFmtId="0" fontId="1" fillId="15"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68" fillId="0" borderId="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50" fillId="66"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51" fillId="67"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8" fillId="21" borderId="0" applyNumberFormat="0" applyBorder="0" applyAlignment="0" applyProtection="0"/>
    <xf numFmtId="0" fontId="1" fillId="30" borderId="0" applyNumberFormat="0" applyBorder="0" applyAlignment="0" applyProtection="0"/>
    <xf numFmtId="0" fontId="58" fillId="0" borderId="38" applyNumberFormat="0" applyFill="0" applyAlignment="0" applyProtection="0"/>
    <xf numFmtId="0" fontId="51" fillId="69" borderId="0" applyNumberFormat="0" applyBorder="0" applyAlignment="0" applyProtection="0"/>
    <xf numFmtId="0" fontId="50" fillId="67"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65" fillId="0" borderId="43" applyNumberFormat="0" applyFill="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5" borderId="0" applyNumberFormat="0" applyBorder="0" applyAlignment="0" applyProtection="0"/>
    <xf numFmtId="0" fontId="1" fillId="10"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9"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2"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51" fillId="70" borderId="0" applyNumberFormat="0" applyBorder="0" applyAlignment="0" applyProtection="0"/>
    <xf numFmtId="0" fontId="60" fillId="52" borderId="35" applyNumberFormat="0" applyAlignment="0" applyProtection="0"/>
    <xf numFmtId="0" fontId="1" fillId="26"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15" borderId="0" applyNumberFormat="0" applyBorder="0" applyAlignment="0" applyProtection="0"/>
    <xf numFmtId="0" fontId="48" fillId="0" borderId="44" applyNumberFormat="0" applyFont="0" applyFill="0" applyAlignment="0" applyProtection="0"/>
    <xf numFmtId="0" fontId="1" fillId="8" borderId="8" applyNumberFormat="0" applyFont="0" applyAlignment="0" applyProtection="0"/>
    <xf numFmtId="0" fontId="1" fillId="14" borderId="0" applyNumberFormat="0" applyBorder="0" applyAlignment="0" applyProtection="0"/>
    <xf numFmtId="0" fontId="1" fillId="30" borderId="0" applyNumberFormat="0" applyBorder="0" applyAlignment="0" applyProtection="0"/>
    <xf numFmtId="0" fontId="1" fillId="26" borderId="0" applyNumberFormat="0" applyBorder="0" applyAlignment="0" applyProtection="0"/>
    <xf numFmtId="0" fontId="1" fillId="22"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54" fillId="75" borderId="36" applyNumberFormat="0" applyAlignment="0" applyProtection="0"/>
    <xf numFmtId="0" fontId="42" fillId="0" borderId="0">
      <alignment vertical="center"/>
    </xf>
    <xf numFmtId="0" fontId="50" fillId="67" borderId="0" applyNumberFormat="0" applyBorder="0" applyAlignment="0" applyProtection="0"/>
    <xf numFmtId="0" fontId="50" fillId="68" borderId="0" applyNumberFormat="0" applyBorder="0" applyAlignment="0" applyProtection="0"/>
    <xf numFmtId="0" fontId="50" fillId="52" borderId="0" applyNumberFormat="0" applyBorder="0" applyAlignment="0" applyProtection="0"/>
    <xf numFmtId="0" fontId="50" fillId="65" borderId="0" applyNumberFormat="0" applyBorder="0" applyAlignment="0" applyProtection="0"/>
    <xf numFmtId="0" fontId="50" fillId="69" borderId="0" applyNumberFormat="0" applyBorder="0" applyAlignment="0" applyProtection="0"/>
    <xf numFmtId="0" fontId="50" fillId="67" borderId="0" applyNumberFormat="0" applyBorder="0" applyAlignment="0" applyProtection="0"/>
    <xf numFmtId="0" fontId="50" fillId="65" borderId="0" applyNumberFormat="0" applyBorder="0" applyAlignment="0" applyProtection="0"/>
    <xf numFmtId="0" fontId="50" fillId="66" borderId="0" applyNumberFormat="0" applyBorder="0" applyAlignment="0" applyProtection="0"/>
    <xf numFmtId="0" fontId="50" fillId="65" borderId="0" applyNumberFormat="0" applyBorder="0" applyAlignment="0" applyProtection="0"/>
    <xf numFmtId="0" fontId="50" fillId="66" borderId="0" applyNumberFormat="0" applyBorder="0" applyAlignment="0" applyProtection="0"/>
    <xf numFmtId="0" fontId="50" fillId="65" borderId="0" applyNumberFormat="0" applyBorder="0" applyAlignment="0" applyProtection="0"/>
    <xf numFmtId="0" fontId="50" fillId="67" borderId="0" applyNumberFormat="0" applyBorder="0" applyAlignment="0" applyProtection="0"/>
    <xf numFmtId="0" fontId="51" fillId="65" borderId="0" applyNumberFormat="0" applyBorder="0" applyAlignment="0" applyProtection="0"/>
    <xf numFmtId="0" fontId="51" fillId="51" borderId="0" applyNumberFormat="0" applyBorder="0" applyAlignment="0" applyProtection="0"/>
    <xf numFmtId="0" fontId="51" fillId="67" borderId="0" applyNumberFormat="0" applyBorder="0" applyAlignment="0" applyProtection="0"/>
    <xf numFmtId="0" fontId="51" fillId="69" borderId="0" applyNumberFormat="0" applyBorder="0" applyAlignment="0" applyProtection="0"/>
    <xf numFmtId="0" fontId="51" fillId="65" borderId="0" applyNumberFormat="0" applyBorder="0" applyAlignment="0" applyProtection="0"/>
    <xf numFmtId="0" fontId="51" fillId="51" borderId="0" applyNumberFormat="0" applyBorder="0" applyAlignment="0" applyProtection="0"/>
    <xf numFmtId="0" fontId="51" fillId="70" borderId="0" applyNumberFormat="0" applyBorder="0" applyAlignment="0" applyProtection="0"/>
    <xf numFmtId="0" fontId="51" fillId="62" borderId="0" applyNumberFormat="0" applyBorder="0" applyAlignment="0" applyProtection="0"/>
    <xf numFmtId="0" fontId="51" fillId="67" borderId="0" applyNumberFormat="0" applyBorder="0" applyAlignment="0" applyProtection="0"/>
    <xf numFmtId="0" fontId="51" fillId="71" borderId="0" applyNumberFormat="0" applyBorder="0" applyAlignment="0" applyProtection="0"/>
    <xf numFmtId="0" fontId="51" fillId="72" borderId="0" applyNumberFormat="0" applyBorder="0" applyAlignment="0" applyProtection="0"/>
    <xf numFmtId="0" fontId="51" fillId="73" borderId="0" applyNumberFormat="0" applyBorder="0" applyAlignment="0" applyProtection="0"/>
    <xf numFmtId="0" fontId="52" fillId="61" borderId="0" applyNumberFormat="0" applyBorder="0" applyAlignment="0" applyProtection="0"/>
    <xf numFmtId="0" fontId="53" fillId="68" borderId="35" applyNumberFormat="0" applyAlignment="0" applyProtection="0"/>
    <xf numFmtId="0" fontId="54" fillId="75" borderId="36" applyNumberFormat="0" applyAlignment="0" applyProtection="0"/>
    <xf numFmtId="0" fontId="55" fillId="0" borderId="0" applyNumberFormat="0" applyFill="0" applyBorder="0" applyAlignment="0" applyProtection="0"/>
    <xf numFmtId="0" fontId="56" fillId="67" borderId="0" applyNumberFormat="0" applyBorder="0" applyAlignment="0" applyProtection="0"/>
    <xf numFmtId="0" fontId="57" fillId="0" borderId="37" applyNumberFormat="0" applyFill="0" applyAlignment="0" applyProtection="0"/>
    <xf numFmtId="0" fontId="58" fillId="0" borderId="38" applyNumberFormat="0" applyFill="0" applyAlignment="0" applyProtection="0"/>
    <xf numFmtId="0" fontId="59" fillId="0" borderId="39" applyNumberFormat="0" applyFill="0" applyAlignment="0" applyProtection="0"/>
    <xf numFmtId="0" fontId="59" fillId="0" borderId="0" applyNumberFormat="0" applyFill="0" applyBorder="0" applyAlignment="0" applyProtection="0"/>
    <xf numFmtId="0" fontId="60" fillId="52" borderId="35" applyNumberFormat="0" applyAlignment="0" applyProtection="0"/>
    <xf numFmtId="0" fontId="61" fillId="0" borderId="40" applyNumberFormat="0" applyFill="0" applyAlignment="0" applyProtection="0"/>
    <xf numFmtId="0" fontId="62" fillId="52" borderId="0" applyNumberFormat="0" applyBorder="0" applyAlignment="0" applyProtection="0"/>
    <xf numFmtId="0" fontId="42" fillId="76" borderId="41" applyNumberFormat="0" applyFont="0" applyAlignment="0" applyProtection="0"/>
    <xf numFmtId="0" fontId="63" fillId="68" borderId="42" applyNumberFormat="0" applyAlignment="0" applyProtection="0"/>
    <xf numFmtId="0" fontId="64" fillId="0" borderId="0" applyNumberFormat="0" applyFill="0" applyBorder="0" applyAlignment="0" applyProtection="0"/>
    <xf numFmtId="0" fontId="65" fillId="0" borderId="43" applyNumberFormat="0" applyFill="0" applyAlignment="0" applyProtection="0"/>
    <xf numFmtId="0" fontId="66" fillId="0" borderId="0" applyNumberFormat="0" applyFill="0" applyBorder="0" applyAlignment="0" applyProtection="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9"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2"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6"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15" borderId="0" applyNumberFormat="0" applyBorder="0" applyAlignment="0" applyProtection="0"/>
    <xf numFmtId="0" fontId="48" fillId="0" borderId="0"/>
    <xf numFmtId="0" fontId="70" fillId="0" borderId="0" applyNumberFormat="0" applyFont="0" applyBorder="0" applyAlignment="0" applyProtection="0"/>
    <xf numFmtId="0" fontId="55" fillId="0" borderId="0" applyNumberFormat="0" applyFill="0" applyBorder="0" applyAlignment="0" applyProtection="0"/>
    <xf numFmtId="0" fontId="66" fillId="0" borderId="0" applyNumberFormat="0" applyFill="0" applyBorder="0" applyAlignment="0" applyProtection="0"/>
    <xf numFmtId="5" fontId="48" fillId="0" borderId="0" applyFont="0" applyFill="0" applyBorder="0" applyAlignment="0" applyProtection="0"/>
    <xf numFmtId="0" fontId="50" fillId="67" borderId="0" applyNumberFormat="0" applyBorder="0" applyAlignment="0" applyProtection="0"/>
    <xf numFmtId="0" fontId="62" fillId="52" borderId="0" applyNumberFormat="0" applyBorder="0" applyAlignment="0" applyProtection="0"/>
    <xf numFmtId="0" fontId="1" fillId="10" borderId="0" applyNumberFormat="0" applyBorder="0" applyAlignment="0" applyProtection="0"/>
    <xf numFmtId="0" fontId="51" fillId="67" borderId="0" applyNumberFormat="0" applyBorder="0" applyAlignment="0" applyProtection="0"/>
    <xf numFmtId="0" fontId="1" fillId="22" borderId="0" applyNumberFormat="0" applyBorder="0" applyAlignment="0" applyProtection="0"/>
    <xf numFmtId="0" fontId="1" fillId="10" borderId="0" applyNumberFormat="0" applyBorder="0" applyAlignment="0" applyProtection="0"/>
    <xf numFmtId="0" fontId="51" fillId="71" borderId="0" applyNumberFormat="0" applyBorder="0" applyAlignment="0" applyProtection="0"/>
    <xf numFmtId="0" fontId="50" fillId="52" borderId="0" applyNumberFormat="0" applyBorder="0" applyAlignment="0" applyProtection="0"/>
    <xf numFmtId="0" fontId="50" fillId="68" borderId="0" applyNumberFormat="0" applyBorder="0" applyAlignment="0" applyProtection="0"/>
    <xf numFmtId="0" fontId="61" fillId="0" borderId="40" applyNumberFormat="0" applyFill="0" applyAlignment="0" applyProtection="0"/>
    <xf numFmtId="0" fontId="51" fillId="62" borderId="0" applyNumberFormat="0" applyBorder="0" applyAlignment="0" applyProtection="0"/>
    <xf numFmtId="0" fontId="42" fillId="76" borderId="41" applyNumberFormat="0" applyFont="0" applyAlignment="0" applyProtection="0"/>
    <xf numFmtId="164" fontId="43" fillId="0" borderId="0" applyFont="0" applyFill="0" applyBorder="0" applyAlignment="0" applyProtection="0"/>
    <xf numFmtId="0" fontId="1" fillId="10" borderId="0" applyNumberFormat="0" applyBorder="0" applyAlignment="0" applyProtection="0"/>
    <xf numFmtId="0" fontId="59" fillId="0" borderId="0" applyNumberFormat="0" applyFill="0" applyBorder="0" applyAlignment="0" applyProtection="0"/>
    <xf numFmtId="0" fontId="14" fillId="7" borderId="7" applyNumberFormat="0" applyAlignment="0" applyProtection="0"/>
    <xf numFmtId="0" fontId="48" fillId="0" borderId="0" applyFont="0" applyFill="0" applyBorder="0" applyAlignment="0" applyProtection="0"/>
    <xf numFmtId="2" fontId="48" fillId="0" borderId="0" applyFont="0" applyFill="0" applyBorder="0" applyAlignment="0" applyProtection="0">
      <alignment horizontal="right"/>
    </xf>
    <xf numFmtId="0" fontId="42" fillId="0" borderId="0">
      <alignment vertical="center"/>
    </xf>
    <xf numFmtId="0" fontId="46" fillId="78" borderId="45" applyNumberFormat="0" applyFont="0" applyBorder="0" applyAlignment="0" applyProtection="0">
      <alignment horizontal="right"/>
    </xf>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50" fillId="66" borderId="0" applyNumberFormat="0" applyBorder="0" applyAlignment="0" applyProtection="0"/>
    <xf numFmtId="0" fontId="46" fillId="53" borderId="15" applyNumberFormat="0" applyFont="0" applyBorder="0" applyAlignment="0" applyProtection="0">
      <alignment horizontal="right"/>
    </xf>
    <xf numFmtId="0" fontId="48" fillId="0" borderId="0">
      <alignment vertical="top"/>
    </xf>
    <xf numFmtId="0" fontId="1" fillId="10" borderId="0" applyNumberFormat="0" applyBorder="0" applyAlignment="0" applyProtection="0"/>
    <xf numFmtId="1" fontId="43" fillId="0" borderId="0" applyFon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50" fillId="67" borderId="0" applyNumberFormat="0" applyBorder="0" applyAlignment="0" applyProtection="0"/>
    <xf numFmtId="0" fontId="1" fillId="14" borderId="0" applyNumberFormat="0" applyBorder="0" applyAlignment="0" applyProtection="0"/>
    <xf numFmtId="10" fontId="42" fillId="0" borderId="0" applyFont="0" applyFill="0" applyBorder="0" applyAlignment="0" applyProtection="0"/>
    <xf numFmtId="0" fontId="1" fillId="10" borderId="0" applyNumberFormat="0" applyBorder="0" applyAlignment="0" applyProtection="0"/>
    <xf numFmtId="0" fontId="60" fillId="52" borderId="35" applyNumberFormat="0" applyAlignment="0" applyProtection="0"/>
    <xf numFmtId="0" fontId="52" fillId="61" borderId="0" applyNumberFormat="0" applyBorder="0" applyAlignment="0" applyProtection="0"/>
    <xf numFmtId="0" fontId="1" fillId="14" borderId="0" applyNumberFormat="0" applyBorder="0" applyAlignment="0" applyProtection="0"/>
    <xf numFmtId="0" fontId="59" fillId="0" borderId="39" applyNumberFormat="0" applyFill="0" applyAlignment="0" applyProtection="0"/>
    <xf numFmtId="0" fontId="46" fillId="0" borderId="0" applyNumberFormat="0" applyFont="0" applyBorder="0" applyAlignment="0" applyProtection="0">
      <alignment horizontal="right"/>
    </xf>
    <xf numFmtId="0" fontId="1" fillId="14" borderId="0" applyNumberFormat="0" applyBorder="0" applyAlignment="0" applyProtection="0"/>
    <xf numFmtId="0" fontId="51" fillId="73" borderId="0" applyNumberFormat="0" applyBorder="0" applyAlignment="0" applyProtection="0"/>
    <xf numFmtId="0" fontId="51" fillId="72" borderId="0" applyNumberFormat="0" applyBorder="0" applyAlignment="0" applyProtection="0"/>
    <xf numFmtId="0" fontId="53" fillId="68" borderId="35" applyNumberFormat="0" applyAlignment="0" applyProtection="0"/>
    <xf numFmtId="0" fontId="51" fillId="65" borderId="0" applyNumberFormat="0" applyBorder="0" applyAlignment="0" applyProtection="0"/>
    <xf numFmtId="0" fontId="1" fillId="14" borderId="0" applyNumberFormat="0" applyBorder="0" applyAlignment="0" applyProtection="0"/>
    <xf numFmtId="7" fontId="48" fillId="0" borderId="0" applyFont="0" applyFill="0" applyBorder="0" applyAlignment="0" applyProtection="0"/>
    <xf numFmtId="167" fontId="48" fillId="0" borderId="0" applyFont="0" applyFill="0" applyBorder="0" applyAlignment="0" applyProtection="0">
      <alignment horizontal="right"/>
    </xf>
    <xf numFmtId="0" fontId="1" fillId="10"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64" fillId="0" borderId="0" applyNumberFormat="0" applyFill="0" applyBorder="0" applyAlignment="0" applyProtection="0"/>
    <xf numFmtId="166" fontId="48" fillId="0" borderId="0" applyFont="0" applyFill="0" applyBorder="0" applyAlignment="0" applyProtection="0">
      <alignment horizontal="right"/>
    </xf>
    <xf numFmtId="0" fontId="63" fillId="68" borderId="42" applyNumberFormat="0" applyAlignment="0" applyProtection="0"/>
    <xf numFmtId="0" fontId="1" fillId="10" borderId="0" applyNumberFormat="0" applyBorder="0" applyAlignment="0" applyProtection="0"/>
    <xf numFmtId="0" fontId="1" fillId="14" borderId="0" applyNumberFormat="0" applyBorder="0" applyAlignment="0" applyProtection="0"/>
    <xf numFmtId="0" fontId="8" fillId="3" borderId="0" applyNumberFormat="0" applyBorder="0" applyAlignment="0" applyProtection="0"/>
    <xf numFmtId="0" fontId="1" fillId="14" borderId="0" applyNumberFormat="0" applyBorder="0" applyAlignment="0" applyProtection="0"/>
    <xf numFmtId="0" fontId="51" fillId="65" borderId="0" applyNumberFormat="0" applyBorder="0" applyAlignment="0" applyProtection="0"/>
    <xf numFmtId="0" fontId="1" fillId="8" borderId="8" applyNumberFormat="0" applyFont="0" applyAlignment="0" applyProtection="0"/>
    <xf numFmtId="0" fontId="18" fillId="9" borderId="0" applyNumberFormat="0" applyBorder="0" applyAlignment="0" applyProtection="0"/>
    <xf numFmtId="0" fontId="50" fillId="65"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26" borderId="0" applyNumberFormat="0" applyBorder="0" applyAlignment="0" applyProtection="0"/>
    <xf numFmtId="0" fontId="50" fillId="52" borderId="0" applyNumberFormat="0" applyBorder="0" applyAlignment="0" applyProtection="0"/>
    <xf numFmtId="0" fontId="42" fillId="0" borderId="0">
      <alignment vertical="center"/>
    </xf>
    <xf numFmtId="0" fontId="51" fillId="65" borderId="0" applyNumberFormat="0" applyBorder="0" applyAlignment="0" applyProtection="0"/>
    <xf numFmtId="0" fontId="1" fillId="10" borderId="0" applyNumberFormat="0" applyBorder="0" applyAlignment="0" applyProtection="0"/>
    <xf numFmtId="166" fontId="43" fillId="0" borderId="0" applyFont="0" applyFill="0" applyBorder="0" applyAlignment="0" applyProtection="0"/>
    <xf numFmtId="0" fontId="1" fillId="11" borderId="0" applyNumberFormat="0" applyBorder="0" applyAlignment="0" applyProtection="0"/>
    <xf numFmtId="0" fontId="53" fillId="68" borderId="35" applyNumberFormat="0" applyAlignment="0" applyProtection="0"/>
    <xf numFmtId="0" fontId="50" fillId="67" borderId="0" applyNumberFormat="0" applyBorder="0" applyAlignment="0" applyProtection="0"/>
    <xf numFmtId="0" fontId="50" fillId="65"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57" fillId="0" borderId="37" applyNumberFormat="0" applyFill="0" applyAlignment="0" applyProtection="0"/>
    <xf numFmtId="0" fontId="4" fillId="0" borderId="1" applyNumberFormat="0" applyFill="0" applyAlignment="0" applyProtection="0"/>
    <xf numFmtId="167" fontId="43" fillId="0" borderId="0" applyFont="0" applyFill="0" applyBorder="0" applyAlignment="0" applyProtection="0"/>
    <xf numFmtId="164" fontId="48" fillId="0" borderId="0" applyFont="0" applyFill="0" applyBorder="0" applyAlignment="0" applyProtection="0">
      <alignment horizontal="right"/>
    </xf>
    <xf numFmtId="0" fontId="48" fillId="0" borderId="0" applyNumberFormat="0" applyFont="0" applyBorder="0" applyAlignment="0" applyProtection="0">
      <alignment horizontal="right"/>
    </xf>
    <xf numFmtId="0" fontId="1" fillId="14" borderId="0" applyNumberFormat="0" applyBorder="0" applyAlignment="0" applyProtection="0"/>
    <xf numFmtId="0" fontId="51" fillId="73" borderId="0" applyNumberFormat="0" applyBorder="0" applyAlignment="0" applyProtection="0"/>
    <xf numFmtId="0" fontId="1" fillId="27" borderId="0" applyNumberFormat="0" applyBorder="0" applyAlignment="0" applyProtection="0"/>
    <xf numFmtId="2" fontId="43" fillId="0" borderId="0" applyFont="0" applyFill="0" applyBorder="0" applyAlignment="0" applyProtection="0"/>
    <xf numFmtId="0" fontId="1" fillId="14" borderId="0" applyNumberFormat="0" applyBorder="0" applyAlignment="0" applyProtection="0"/>
    <xf numFmtId="0" fontId="50" fillId="69" borderId="0" applyNumberFormat="0" applyBorder="0" applyAlignment="0" applyProtection="0"/>
    <xf numFmtId="0" fontId="48" fillId="60" borderId="0" applyNumberFormat="0" applyFont="0" applyBorder="0" applyAlignment="0" applyProtection="0">
      <alignment horizontal="right"/>
    </xf>
    <xf numFmtId="0" fontId="51" fillId="72" borderId="0" applyNumberFormat="0" applyBorder="0" applyAlignment="0" applyProtection="0"/>
    <xf numFmtId="0" fontId="1" fillId="22" borderId="0" applyNumberFormat="0" applyBorder="0" applyAlignment="0" applyProtection="0"/>
    <xf numFmtId="0" fontId="1" fillId="10" borderId="0" applyNumberFormat="0" applyBorder="0" applyAlignment="0" applyProtection="0"/>
    <xf numFmtId="0" fontId="51" fillId="51" borderId="0" applyNumberFormat="0" applyBorder="0" applyAlignment="0" applyProtection="0"/>
    <xf numFmtId="1" fontId="48" fillId="0" borderId="0" applyFont="0" applyFill="0" applyBorder="0" applyAlignment="0" applyProtection="0">
      <alignment horizontal="right"/>
    </xf>
    <xf numFmtId="0" fontId="1" fillId="10" borderId="0" applyNumberFormat="0" applyBorder="0" applyAlignment="0" applyProtection="0"/>
    <xf numFmtId="0" fontId="1" fillId="10" borderId="0" applyNumberFormat="0" applyBorder="0" applyAlignment="0" applyProtection="0"/>
    <xf numFmtId="0" fontId="65" fillId="0" borderId="43" applyNumberFormat="0" applyFill="0" applyAlignment="0" applyProtection="0"/>
    <xf numFmtId="0" fontId="1" fillId="14" borderId="0" applyNumberFormat="0" applyBorder="0" applyAlignment="0" applyProtection="0"/>
    <xf numFmtId="0" fontId="51" fillId="67" borderId="0" applyNumberFormat="0" applyBorder="0" applyAlignment="0" applyProtection="0"/>
    <xf numFmtId="0" fontId="42" fillId="0" borderId="0">
      <alignment vertical="center"/>
    </xf>
    <xf numFmtId="0" fontId="42" fillId="0" borderId="0">
      <alignment vertical="center"/>
    </xf>
    <xf numFmtId="0" fontId="1" fillId="14" borderId="0" applyNumberFormat="0" applyBorder="0" applyAlignment="0" applyProtection="0"/>
    <xf numFmtId="0" fontId="1" fillId="10" borderId="0" applyNumberFormat="0" applyBorder="0" applyAlignment="0" applyProtection="0"/>
    <xf numFmtId="0" fontId="1" fillId="0" borderId="0"/>
    <xf numFmtId="0" fontId="51" fillId="51" borderId="0" applyNumberFormat="0" applyBorder="0" applyAlignment="0" applyProtection="0"/>
    <xf numFmtId="0" fontId="50" fillId="69" borderId="0" applyNumberFormat="0" applyBorder="0" applyAlignment="0" applyProtection="0"/>
    <xf numFmtId="0" fontId="12" fillId="6" borderId="4" applyNumberFormat="0" applyAlignment="0" applyProtection="0"/>
    <xf numFmtId="0" fontId="50" fillId="65" borderId="0" applyNumberFormat="0" applyBorder="0" applyAlignment="0" applyProtection="0"/>
    <xf numFmtId="0" fontId="1" fillId="14" borderId="0" applyNumberFormat="0" applyBorder="0" applyAlignment="0" applyProtection="0"/>
    <xf numFmtId="0" fontId="50" fillId="6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2" fillId="0" borderId="0" applyNumberFormat="0" applyFont="0" applyBorder="0" applyAlignment="0" applyProtection="0">
      <alignment horizontal="right"/>
    </xf>
    <xf numFmtId="0" fontId="46" fillId="0" borderId="0" applyNumberFormat="0" applyFont="0" applyBorder="0" applyAlignment="0" applyProtection="0"/>
    <xf numFmtId="0" fontId="46" fillId="77" borderId="45" applyNumberFormat="0" applyFont="0" applyBorder="0" applyAlignment="0" applyProtection="0">
      <alignment horizontal="right"/>
    </xf>
    <xf numFmtId="0" fontId="1" fillId="15" borderId="0" applyNumberFormat="0" applyBorder="0" applyAlignment="0" applyProtection="0"/>
    <xf numFmtId="0" fontId="18" fillId="17"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58" fillId="0" borderId="38" applyNumberFormat="0" applyFill="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7" fillId="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51" fillId="71"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19"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50" fillId="6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2" fillId="57"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8" fillId="12"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11" borderId="0" applyNumberFormat="0" applyBorder="0" applyAlignment="0" applyProtection="0"/>
    <xf numFmtId="0" fontId="1" fillId="10" borderId="0" applyNumberFormat="0" applyBorder="0" applyAlignment="0" applyProtection="0"/>
    <xf numFmtId="0" fontId="59" fillId="0" borderId="39" applyNumberFormat="0" applyFill="0" applyAlignment="0" applyProtection="0"/>
    <xf numFmtId="0" fontId="54" fillId="75" borderId="36" applyNumberFormat="0" applyAlignment="0" applyProtection="0"/>
    <xf numFmtId="0" fontId="10" fillId="5" borderId="4" applyNumberFormat="0" applyAlignment="0" applyProtection="0"/>
    <xf numFmtId="0" fontId="56" fillId="67" borderId="0" applyNumberFormat="0" applyBorder="0" applyAlignment="0" applyProtection="0"/>
    <xf numFmtId="0" fontId="1" fillId="31" borderId="0" applyNumberFormat="0" applyBorder="0" applyAlignment="0" applyProtection="0"/>
    <xf numFmtId="0" fontId="18" fillId="20" borderId="0" applyNumberFormat="0" applyBorder="0" applyAlignment="0" applyProtection="0"/>
    <xf numFmtId="0" fontId="18" fillId="32" borderId="0" applyNumberFormat="0" applyBorder="0" applyAlignment="0" applyProtection="0"/>
    <xf numFmtId="0" fontId="1" fillId="18" borderId="0" applyNumberFormat="0" applyBorder="0" applyAlignment="0" applyProtection="0"/>
    <xf numFmtId="0" fontId="51" fillId="65" borderId="0" applyNumberFormat="0" applyBorder="0" applyAlignment="0" applyProtection="0"/>
    <xf numFmtId="0" fontId="5" fillId="0" borderId="2" applyNumberFormat="0" applyFill="0" applyAlignment="0" applyProtection="0"/>
    <xf numFmtId="0" fontId="1" fillId="14" borderId="0" applyNumberFormat="0" applyBorder="0" applyAlignment="0" applyProtection="0"/>
    <xf numFmtId="0" fontId="1" fillId="10" borderId="0" applyNumberFormat="0" applyBorder="0" applyAlignment="0" applyProtection="0"/>
    <xf numFmtId="0" fontId="50" fillId="6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14" borderId="0" applyNumberFormat="0" applyBorder="0" applyAlignment="0" applyProtection="0"/>
    <xf numFmtId="0" fontId="51" fillId="70" borderId="0" applyNumberFormat="0" applyBorder="0" applyAlignment="0" applyProtection="0"/>
    <xf numFmtId="0" fontId="1" fillId="30" borderId="0" applyNumberFormat="0" applyBorder="0" applyAlignment="0" applyProtection="0"/>
    <xf numFmtId="0" fontId="1" fillId="19" borderId="0" applyNumberFormat="0" applyBorder="0" applyAlignment="0" applyProtection="0"/>
    <xf numFmtId="0" fontId="50" fillId="65" borderId="0" applyNumberFormat="0" applyBorder="0" applyAlignment="0" applyProtection="0"/>
    <xf numFmtId="0" fontId="61" fillId="0" borderId="40" applyNumberFormat="0" applyFill="0" applyAlignment="0" applyProtection="0"/>
    <xf numFmtId="0" fontId="18" fillId="28" borderId="0" applyNumberFormat="0" applyBorder="0" applyAlignment="0" applyProtection="0"/>
    <xf numFmtId="0" fontId="1" fillId="30" borderId="0" applyNumberFormat="0" applyBorder="0" applyAlignment="0" applyProtection="0"/>
    <xf numFmtId="0" fontId="51" fillId="51" borderId="0" applyNumberFormat="0" applyBorder="0" applyAlignment="0" applyProtection="0"/>
    <xf numFmtId="0" fontId="68" fillId="0" borderId="0"/>
    <xf numFmtId="0" fontId="1" fillId="18" borderId="0" applyNumberFormat="0" applyBorder="0" applyAlignment="0" applyProtection="0"/>
    <xf numFmtId="0" fontId="1" fillId="27" borderId="0" applyNumberFormat="0" applyBorder="0" applyAlignment="0" applyProtection="0"/>
    <xf numFmtId="0" fontId="42" fillId="0" borderId="0">
      <alignment vertical="center"/>
    </xf>
    <xf numFmtId="0" fontId="52" fillId="61"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62" fillId="52" borderId="0" applyNumberFormat="0" applyBorder="0" applyAlignment="0" applyProtection="0"/>
    <xf numFmtId="0" fontId="13" fillId="0" borderId="6" applyNumberFormat="0" applyFill="0" applyAlignment="0" applyProtection="0"/>
    <xf numFmtId="0" fontId="1" fillId="23" borderId="0" applyNumberFormat="0" applyBorder="0" applyAlignment="0" applyProtection="0"/>
    <xf numFmtId="0" fontId="45" fillId="54" borderId="0" applyNumberFormat="0" applyBorder="0" applyProtection="0">
      <alignment vertical="center"/>
    </xf>
    <xf numFmtId="0" fontId="57" fillId="0" borderId="37" applyNumberFormat="0" applyFill="0" applyAlignment="0" applyProtection="0"/>
    <xf numFmtId="0" fontId="1" fillId="0" borderId="0"/>
    <xf numFmtId="0" fontId="51" fillId="69" borderId="0" applyNumberFormat="0" applyBorder="0" applyAlignment="0" applyProtection="0"/>
    <xf numFmtId="0" fontId="46" fillId="77" borderId="45" applyNumberFormat="0" applyFont="0" applyBorder="0" applyAlignment="0" applyProtection="0">
      <alignment horizontal="right"/>
    </xf>
    <xf numFmtId="0" fontId="51" fillId="67" borderId="0" applyNumberFormat="0" applyBorder="0" applyAlignment="0" applyProtection="0"/>
    <xf numFmtId="0" fontId="9" fillId="4" borderId="0" applyNumberFormat="0" applyBorder="0" applyAlignment="0" applyProtection="0"/>
    <xf numFmtId="0" fontId="42" fillId="76" borderId="41" applyNumberFormat="0" applyFont="0" applyAlignment="0" applyProtection="0"/>
    <xf numFmtId="0" fontId="51" fillId="51" borderId="0" applyNumberFormat="0" applyBorder="0" applyAlignment="0" applyProtection="0"/>
    <xf numFmtId="0" fontId="48" fillId="0" borderId="0"/>
    <xf numFmtId="0" fontId="18" fillId="25" borderId="0" applyNumberFormat="0" applyBorder="0" applyAlignment="0" applyProtection="0"/>
    <xf numFmtId="0" fontId="1" fillId="27" borderId="0" applyNumberFormat="0" applyBorder="0" applyAlignment="0" applyProtection="0"/>
    <xf numFmtId="0" fontId="55" fillId="0" borderId="0" applyNumberFormat="0" applyFill="0" applyBorder="0" applyAlignment="0" applyProtection="0"/>
    <xf numFmtId="0" fontId="66" fillId="0" borderId="0" applyNumberFormat="0" applyFill="0" applyBorder="0" applyAlignment="0" applyProtection="0"/>
    <xf numFmtId="0" fontId="11" fillId="6" borderId="5" applyNumberFormat="0" applyAlignment="0" applyProtection="0"/>
    <xf numFmtId="0" fontId="68" fillId="0" borderId="0"/>
    <xf numFmtId="0" fontId="1" fillId="22" borderId="0" applyNumberFormat="0" applyBorder="0" applyAlignment="0" applyProtection="0"/>
    <xf numFmtId="0" fontId="1" fillId="18" borderId="0" applyNumberFormat="0" applyBorder="0" applyAlignment="0" applyProtection="0"/>
    <xf numFmtId="0" fontId="50" fillId="65" borderId="0" applyNumberFormat="0" applyBorder="0" applyAlignment="0" applyProtection="0"/>
    <xf numFmtId="0" fontId="1" fillId="23" borderId="0" applyNumberFormat="0" applyBorder="0" applyAlignment="0" applyProtection="0"/>
    <xf numFmtId="0" fontId="17" fillId="0" borderId="9" applyNumberFormat="0" applyFill="0" applyAlignment="0" applyProtection="0"/>
    <xf numFmtId="0" fontId="1" fillId="31" borderId="0" applyNumberFormat="0" applyBorder="0" applyAlignment="0" applyProtection="0"/>
    <xf numFmtId="0" fontId="51" fillId="62" borderId="0" applyNumberFormat="0" applyBorder="0" applyAlignment="0" applyProtection="0"/>
    <xf numFmtId="0" fontId="50" fillId="67" borderId="0" applyNumberFormat="0" applyBorder="0" applyAlignment="0" applyProtection="0"/>
    <xf numFmtId="0" fontId="1" fillId="30" borderId="0" applyNumberFormat="0" applyBorder="0" applyAlignment="0" applyProtection="0"/>
    <xf numFmtId="0" fontId="1" fillId="19" borderId="0" applyNumberFormat="0" applyBorder="0" applyAlignment="0" applyProtection="0"/>
    <xf numFmtId="0" fontId="50" fillId="67" borderId="0" applyNumberFormat="0" applyBorder="0" applyAlignment="0" applyProtection="0"/>
    <xf numFmtId="0" fontId="64" fillId="0" borderId="0" applyNumberFormat="0" applyFill="0" applyBorder="0" applyAlignment="0" applyProtection="0"/>
    <xf numFmtId="0" fontId="15" fillId="0" borderId="0" applyNumberFormat="0" applyFill="0" applyBorder="0" applyAlignment="0" applyProtection="0"/>
    <xf numFmtId="0" fontId="18" fillId="16" borderId="0" applyNumberFormat="0" applyBorder="0" applyAlignment="0" applyProtection="0"/>
    <xf numFmtId="0" fontId="18" fillId="13" borderId="0" applyNumberFormat="0" applyBorder="0" applyAlignment="0" applyProtection="0"/>
    <xf numFmtId="0" fontId="16" fillId="0" borderId="0" applyNumberFormat="0" applyFill="0" applyBorder="0" applyAlignment="0" applyProtection="0"/>
    <xf numFmtId="0" fontId="68" fillId="0" borderId="0"/>
    <xf numFmtId="0" fontId="1" fillId="31" borderId="0" applyNumberFormat="0" applyBorder="0" applyAlignment="0" applyProtection="0"/>
    <xf numFmtId="0" fontId="1" fillId="15" borderId="0" applyNumberFormat="0" applyBorder="0" applyAlignment="0" applyProtection="0"/>
    <xf numFmtId="0" fontId="1" fillId="23" borderId="0" applyNumberFormat="0" applyBorder="0" applyAlignment="0" applyProtection="0"/>
    <xf numFmtId="0" fontId="18" fillId="29" borderId="0" applyNumberFormat="0" applyBorder="0" applyAlignment="0" applyProtection="0"/>
    <xf numFmtId="0" fontId="18" fillId="24" borderId="0" applyNumberFormat="0" applyBorder="0" applyAlignment="0" applyProtection="0"/>
    <xf numFmtId="0" fontId="48" fillId="0" borderId="0"/>
    <xf numFmtId="0" fontId="48" fillId="53" borderId="34" applyNumberFormat="0" applyFont="0" applyBorder="0" applyAlignment="0" applyProtection="0"/>
    <xf numFmtId="1" fontId="43" fillId="0" borderId="0" applyFont="0" applyFill="0" applyBorder="0" applyAlignment="0" applyProtection="0"/>
    <xf numFmtId="164" fontId="43" fillId="0" borderId="0" applyFont="0" applyFill="0" applyBorder="0" applyAlignment="0" applyProtection="0"/>
    <xf numFmtId="2" fontId="43" fillId="0" borderId="0" applyFont="0" applyFill="0" applyBorder="0" applyAlignment="0" applyProtection="0"/>
    <xf numFmtId="166" fontId="43" fillId="0" borderId="0" applyFont="0" applyFill="0" applyBorder="0" applyAlignment="0" applyProtection="0"/>
    <xf numFmtId="167" fontId="43" fillId="0" borderId="0" applyFont="0" applyFill="0" applyBorder="0" applyAlignment="0" applyProtection="0"/>
    <xf numFmtId="10" fontId="42" fillId="0" borderId="0" applyFont="0" applyFill="0" applyBorder="0" applyAlignment="0" applyProtection="0"/>
    <xf numFmtId="9" fontId="42" fillId="0" borderId="0" applyFont="0" applyFill="0" applyBorder="0" applyAlignment="0" applyProtection="0"/>
    <xf numFmtId="0" fontId="42" fillId="56" borderId="0" applyNumberFormat="0" applyFont="0" applyBorder="0" applyAlignment="0" applyProtection="0">
      <alignment vertical="center"/>
    </xf>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9"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2"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6"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15"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26" borderId="0" applyNumberFormat="0" applyBorder="0" applyAlignment="0" applyProtection="0"/>
    <xf numFmtId="0" fontId="1" fillId="22"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9"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2"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6"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15" borderId="0" applyNumberFormat="0" applyBorder="0" applyAlignment="0" applyProtection="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9"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2"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6"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15"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26" borderId="0" applyNumberFormat="0" applyBorder="0" applyAlignment="0" applyProtection="0"/>
    <xf numFmtId="0" fontId="1" fillId="22"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9"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2"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6"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23" borderId="0" applyNumberFormat="0" applyBorder="0" applyAlignment="0" applyProtection="0"/>
    <xf numFmtId="0" fontId="1" fillId="11" borderId="0" applyNumberFormat="0" applyBorder="0" applyAlignment="0" applyProtection="0"/>
    <xf numFmtId="0" fontId="1" fillId="19"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3" borderId="0" applyNumberFormat="0" applyBorder="0" applyAlignment="0" applyProtection="0"/>
    <xf numFmtId="0" fontId="1" fillId="3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19"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1" borderId="0" applyNumberFormat="0" applyBorder="0" applyAlignment="0" applyProtection="0"/>
    <xf numFmtId="0" fontId="1" fillId="22" borderId="0" applyNumberFormat="0" applyBorder="0" applyAlignment="0" applyProtection="0"/>
    <xf numFmtId="0" fontId="1" fillId="14" borderId="0" applyNumberFormat="0" applyBorder="0" applyAlignment="0" applyProtection="0"/>
    <xf numFmtId="0" fontId="1" fillId="26"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27" borderId="0" applyNumberFormat="0" applyBorder="0" applyAlignment="0" applyProtection="0"/>
    <xf numFmtId="0" fontId="1" fillId="26" borderId="0" applyNumberFormat="0" applyBorder="0" applyAlignment="0" applyProtection="0"/>
    <xf numFmtId="0" fontId="1" fillId="22"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18"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5" borderId="0" applyNumberFormat="0" applyBorder="0" applyAlignment="0" applyProtection="0"/>
    <xf numFmtId="0" fontId="1" fillId="10"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9"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2"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6"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15" borderId="0" applyNumberFormat="0" applyBorder="0" applyAlignment="0" applyProtection="0"/>
    <xf numFmtId="0" fontId="1" fillId="8" borderId="8" applyNumberFormat="0" applyFont="0" applyAlignment="0" applyProtection="0"/>
    <xf numFmtId="0" fontId="1" fillId="14" borderId="0" applyNumberFormat="0" applyBorder="0" applyAlignment="0" applyProtection="0"/>
    <xf numFmtId="0" fontId="1" fillId="30" borderId="0" applyNumberFormat="0" applyBorder="0" applyAlignment="0" applyProtection="0"/>
    <xf numFmtId="0" fontId="1" fillId="26" borderId="0" applyNumberFormat="0" applyBorder="0" applyAlignment="0" applyProtection="0"/>
    <xf numFmtId="0" fontId="1" fillId="22"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9"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2"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6"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15" borderId="0" applyNumberFormat="0" applyBorder="0" applyAlignment="0" applyProtection="0"/>
    <xf numFmtId="0" fontId="1" fillId="10" borderId="0" applyNumberFormat="0" applyBorder="0" applyAlignment="0" applyProtection="0"/>
    <xf numFmtId="0" fontId="1" fillId="2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8" borderId="8" applyNumberFormat="0" applyFont="0" applyAlignment="0" applyProtection="0"/>
    <xf numFmtId="0" fontId="1" fillId="14" borderId="0" applyNumberFormat="0" applyBorder="0" applyAlignment="0" applyProtection="0"/>
    <xf numFmtId="0" fontId="1" fillId="10" borderId="0" applyNumberFormat="0" applyBorder="0" applyAlignment="0" applyProtection="0"/>
    <xf numFmtId="0" fontId="1" fillId="26"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27" borderId="0" applyNumberFormat="0" applyBorder="0" applyAlignment="0" applyProtection="0"/>
    <xf numFmtId="0" fontId="1" fillId="14" borderId="0" applyNumberFormat="0" applyBorder="0" applyAlignment="0" applyProtection="0"/>
    <xf numFmtId="0" fontId="1" fillId="2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0" borderId="0"/>
    <xf numFmtId="0" fontId="1" fillId="14"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19"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11" borderId="0" applyNumberFormat="0" applyBorder="0" applyAlignment="0" applyProtection="0"/>
    <xf numFmtId="0" fontId="1" fillId="10" borderId="0" applyNumberFormat="0" applyBorder="0" applyAlignment="0" applyProtection="0"/>
    <xf numFmtId="0" fontId="1" fillId="31"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19"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27" borderId="0" applyNumberFormat="0" applyBorder="0" applyAlignment="0" applyProtection="0"/>
    <xf numFmtId="0" fontId="1" fillId="23" borderId="0" applyNumberFormat="0" applyBorder="0" applyAlignment="0" applyProtection="0"/>
    <xf numFmtId="0" fontId="1" fillId="0" borderId="0"/>
    <xf numFmtId="0" fontId="1" fillId="27" borderId="0" applyNumberFormat="0" applyBorder="0" applyAlignment="0" applyProtection="0"/>
    <xf numFmtId="0" fontId="1" fillId="22" borderId="0" applyNumberFormat="0" applyBorder="0" applyAlignment="0" applyProtection="0"/>
    <xf numFmtId="0" fontId="1" fillId="18" borderId="0" applyNumberFormat="0" applyBorder="0" applyAlignment="0" applyProtection="0"/>
    <xf numFmtId="0" fontId="1" fillId="23"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19" borderId="0" applyNumberFormat="0" applyBorder="0" applyAlignment="0" applyProtection="0"/>
    <xf numFmtId="0" fontId="1" fillId="31" borderId="0" applyNumberFormat="0" applyBorder="0" applyAlignment="0" applyProtection="0"/>
    <xf numFmtId="0" fontId="1" fillId="15" borderId="0" applyNumberFormat="0" applyBorder="0" applyAlignment="0" applyProtection="0"/>
    <xf numFmtId="0" fontId="1" fillId="23"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9"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2"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6"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15"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26" borderId="0" applyNumberFormat="0" applyBorder="0" applyAlignment="0" applyProtection="0"/>
    <xf numFmtId="0" fontId="1" fillId="22"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9"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2"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6"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15" borderId="0" applyNumberFormat="0" applyBorder="0" applyAlignment="0" applyProtection="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9"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2"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6"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15"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26" borderId="0" applyNumberFormat="0" applyBorder="0" applyAlignment="0" applyProtection="0"/>
    <xf numFmtId="0" fontId="1" fillId="22"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9"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2"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6"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15"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23" borderId="0" applyNumberFormat="0" applyBorder="0" applyAlignment="0" applyProtection="0"/>
    <xf numFmtId="0" fontId="1" fillId="11" borderId="0" applyNumberFormat="0" applyBorder="0" applyAlignment="0" applyProtection="0"/>
    <xf numFmtId="0" fontId="1" fillId="19"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3" borderId="0" applyNumberFormat="0" applyBorder="0" applyAlignment="0" applyProtection="0"/>
    <xf numFmtId="0" fontId="1" fillId="3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19"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1" borderId="0" applyNumberFormat="0" applyBorder="0" applyAlignment="0" applyProtection="0"/>
    <xf numFmtId="0" fontId="1" fillId="22" borderId="0" applyNumberFormat="0" applyBorder="0" applyAlignment="0" applyProtection="0"/>
    <xf numFmtId="0" fontId="1" fillId="14" borderId="0" applyNumberFormat="0" applyBorder="0" applyAlignment="0" applyProtection="0"/>
    <xf numFmtId="0" fontId="1" fillId="26"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27" borderId="0" applyNumberFormat="0" applyBorder="0" applyAlignment="0" applyProtection="0"/>
    <xf numFmtId="0" fontId="1" fillId="26" borderId="0" applyNumberFormat="0" applyBorder="0" applyAlignment="0" applyProtection="0"/>
    <xf numFmtId="0" fontId="1" fillId="22"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18"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5" borderId="0" applyNumberFormat="0" applyBorder="0" applyAlignment="0" applyProtection="0"/>
    <xf numFmtId="0" fontId="1" fillId="10"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9"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2"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6"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15" borderId="0" applyNumberFormat="0" applyBorder="0" applyAlignment="0" applyProtection="0"/>
    <xf numFmtId="0" fontId="1" fillId="8" borderId="8" applyNumberFormat="0" applyFont="0" applyAlignment="0" applyProtection="0"/>
    <xf numFmtId="0" fontId="1" fillId="14" borderId="0" applyNumberFormat="0" applyBorder="0" applyAlignment="0" applyProtection="0"/>
    <xf numFmtId="0" fontId="1" fillId="30" borderId="0" applyNumberFormat="0" applyBorder="0" applyAlignment="0" applyProtection="0"/>
    <xf numFmtId="0" fontId="1" fillId="26" borderId="0" applyNumberFormat="0" applyBorder="0" applyAlignment="0" applyProtection="0"/>
    <xf numFmtId="0" fontId="1" fillId="22"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9"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2"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6"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15" borderId="0" applyNumberFormat="0" applyBorder="0" applyAlignment="0" applyProtection="0"/>
    <xf numFmtId="0" fontId="1" fillId="10" borderId="0" applyNumberFormat="0" applyBorder="0" applyAlignment="0" applyProtection="0"/>
    <xf numFmtId="0" fontId="1" fillId="2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8" borderId="8" applyNumberFormat="0" applyFont="0" applyAlignment="0" applyProtection="0"/>
    <xf numFmtId="0" fontId="1" fillId="14" borderId="0" applyNumberFormat="0" applyBorder="0" applyAlignment="0" applyProtection="0"/>
    <xf numFmtId="0" fontId="1" fillId="10" borderId="0" applyNumberFormat="0" applyBorder="0" applyAlignment="0" applyProtection="0"/>
    <xf numFmtId="0" fontId="1" fillId="26"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27" borderId="0" applyNumberFormat="0" applyBorder="0" applyAlignment="0" applyProtection="0"/>
    <xf numFmtId="0" fontId="1" fillId="14" borderId="0" applyNumberFormat="0" applyBorder="0" applyAlignment="0" applyProtection="0"/>
    <xf numFmtId="0" fontId="1" fillId="2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0" borderId="0"/>
    <xf numFmtId="0" fontId="1" fillId="14"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19"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11" borderId="0" applyNumberFormat="0" applyBorder="0" applyAlignment="0" applyProtection="0"/>
    <xf numFmtId="0" fontId="1" fillId="10" borderId="0" applyNumberFormat="0" applyBorder="0" applyAlignment="0" applyProtection="0"/>
    <xf numFmtId="0" fontId="1" fillId="31"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19"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27" borderId="0" applyNumberFormat="0" applyBorder="0" applyAlignment="0" applyProtection="0"/>
    <xf numFmtId="0" fontId="1" fillId="23" borderId="0" applyNumberFormat="0" applyBorder="0" applyAlignment="0" applyProtection="0"/>
    <xf numFmtId="0" fontId="1" fillId="0" borderId="0"/>
    <xf numFmtId="0" fontId="1" fillId="27" borderId="0" applyNumberFormat="0" applyBorder="0" applyAlignment="0" applyProtection="0"/>
    <xf numFmtId="0" fontId="1" fillId="22" borderId="0" applyNumberFormat="0" applyBorder="0" applyAlignment="0" applyProtection="0"/>
    <xf numFmtId="0" fontId="1" fillId="18" borderId="0" applyNumberFormat="0" applyBorder="0" applyAlignment="0" applyProtection="0"/>
    <xf numFmtId="0" fontId="1" fillId="23"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19" borderId="0" applyNumberFormat="0" applyBorder="0" applyAlignment="0" applyProtection="0"/>
    <xf numFmtId="0" fontId="1" fillId="31" borderId="0" applyNumberFormat="0" applyBorder="0" applyAlignment="0" applyProtection="0"/>
    <xf numFmtId="0" fontId="1" fillId="15" borderId="0" applyNumberFormat="0" applyBorder="0" applyAlignment="0" applyProtection="0"/>
    <xf numFmtId="0" fontId="1" fillId="23"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9"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2"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6"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15"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26" borderId="0" applyNumberFormat="0" applyBorder="0" applyAlignment="0" applyProtection="0"/>
    <xf numFmtId="0" fontId="1" fillId="22"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9"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2"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6"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15" borderId="0" applyNumberFormat="0" applyBorder="0" applyAlignment="0" applyProtection="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9"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2"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6"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15"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26" borderId="0" applyNumberFormat="0" applyBorder="0" applyAlignment="0" applyProtection="0"/>
    <xf numFmtId="0" fontId="1" fillId="22"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9"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2"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6"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23" borderId="0" applyNumberFormat="0" applyBorder="0" applyAlignment="0" applyProtection="0"/>
    <xf numFmtId="0" fontId="1" fillId="11" borderId="0" applyNumberFormat="0" applyBorder="0" applyAlignment="0" applyProtection="0"/>
    <xf numFmtId="0" fontId="1" fillId="19"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3" borderId="0" applyNumberFormat="0" applyBorder="0" applyAlignment="0" applyProtection="0"/>
    <xf numFmtId="0" fontId="1" fillId="3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19"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1" borderId="0" applyNumberFormat="0" applyBorder="0" applyAlignment="0" applyProtection="0"/>
    <xf numFmtId="0" fontId="1" fillId="22" borderId="0" applyNumberFormat="0" applyBorder="0" applyAlignment="0" applyProtection="0"/>
    <xf numFmtId="0" fontId="1" fillId="14" borderId="0" applyNumberFormat="0" applyBorder="0" applyAlignment="0" applyProtection="0"/>
    <xf numFmtId="0" fontId="1" fillId="26"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27" borderId="0" applyNumberFormat="0" applyBorder="0" applyAlignment="0" applyProtection="0"/>
    <xf numFmtId="0" fontId="1" fillId="26" borderId="0" applyNumberFormat="0" applyBorder="0" applyAlignment="0" applyProtection="0"/>
    <xf numFmtId="0" fontId="1" fillId="22"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18"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5" borderId="0" applyNumberFormat="0" applyBorder="0" applyAlignment="0" applyProtection="0"/>
    <xf numFmtId="0" fontId="1" fillId="10"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9"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2"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6"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15" borderId="0" applyNumberFormat="0" applyBorder="0" applyAlignment="0" applyProtection="0"/>
    <xf numFmtId="0" fontId="1" fillId="8" borderId="8" applyNumberFormat="0" applyFont="0" applyAlignment="0" applyProtection="0"/>
    <xf numFmtId="0" fontId="1" fillId="14" borderId="0" applyNumberFormat="0" applyBorder="0" applyAlignment="0" applyProtection="0"/>
    <xf numFmtId="0" fontId="1" fillId="30" borderId="0" applyNumberFormat="0" applyBorder="0" applyAlignment="0" applyProtection="0"/>
    <xf numFmtId="0" fontId="1" fillId="26" borderId="0" applyNumberFormat="0" applyBorder="0" applyAlignment="0" applyProtection="0"/>
    <xf numFmtId="0" fontId="1" fillId="22"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9"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2"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6"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15" borderId="0" applyNumberFormat="0" applyBorder="0" applyAlignment="0" applyProtection="0"/>
    <xf numFmtId="0" fontId="1" fillId="10" borderId="0" applyNumberFormat="0" applyBorder="0" applyAlignment="0" applyProtection="0"/>
    <xf numFmtId="0" fontId="1" fillId="2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8" borderId="8" applyNumberFormat="0" applyFont="0" applyAlignment="0" applyProtection="0"/>
    <xf numFmtId="0" fontId="1" fillId="14" borderId="0" applyNumberFormat="0" applyBorder="0" applyAlignment="0" applyProtection="0"/>
    <xf numFmtId="0" fontId="1" fillId="10" borderId="0" applyNumberFormat="0" applyBorder="0" applyAlignment="0" applyProtection="0"/>
    <xf numFmtId="0" fontId="1" fillId="26"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27" borderId="0" applyNumberFormat="0" applyBorder="0" applyAlignment="0" applyProtection="0"/>
    <xf numFmtId="0" fontId="1" fillId="14" borderId="0" applyNumberFormat="0" applyBorder="0" applyAlignment="0" applyProtection="0"/>
    <xf numFmtId="0" fontId="1" fillId="2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0" borderId="0"/>
    <xf numFmtId="0" fontId="1" fillId="14"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19"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11" borderId="0" applyNumberFormat="0" applyBorder="0" applyAlignment="0" applyProtection="0"/>
    <xf numFmtId="0" fontId="1" fillId="10" borderId="0" applyNumberFormat="0" applyBorder="0" applyAlignment="0" applyProtection="0"/>
    <xf numFmtId="0" fontId="1" fillId="31"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19"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27" borderId="0" applyNumberFormat="0" applyBorder="0" applyAlignment="0" applyProtection="0"/>
    <xf numFmtId="0" fontId="1" fillId="23" borderId="0" applyNumberFormat="0" applyBorder="0" applyAlignment="0" applyProtection="0"/>
    <xf numFmtId="0" fontId="1" fillId="0" borderId="0"/>
    <xf numFmtId="0" fontId="1" fillId="27" borderId="0" applyNumberFormat="0" applyBorder="0" applyAlignment="0" applyProtection="0"/>
    <xf numFmtId="0" fontId="1" fillId="22" borderId="0" applyNumberFormat="0" applyBorder="0" applyAlignment="0" applyProtection="0"/>
    <xf numFmtId="0" fontId="1" fillId="18" borderId="0" applyNumberFormat="0" applyBorder="0" applyAlignment="0" applyProtection="0"/>
    <xf numFmtId="0" fontId="1" fillId="23"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19" borderId="0" applyNumberFormat="0" applyBorder="0" applyAlignment="0" applyProtection="0"/>
    <xf numFmtId="0" fontId="1" fillId="31" borderId="0" applyNumberFormat="0" applyBorder="0" applyAlignment="0" applyProtection="0"/>
    <xf numFmtId="0" fontId="1" fillId="15" borderId="0" applyNumberFormat="0" applyBorder="0" applyAlignment="0" applyProtection="0"/>
    <xf numFmtId="0" fontId="1" fillId="23"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9"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2"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6"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15"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26" borderId="0" applyNumberFormat="0" applyBorder="0" applyAlignment="0" applyProtection="0"/>
    <xf numFmtId="0" fontId="1" fillId="22"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9"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2"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6"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15" borderId="0" applyNumberFormat="0" applyBorder="0" applyAlignment="0" applyProtection="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9"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2"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6"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15"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26" borderId="0" applyNumberFormat="0" applyBorder="0" applyAlignment="0" applyProtection="0"/>
    <xf numFmtId="0" fontId="1" fillId="22"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9"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2"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6"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15"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23" borderId="0" applyNumberFormat="0" applyBorder="0" applyAlignment="0" applyProtection="0"/>
    <xf numFmtId="0" fontId="1" fillId="11" borderId="0" applyNumberFormat="0" applyBorder="0" applyAlignment="0" applyProtection="0"/>
    <xf numFmtId="0" fontId="1" fillId="19"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3" borderId="0" applyNumberFormat="0" applyBorder="0" applyAlignment="0" applyProtection="0"/>
    <xf numFmtId="0" fontId="1" fillId="3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19"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1" borderId="0" applyNumberFormat="0" applyBorder="0" applyAlignment="0" applyProtection="0"/>
    <xf numFmtId="0" fontId="1" fillId="22" borderId="0" applyNumberFormat="0" applyBorder="0" applyAlignment="0" applyProtection="0"/>
    <xf numFmtId="0" fontId="1" fillId="14" borderId="0" applyNumberFormat="0" applyBorder="0" applyAlignment="0" applyProtection="0"/>
    <xf numFmtId="0" fontId="1" fillId="26"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27" borderId="0" applyNumberFormat="0" applyBorder="0" applyAlignment="0" applyProtection="0"/>
    <xf numFmtId="0" fontId="1" fillId="26" borderId="0" applyNumberFormat="0" applyBorder="0" applyAlignment="0" applyProtection="0"/>
    <xf numFmtId="0" fontId="1" fillId="22"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18"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5" borderId="0" applyNumberFormat="0" applyBorder="0" applyAlignment="0" applyProtection="0"/>
    <xf numFmtId="0" fontId="1" fillId="10"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9"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2"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6"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15" borderId="0" applyNumberFormat="0" applyBorder="0" applyAlignment="0" applyProtection="0"/>
    <xf numFmtId="0" fontId="1" fillId="8" borderId="8" applyNumberFormat="0" applyFont="0" applyAlignment="0" applyProtection="0"/>
    <xf numFmtId="0" fontId="1" fillId="14" borderId="0" applyNumberFormat="0" applyBorder="0" applyAlignment="0" applyProtection="0"/>
    <xf numFmtId="0" fontId="1" fillId="30" borderId="0" applyNumberFormat="0" applyBorder="0" applyAlignment="0" applyProtection="0"/>
    <xf numFmtId="0" fontId="1" fillId="26" borderId="0" applyNumberFormat="0" applyBorder="0" applyAlignment="0" applyProtection="0"/>
    <xf numFmtId="0" fontId="1" fillId="22"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9"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2"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6"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15" borderId="0" applyNumberFormat="0" applyBorder="0" applyAlignment="0" applyProtection="0"/>
    <xf numFmtId="0" fontId="1" fillId="10" borderId="0" applyNumberFormat="0" applyBorder="0" applyAlignment="0" applyProtection="0"/>
    <xf numFmtId="0" fontId="1" fillId="2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8" borderId="8" applyNumberFormat="0" applyFont="0" applyAlignment="0" applyProtection="0"/>
    <xf numFmtId="0" fontId="1" fillId="14" borderId="0" applyNumberFormat="0" applyBorder="0" applyAlignment="0" applyProtection="0"/>
    <xf numFmtId="0" fontId="1" fillId="10" borderId="0" applyNumberFormat="0" applyBorder="0" applyAlignment="0" applyProtection="0"/>
    <xf numFmtId="0" fontId="1" fillId="26"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27" borderId="0" applyNumberFormat="0" applyBorder="0" applyAlignment="0" applyProtection="0"/>
    <xf numFmtId="0" fontId="1" fillId="14" borderId="0" applyNumberFormat="0" applyBorder="0" applyAlignment="0" applyProtection="0"/>
    <xf numFmtId="0" fontId="1" fillId="2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0" borderId="0"/>
    <xf numFmtId="0" fontId="1" fillId="14"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19"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11" borderId="0" applyNumberFormat="0" applyBorder="0" applyAlignment="0" applyProtection="0"/>
    <xf numFmtId="0" fontId="1" fillId="10" borderId="0" applyNumberFormat="0" applyBorder="0" applyAlignment="0" applyProtection="0"/>
    <xf numFmtId="0" fontId="1" fillId="31"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19"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27" borderId="0" applyNumberFormat="0" applyBorder="0" applyAlignment="0" applyProtection="0"/>
    <xf numFmtId="0" fontId="1" fillId="23" borderId="0" applyNumberFormat="0" applyBorder="0" applyAlignment="0" applyProtection="0"/>
    <xf numFmtId="0" fontId="1" fillId="0" borderId="0"/>
    <xf numFmtId="0" fontId="1" fillId="27" borderId="0" applyNumberFormat="0" applyBorder="0" applyAlignment="0" applyProtection="0"/>
    <xf numFmtId="0" fontId="1" fillId="22" borderId="0" applyNumberFormat="0" applyBorder="0" applyAlignment="0" applyProtection="0"/>
    <xf numFmtId="0" fontId="1" fillId="18" borderId="0" applyNumberFormat="0" applyBorder="0" applyAlignment="0" applyProtection="0"/>
    <xf numFmtId="0" fontId="1" fillId="23"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19" borderId="0" applyNumberFormat="0" applyBorder="0" applyAlignment="0" applyProtection="0"/>
    <xf numFmtId="0" fontId="1" fillId="31" borderId="0" applyNumberFormat="0" applyBorder="0" applyAlignment="0" applyProtection="0"/>
    <xf numFmtId="0" fontId="1" fillId="15" borderId="0" applyNumberFormat="0" applyBorder="0" applyAlignment="0" applyProtection="0"/>
    <xf numFmtId="0" fontId="1" fillId="23"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9"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2"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6"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15"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26" borderId="0" applyNumberFormat="0" applyBorder="0" applyAlignment="0" applyProtection="0"/>
    <xf numFmtId="0" fontId="1" fillId="22"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9"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2"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6"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15" borderId="0" applyNumberFormat="0" applyBorder="0" applyAlignment="0" applyProtection="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9"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2"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6"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15"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26" borderId="0" applyNumberFormat="0" applyBorder="0" applyAlignment="0" applyProtection="0"/>
    <xf numFmtId="0" fontId="1" fillId="22"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9"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2"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6"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23" borderId="0" applyNumberFormat="0" applyBorder="0" applyAlignment="0" applyProtection="0"/>
    <xf numFmtId="0" fontId="1" fillId="11" borderId="0" applyNumberFormat="0" applyBorder="0" applyAlignment="0" applyProtection="0"/>
    <xf numFmtId="0" fontId="1" fillId="19"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3" borderId="0" applyNumberFormat="0" applyBorder="0" applyAlignment="0" applyProtection="0"/>
    <xf numFmtId="0" fontId="1" fillId="3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19"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1" borderId="0" applyNumberFormat="0" applyBorder="0" applyAlignment="0" applyProtection="0"/>
    <xf numFmtId="0" fontId="1" fillId="22" borderId="0" applyNumberFormat="0" applyBorder="0" applyAlignment="0" applyProtection="0"/>
    <xf numFmtId="0" fontId="1" fillId="14" borderId="0" applyNumberFormat="0" applyBorder="0" applyAlignment="0" applyProtection="0"/>
    <xf numFmtId="0" fontId="1" fillId="26"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27" borderId="0" applyNumberFormat="0" applyBorder="0" applyAlignment="0" applyProtection="0"/>
    <xf numFmtId="0" fontId="1" fillId="26" borderId="0" applyNumberFormat="0" applyBorder="0" applyAlignment="0" applyProtection="0"/>
    <xf numFmtId="0" fontId="1" fillId="22"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18"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5" borderId="0" applyNumberFormat="0" applyBorder="0" applyAlignment="0" applyProtection="0"/>
    <xf numFmtId="0" fontId="1" fillId="10"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9"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2"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6"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15" borderId="0" applyNumberFormat="0" applyBorder="0" applyAlignment="0" applyProtection="0"/>
    <xf numFmtId="0" fontId="1" fillId="8" borderId="8" applyNumberFormat="0" applyFont="0" applyAlignment="0" applyProtection="0"/>
    <xf numFmtId="0" fontId="1" fillId="14" borderId="0" applyNumberFormat="0" applyBorder="0" applyAlignment="0" applyProtection="0"/>
    <xf numFmtId="0" fontId="1" fillId="30" borderId="0" applyNumberFormat="0" applyBorder="0" applyAlignment="0" applyProtection="0"/>
    <xf numFmtId="0" fontId="1" fillId="26" borderId="0" applyNumberFormat="0" applyBorder="0" applyAlignment="0" applyProtection="0"/>
    <xf numFmtId="0" fontId="1" fillId="22"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9"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2"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6"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15" borderId="0" applyNumberFormat="0" applyBorder="0" applyAlignment="0" applyProtection="0"/>
    <xf numFmtId="0" fontId="1" fillId="10" borderId="0" applyNumberFormat="0" applyBorder="0" applyAlignment="0" applyProtection="0"/>
    <xf numFmtId="0" fontId="1" fillId="2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8" borderId="8" applyNumberFormat="0" applyFont="0" applyAlignment="0" applyProtection="0"/>
    <xf numFmtId="0" fontId="1" fillId="14" borderId="0" applyNumberFormat="0" applyBorder="0" applyAlignment="0" applyProtection="0"/>
    <xf numFmtId="0" fontId="1" fillId="10" borderId="0" applyNumberFormat="0" applyBorder="0" applyAlignment="0" applyProtection="0"/>
    <xf numFmtId="0" fontId="1" fillId="26"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27" borderId="0" applyNumberFormat="0" applyBorder="0" applyAlignment="0" applyProtection="0"/>
    <xf numFmtId="0" fontId="1" fillId="14" borderId="0" applyNumberFormat="0" applyBorder="0" applyAlignment="0" applyProtection="0"/>
    <xf numFmtId="0" fontId="1" fillId="2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0" borderId="0"/>
    <xf numFmtId="0" fontId="1" fillId="14"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19"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11" borderId="0" applyNumberFormat="0" applyBorder="0" applyAlignment="0" applyProtection="0"/>
    <xf numFmtId="0" fontId="1" fillId="10" borderId="0" applyNumberFormat="0" applyBorder="0" applyAlignment="0" applyProtection="0"/>
    <xf numFmtId="0" fontId="1" fillId="31"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19"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27" borderId="0" applyNumberFormat="0" applyBorder="0" applyAlignment="0" applyProtection="0"/>
    <xf numFmtId="0" fontId="1" fillId="23" borderId="0" applyNumberFormat="0" applyBorder="0" applyAlignment="0" applyProtection="0"/>
    <xf numFmtId="0" fontId="1" fillId="0" borderId="0"/>
    <xf numFmtId="0" fontId="1" fillId="27" borderId="0" applyNumberFormat="0" applyBorder="0" applyAlignment="0" applyProtection="0"/>
    <xf numFmtId="0" fontId="1" fillId="22" borderId="0" applyNumberFormat="0" applyBorder="0" applyAlignment="0" applyProtection="0"/>
    <xf numFmtId="0" fontId="1" fillId="18" borderId="0" applyNumberFormat="0" applyBorder="0" applyAlignment="0" applyProtection="0"/>
    <xf numFmtId="0" fontId="1" fillId="23"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19" borderId="0" applyNumberFormat="0" applyBorder="0" applyAlignment="0" applyProtection="0"/>
    <xf numFmtId="0" fontId="1" fillId="31" borderId="0" applyNumberFormat="0" applyBorder="0" applyAlignment="0" applyProtection="0"/>
    <xf numFmtId="0" fontId="1" fillId="15" borderId="0" applyNumberFormat="0" applyBorder="0" applyAlignment="0" applyProtection="0"/>
    <xf numFmtId="0" fontId="1" fillId="23"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9"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2"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6"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15"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26" borderId="0" applyNumberFormat="0" applyBorder="0" applyAlignment="0" applyProtection="0"/>
    <xf numFmtId="0" fontId="1" fillId="22"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9"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2"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6"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15" borderId="0" applyNumberFormat="0" applyBorder="0" applyAlignment="0" applyProtection="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9"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2"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6"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15"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26" borderId="0" applyNumberFormat="0" applyBorder="0" applyAlignment="0" applyProtection="0"/>
    <xf numFmtId="0" fontId="1" fillId="22"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9"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2"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6"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15"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23" borderId="0" applyNumberFormat="0" applyBorder="0" applyAlignment="0" applyProtection="0"/>
    <xf numFmtId="0" fontId="1" fillId="11" borderId="0" applyNumberFormat="0" applyBorder="0" applyAlignment="0" applyProtection="0"/>
    <xf numFmtId="0" fontId="1" fillId="19"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3" borderId="0" applyNumberFormat="0" applyBorder="0" applyAlignment="0" applyProtection="0"/>
    <xf numFmtId="0" fontId="1" fillId="3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19"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1" borderId="0" applyNumberFormat="0" applyBorder="0" applyAlignment="0" applyProtection="0"/>
    <xf numFmtId="0" fontId="1" fillId="22" borderId="0" applyNumberFormat="0" applyBorder="0" applyAlignment="0" applyProtection="0"/>
    <xf numFmtId="0" fontId="1" fillId="14" borderId="0" applyNumberFormat="0" applyBorder="0" applyAlignment="0" applyProtection="0"/>
    <xf numFmtId="0" fontId="1" fillId="26"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27" borderId="0" applyNumberFormat="0" applyBorder="0" applyAlignment="0" applyProtection="0"/>
    <xf numFmtId="0" fontId="1" fillId="26" borderId="0" applyNumberFormat="0" applyBorder="0" applyAlignment="0" applyProtection="0"/>
    <xf numFmtId="0" fontId="1" fillId="22"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18"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5" borderId="0" applyNumberFormat="0" applyBorder="0" applyAlignment="0" applyProtection="0"/>
    <xf numFmtId="0" fontId="1" fillId="10"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9"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2"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6"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15" borderId="0" applyNumberFormat="0" applyBorder="0" applyAlignment="0" applyProtection="0"/>
    <xf numFmtId="0" fontId="1" fillId="8" borderId="8" applyNumberFormat="0" applyFont="0" applyAlignment="0" applyProtection="0"/>
    <xf numFmtId="0" fontId="1" fillId="14" borderId="0" applyNumberFormat="0" applyBorder="0" applyAlignment="0" applyProtection="0"/>
    <xf numFmtId="0" fontId="1" fillId="30" borderId="0" applyNumberFormat="0" applyBorder="0" applyAlignment="0" applyProtection="0"/>
    <xf numFmtId="0" fontId="1" fillId="26" borderId="0" applyNumberFormat="0" applyBorder="0" applyAlignment="0" applyProtection="0"/>
    <xf numFmtId="0" fontId="1" fillId="22"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9"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2"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6"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15" borderId="0" applyNumberFormat="0" applyBorder="0" applyAlignment="0" applyProtection="0"/>
    <xf numFmtId="0" fontId="1" fillId="10" borderId="0" applyNumberFormat="0" applyBorder="0" applyAlignment="0" applyProtection="0"/>
    <xf numFmtId="0" fontId="1" fillId="2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8" borderId="8" applyNumberFormat="0" applyFont="0" applyAlignment="0" applyProtection="0"/>
    <xf numFmtId="0" fontId="1" fillId="14" borderId="0" applyNumberFormat="0" applyBorder="0" applyAlignment="0" applyProtection="0"/>
    <xf numFmtId="0" fontId="1" fillId="10" borderId="0" applyNumberFormat="0" applyBorder="0" applyAlignment="0" applyProtection="0"/>
    <xf numFmtId="0" fontId="1" fillId="26"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27" borderId="0" applyNumberFormat="0" applyBorder="0" applyAlignment="0" applyProtection="0"/>
    <xf numFmtId="0" fontId="1" fillId="14" borderId="0" applyNumberFormat="0" applyBorder="0" applyAlignment="0" applyProtection="0"/>
    <xf numFmtId="0" fontId="1" fillId="2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0" borderId="0"/>
    <xf numFmtId="0" fontId="1" fillId="14"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19"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11" borderId="0" applyNumberFormat="0" applyBorder="0" applyAlignment="0" applyProtection="0"/>
    <xf numFmtId="0" fontId="1" fillId="10" borderId="0" applyNumberFormat="0" applyBorder="0" applyAlignment="0" applyProtection="0"/>
    <xf numFmtId="0" fontId="1" fillId="31"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19"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27" borderId="0" applyNumberFormat="0" applyBorder="0" applyAlignment="0" applyProtection="0"/>
    <xf numFmtId="0" fontId="1" fillId="23" borderId="0" applyNumberFormat="0" applyBorder="0" applyAlignment="0" applyProtection="0"/>
    <xf numFmtId="0" fontId="1" fillId="0" borderId="0"/>
    <xf numFmtId="0" fontId="1" fillId="27" borderId="0" applyNumberFormat="0" applyBorder="0" applyAlignment="0" applyProtection="0"/>
    <xf numFmtId="0" fontId="1" fillId="22" borderId="0" applyNumberFormat="0" applyBorder="0" applyAlignment="0" applyProtection="0"/>
    <xf numFmtId="0" fontId="1" fillId="18" borderId="0" applyNumberFormat="0" applyBorder="0" applyAlignment="0" applyProtection="0"/>
    <xf numFmtId="0" fontId="1" fillId="23"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19" borderId="0" applyNumberFormat="0" applyBorder="0" applyAlignment="0" applyProtection="0"/>
    <xf numFmtId="0" fontId="1" fillId="31" borderId="0" applyNumberFormat="0" applyBorder="0" applyAlignment="0" applyProtection="0"/>
    <xf numFmtId="0" fontId="1" fillId="15" borderId="0" applyNumberFormat="0" applyBorder="0" applyAlignment="0" applyProtection="0"/>
    <xf numFmtId="0" fontId="1" fillId="23"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9"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2"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6"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15"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26" borderId="0" applyNumberFormat="0" applyBorder="0" applyAlignment="0" applyProtection="0"/>
    <xf numFmtId="0" fontId="1" fillId="22"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9"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2"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6"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15" borderId="0" applyNumberFormat="0" applyBorder="0" applyAlignment="0" applyProtection="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9"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2"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6"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15"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26" borderId="0" applyNumberFormat="0" applyBorder="0" applyAlignment="0" applyProtection="0"/>
    <xf numFmtId="0" fontId="1" fillId="22"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9"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2"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6"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23" borderId="0" applyNumberFormat="0" applyBorder="0" applyAlignment="0" applyProtection="0"/>
    <xf numFmtId="0" fontId="1" fillId="11" borderId="0" applyNumberFormat="0" applyBorder="0" applyAlignment="0" applyProtection="0"/>
    <xf numFmtId="0" fontId="1" fillId="19"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3" borderId="0" applyNumberFormat="0" applyBorder="0" applyAlignment="0" applyProtection="0"/>
    <xf numFmtId="0" fontId="1" fillId="3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19"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1" borderId="0" applyNumberFormat="0" applyBorder="0" applyAlignment="0" applyProtection="0"/>
    <xf numFmtId="0" fontId="1" fillId="22" borderId="0" applyNumberFormat="0" applyBorder="0" applyAlignment="0" applyProtection="0"/>
    <xf numFmtId="0" fontId="1" fillId="14" borderId="0" applyNumberFormat="0" applyBorder="0" applyAlignment="0" applyProtection="0"/>
    <xf numFmtId="0" fontId="1" fillId="26"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27" borderId="0" applyNumberFormat="0" applyBorder="0" applyAlignment="0" applyProtection="0"/>
    <xf numFmtId="0" fontId="1" fillId="26" borderId="0" applyNumberFormat="0" applyBorder="0" applyAlignment="0" applyProtection="0"/>
    <xf numFmtId="0" fontId="1" fillId="22"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18"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5" borderId="0" applyNumberFormat="0" applyBorder="0" applyAlignment="0" applyProtection="0"/>
    <xf numFmtId="0" fontId="1" fillId="10"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9"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2"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6"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15" borderId="0" applyNumberFormat="0" applyBorder="0" applyAlignment="0" applyProtection="0"/>
    <xf numFmtId="0" fontId="1" fillId="8" borderId="8" applyNumberFormat="0" applyFont="0" applyAlignment="0" applyProtection="0"/>
    <xf numFmtId="0" fontId="1" fillId="14" borderId="0" applyNumberFormat="0" applyBorder="0" applyAlignment="0" applyProtection="0"/>
    <xf numFmtId="0" fontId="1" fillId="30" borderId="0" applyNumberFormat="0" applyBorder="0" applyAlignment="0" applyProtection="0"/>
    <xf numFmtId="0" fontId="1" fillId="26" borderId="0" applyNumberFormat="0" applyBorder="0" applyAlignment="0" applyProtection="0"/>
    <xf numFmtId="0" fontId="1" fillId="22"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9"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2"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6"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15" borderId="0" applyNumberFormat="0" applyBorder="0" applyAlignment="0" applyProtection="0"/>
    <xf numFmtId="0" fontId="1" fillId="10" borderId="0" applyNumberFormat="0" applyBorder="0" applyAlignment="0" applyProtection="0"/>
    <xf numFmtId="0" fontId="1" fillId="2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8" borderId="8" applyNumberFormat="0" applyFont="0" applyAlignment="0" applyProtection="0"/>
    <xf numFmtId="0" fontId="1" fillId="14" borderId="0" applyNumberFormat="0" applyBorder="0" applyAlignment="0" applyProtection="0"/>
    <xf numFmtId="0" fontId="1" fillId="10" borderId="0" applyNumberFormat="0" applyBorder="0" applyAlignment="0" applyProtection="0"/>
    <xf numFmtId="0" fontId="1" fillId="26"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27" borderId="0" applyNumberFormat="0" applyBorder="0" applyAlignment="0" applyProtection="0"/>
    <xf numFmtId="0" fontId="1" fillId="14" borderId="0" applyNumberFormat="0" applyBorder="0" applyAlignment="0" applyProtection="0"/>
    <xf numFmtId="0" fontId="1" fillId="2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0" borderId="0"/>
    <xf numFmtId="0" fontId="1" fillId="14"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19"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11" borderId="0" applyNumberFormat="0" applyBorder="0" applyAlignment="0" applyProtection="0"/>
    <xf numFmtId="0" fontId="1" fillId="10" borderId="0" applyNumberFormat="0" applyBorder="0" applyAlignment="0" applyProtection="0"/>
    <xf numFmtId="0" fontId="1" fillId="31"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19"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27" borderId="0" applyNumberFormat="0" applyBorder="0" applyAlignment="0" applyProtection="0"/>
    <xf numFmtId="0" fontId="1" fillId="23" borderId="0" applyNumberFormat="0" applyBorder="0" applyAlignment="0" applyProtection="0"/>
    <xf numFmtId="0" fontId="1" fillId="0" borderId="0"/>
    <xf numFmtId="0" fontId="1" fillId="27" borderId="0" applyNumberFormat="0" applyBorder="0" applyAlignment="0" applyProtection="0"/>
    <xf numFmtId="0" fontId="1" fillId="22" borderId="0" applyNumberFormat="0" applyBorder="0" applyAlignment="0" applyProtection="0"/>
    <xf numFmtId="0" fontId="1" fillId="18" borderId="0" applyNumberFormat="0" applyBorder="0" applyAlignment="0" applyProtection="0"/>
    <xf numFmtId="0" fontId="1" fillId="23"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19" borderId="0" applyNumberFormat="0" applyBorder="0" applyAlignment="0" applyProtection="0"/>
    <xf numFmtId="0" fontId="1" fillId="31" borderId="0" applyNumberFormat="0" applyBorder="0" applyAlignment="0" applyProtection="0"/>
    <xf numFmtId="0" fontId="1" fillId="15" borderId="0" applyNumberFormat="0" applyBorder="0" applyAlignment="0" applyProtection="0"/>
    <xf numFmtId="0" fontId="1" fillId="23"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9"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2"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6"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15"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26" borderId="0" applyNumberFormat="0" applyBorder="0" applyAlignment="0" applyProtection="0"/>
    <xf numFmtId="0" fontId="1" fillId="22"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9"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2"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6"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15" borderId="0" applyNumberFormat="0" applyBorder="0" applyAlignment="0" applyProtection="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9"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2"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6"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15"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26" borderId="0" applyNumberFormat="0" applyBorder="0" applyAlignment="0" applyProtection="0"/>
    <xf numFmtId="0" fontId="1" fillId="22"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9"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2"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6"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15" borderId="0" applyNumberFormat="0" applyBorder="0" applyAlignment="0" applyProtection="0"/>
    <xf numFmtId="9" fontId="73" fillId="0" borderId="0" applyFont="0" applyFill="0" applyBorder="0" applyAlignment="0" applyProtection="0"/>
  </cellStyleXfs>
  <cellXfs count="363">
    <xf numFmtId="0" fontId="0" fillId="0" borderId="0" xfId="0"/>
    <xf numFmtId="0" fontId="23" fillId="0" borderId="0" xfId="0" applyFont="1" applyAlignment="1">
      <alignment vertical="center"/>
    </xf>
    <xf numFmtId="0" fontId="30" fillId="34" borderId="0" xfId="0" applyFont="1" applyFill="1" applyAlignment="1">
      <alignment horizontal="left" wrapText="1"/>
    </xf>
    <xf numFmtId="0" fontId="30" fillId="34" borderId="10" xfId="0" applyFont="1" applyFill="1" applyBorder="1" applyAlignment="1">
      <alignment horizontal="center" wrapText="1"/>
    </xf>
    <xf numFmtId="0" fontId="24" fillId="41" borderId="14" xfId="0" applyFont="1" applyFill="1" applyBorder="1" applyAlignment="1">
      <alignment horizontal="center" vertical="center" wrapText="1"/>
    </xf>
    <xf numFmtId="164" fontId="24" fillId="45" borderId="15" xfId="0" applyNumberFormat="1" applyFont="1" applyFill="1" applyBorder="1" applyAlignment="1">
      <alignment horizontal="center" vertical="center" wrapText="1"/>
    </xf>
    <xf numFmtId="0" fontId="26" fillId="46" borderId="15" xfId="0" applyFont="1" applyFill="1" applyBorder="1" applyAlignment="1">
      <alignment horizontal="center" vertical="center" wrapText="1"/>
    </xf>
    <xf numFmtId="0" fontId="24" fillId="45" borderId="25" xfId="0" applyFont="1" applyFill="1" applyBorder="1" applyAlignment="1">
      <alignment horizontal="center" vertical="center" wrapText="1"/>
    </xf>
    <xf numFmtId="0" fontId="21" fillId="0" borderId="0" xfId="0" applyFont="1" applyAlignment="1">
      <alignment vertical="center"/>
    </xf>
    <xf numFmtId="0" fontId="24" fillId="0" borderId="0" xfId="0" applyFont="1" applyAlignment="1">
      <alignment vertical="center"/>
    </xf>
    <xf numFmtId="0" fontId="21" fillId="44" borderId="0" xfId="0" applyFont="1" applyFill="1" applyAlignment="1">
      <alignment vertical="center" wrapText="1"/>
    </xf>
    <xf numFmtId="1" fontId="24" fillId="41" borderId="14" xfId="0" applyNumberFormat="1" applyFont="1" applyFill="1" applyBorder="1" applyAlignment="1">
      <alignment horizontal="center" vertical="center" wrapText="1"/>
    </xf>
    <xf numFmtId="0" fontId="30" fillId="33" borderId="0" xfId="0" applyFont="1" applyFill="1" applyAlignment="1">
      <alignment horizontal="center" wrapText="1"/>
    </xf>
    <xf numFmtId="0" fontId="30" fillId="33" borderId="0" xfId="0" applyFont="1" applyFill="1" applyAlignment="1">
      <alignment horizontal="left" wrapText="1"/>
    </xf>
    <xf numFmtId="0" fontId="74" fillId="35" borderId="23" xfId="42" applyFont="1" applyFill="1" applyBorder="1" applyAlignment="1">
      <alignment horizontal="center" vertical="center" wrapText="1"/>
    </xf>
    <xf numFmtId="0" fontId="21" fillId="0" borderId="0" xfId="0" applyFont="1"/>
    <xf numFmtId="0" fontId="80" fillId="49" borderId="29" xfId="0" applyFont="1" applyFill="1" applyBorder="1" applyAlignment="1">
      <alignment wrapText="1"/>
    </xf>
    <xf numFmtId="0" fontId="80" fillId="49" borderId="0" xfId="0" applyFont="1" applyFill="1" applyAlignment="1">
      <alignment wrapText="1"/>
    </xf>
    <xf numFmtId="0" fontId="80" fillId="49" borderId="30" xfId="0" applyFont="1" applyFill="1" applyBorder="1" applyAlignment="1">
      <alignment wrapText="1"/>
    </xf>
    <xf numFmtId="0" fontId="83" fillId="0" borderId="0" xfId="0" applyFont="1" applyAlignment="1">
      <alignment horizontal="center" vertical="center"/>
    </xf>
    <xf numFmtId="0" fontId="24" fillId="0" borderId="0" xfId="0" applyFont="1" applyAlignment="1">
      <alignment horizontal="center" vertical="center"/>
    </xf>
    <xf numFmtId="168" fontId="37" fillId="48" borderId="18" xfId="46002" applyNumberFormat="1" applyFont="1" applyFill="1" applyBorder="1" applyAlignment="1">
      <alignment horizontal="center" vertical="center" wrapText="1"/>
    </xf>
    <xf numFmtId="2" fontId="37" fillId="81" borderId="16" xfId="0" applyNumberFormat="1" applyFont="1" applyFill="1" applyBorder="1" applyAlignment="1">
      <alignment horizontal="center" vertical="center" wrapText="1"/>
    </xf>
    <xf numFmtId="0" fontId="25" fillId="84" borderId="20" xfId="42" applyFont="1" applyFill="1" applyBorder="1" applyAlignment="1">
      <alignment horizontal="center" vertical="center" wrapText="1"/>
    </xf>
    <xf numFmtId="49" fontId="25" fillId="36" borderId="23" xfId="42" applyNumberFormat="1" applyFont="1" applyFill="1" applyBorder="1" applyAlignment="1">
      <alignment horizontal="center" vertical="center" wrapText="1"/>
    </xf>
    <xf numFmtId="0" fontId="21" fillId="0" borderId="0" xfId="0" quotePrefix="1" applyFont="1"/>
    <xf numFmtId="0" fontId="24" fillId="0" borderId="0" xfId="0" applyFont="1" applyAlignment="1">
      <alignment horizontal="left" vertical="center" wrapText="1"/>
    </xf>
    <xf numFmtId="49" fontId="74" fillId="36" borderId="20" xfId="42" applyNumberFormat="1" applyFont="1" applyFill="1" applyBorder="1" applyAlignment="1">
      <alignment horizontal="center" vertical="center" wrapText="1"/>
    </xf>
    <xf numFmtId="49" fontId="25" fillId="36" borderId="12" xfId="42" applyNumberFormat="1" applyFont="1" applyFill="1" applyBorder="1" applyAlignment="1">
      <alignment horizontal="center" vertical="center" wrapText="1"/>
    </xf>
    <xf numFmtId="0" fontId="24" fillId="36" borderId="23" xfId="0" applyFont="1" applyFill="1" applyBorder="1" applyAlignment="1">
      <alignment horizontal="center" vertical="center" wrapText="1"/>
    </xf>
    <xf numFmtId="1" fontId="24" fillId="42" borderId="15" xfId="0" applyNumberFormat="1" applyFont="1" applyFill="1" applyBorder="1" applyAlignment="1">
      <alignment horizontal="center" vertical="center" wrapText="1"/>
    </xf>
    <xf numFmtId="3" fontId="24" fillId="84" borderId="15" xfId="0" applyNumberFormat="1" applyFont="1" applyFill="1" applyBorder="1" applyAlignment="1">
      <alignment horizontal="center" vertical="center" wrapText="1"/>
    </xf>
    <xf numFmtId="164" fontId="24" fillId="84" borderId="15" xfId="0" applyNumberFormat="1" applyFont="1" applyFill="1" applyBorder="1" applyAlignment="1">
      <alignment horizontal="center" vertical="center" wrapText="1"/>
    </xf>
    <xf numFmtId="1" fontId="24" fillId="84" borderId="15" xfId="0" applyNumberFormat="1" applyFont="1" applyFill="1" applyBorder="1" applyAlignment="1">
      <alignment horizontal="center" vertical="center" wrapText="1"/>
    </xf>
    <xf numFmtId="0" fontId="24" fillId="33" borderId="0" xfId="0" applyFont="1" applyFill="1" applyAlignment="1">
      <alignment horizontal="left" wrapText="1"/>
    </xf>
    <xf numFmtId="0" fontId="24" fillId="33" borderId="0" xfId="0" applyFont="1" applyFill="1" applyAlignment="1">
      <alignment wrapText="1"/>
    </xf>
    <xf numFmtId="0" fontId="92" fillId="33" borderId="0" xfId="0" applyFont="1" applyFill="1" applyAlignment="1">
      <alignment vertical="center" wrapText="1"/>
    </xf>
    <xf numFmtId="0" fontId="93" fillId="33" borderId="0" xfId="0" applyFont="1" applyFill="1" applyAlignment="1">
      <alignment wrapText="1"/>
    </xf>
    <xf numFmtId="0" fontId="92" fillId="33" borderId="0" xfId="0" applyFont="1" applyFill="1" applyAlignment="1">
      <alignment vertical="center"/>
    </xf>
    <xf numFmtId="0" fontId="92" fillId="33" borderId="0" xfId="0" applyFont="1" applyFill="1" applyAlignment="1">
      <alignment horizontal="center" vertical="center" wrapText="1"/>
    </xf>
    <xf numFmtId="0" fontId="24" fillId="34" borderId="0" xfId="0" applyFont="1" applyFill="1" applyAlignment="1">
      <alignment horizontal="left" wrapText="1"/>
    </xf>
    <xf numFmtId="0" fontId="24" fillId="44" borderId="0" xfId="0" applyFont="1" applyFill="1" applyAlignment="1">
      <alignment vertical="center" wrapText="1"/>
    </xf>
    <xf numFmtId="0" fontId="24" fillId="0" borderId="0" xfId="0" applyFont="1"/>
    <xf numFmtId="164" fontId="25" fillId="41" borderId="14" xfId="42" applyNumberFormat="1" applyFont="1" applyFill="1" applyBorder="1" applyAlignment="1">
      <alignment horizontal="center" vertical="center" wrapText="1"/>
    </xf>
    <xf numFmtId="164" fontId="25" fillId="41" borderId="15" xfId="42" applyNumberFormat="1" applyFont="1" applyFill="1" applyBorder="1" applyAlignment="1">
      <alignment horizontal="center" vertical="center" wrapText="1"/>
    </xf>
    <xf numFmtId="164" fontId="25" fillId="42" borderId="15" xfId="42" applyNumberFormat="1" applyFont="1" applyFill="1" applyBorder="1" applyAlignment="1">
      <alignment horizontal="center" vertical="center" wrapText="1"/>
    </xf>
    <xf numFmtId="164" fontId="25" fillId="46" borderId="15" xfId="42" applyNumberFormat="1" applyFont="1" applyFill="1" applyBorder="1" applyAlignment="1">
      <alignment horizontal="center" vertical="center" wrapText="1"/>
    </xf>
    <xf numFmtId="164" fontId="25" fillId="45" borderId="15" xfId="42" applyNumberFormat="1" applyFont="1" applyFill="1" applyBorder="1" applyAlignment="1">
      <alignment horizontal="center" vertical="center" wrapText="1"/>
    </xf>
    <xf numFmtId="164" fontId="24" fillId="85" borderId="0" xfId="0" applyNumberFormat="1" applyFont="1" applyFill="1" applyAlignment="1">
      <alignment horizontal="center" vertical="center"/>
    </xf>
    <xf numFmtId="2" fontId="24" fillId="85" borderId="0" xfId="0" applyNumberFormat="1" applyFont="1" applyFill="1" applyAlignment="1">
      <alignment horizontal="center" vertical="center"/>
    </xf>
    <xf numFmtId="166" fontId="24" fillId="0" borderId="0" xfId="0" applyNumberFormat="1" applyFont="1" applyAlignment="1">
      <alignment vertical="center"/>
    </xf>
    <xf numFmtId="0" fontId="24" fillId="82" borderId="15" xfId="0" applyFont="1" applyFill="1" applyBorder="1" applyAlignment="1">
      <alignment vertical="center"/>
    </xf>
    <xf numFmtId="166" fontId="24" fillId="82" borderId="15" xfId="0" applyNumberFormat="1" applyFont="1" applyFill="1" applyBorder="1" applyAlignment="1">
      <alignment vertical="center"/>
    </xf>
    <xf numFmtId="0" fontId="24" fillId="0" borderId="0" xfId="0" applyFont="1" applyAlignment="1">
      <alignment vertical="center" wrapText="1"/>
    </xf>
    <xf numFmtId="0" fontId="24" fillId="64" borderId="0" xfId="0" applyFont="1" applyFill="1" applyAlignment="1">
      <alignment horizontal="left" vertical="center" wrapText="1"/>
    </xf>
    <xf numFmtId="0" fontId="24" fillId="0" borderId="0" xfId="0" applyFont="1" applyAlignment="1">
      <alignment horizontal="left"/>
    </xf>
    <xf numFmtId="0" fontId="21" fillId="0" borderId="0" xfId="0" quotePrefix="1" applyFont="1" applyAlignment="1">
      <alignment vertical="center"/>
    </xf>
    <xf numFmtId="0" fontId="24" fillId="82" borderId="0" xfId="0" applyFont="1" applyFill="1" applyAlignment="1">
      <alignment vertical="center"/>
    </xf>
    <xf numFmtId="0" fontId="24" fillId="43" borderId="18" xfId="0" applyFont="1" applyFill="1" applyBorder="1" applyAlignment="1">
      <alignment horizontal="center" vertical="center" wrapText="1"/>
    </xf>
    <xf numFmtId="0" fontId="85" fillId="43" borderId="15" xfId="0" applyFont="1" applyFill="1" applyBorder="1" applyAlignment="1">
      <alignment horizontal="center" vertical="center" wrapText="1"/>
    </xf>
    <xf numFmtId="164" fontId="24" fillId="43" borderId="15" xfId="0" applyNumberFormat="1" applyFont="1" applyFill="1" applyBorder="1" applyAlignment="1">
      <alignment horizontal="center" vertical="center" wrapText="1"/>
    </xf>
    <xf numFmtId="1" fontId="24" fillId="46" borderId="15" xfId="0" applyNumberFormat="1" applyFont="1" applyFill="1" applyBorder="1" applyAlignment="1">
      <alignment horizontal="center" vertical="center" wrapText="1"/>
    </xf>
    <xf numFmtId="2" fontId="24" fillId="84" borderId="15" xfId="0" applyNumberFormat="1" applyFont="1" applyFill="1" applyBorder="1" applyAlignment="1">
      <alignment horizontal="center" vertical="center" wrapText="1"/>
    </xf>
    <xf numFmtId="0" fontId="24" fillId="0" borderId="0" xfId="0" applyFont="1" applyAlignment="1">
      <alignment wrapText="1"/>
    </xf>
    <xf numFmtId="0" fontId="25" fillId="41" borderId="13" xfId="42" applyFont="1" applyFill="1" applyBorder="1" applyAlignment="1">
      <alignment horizontal="center" vertical="center" wrapText="1"/>
    </xf>
    <xf numFmtId="0" fontId="25" fillId="46" borderId="19" xfId="42" applyFont="1" applyFill="1" applyBorder="1" applyAlignment="1">
      <alignment horizontal="left" vertical="center" wrapText="1" indent="1"/>
    </xf>
    <xf numFmtId="164" fontId="24" fillId="82" borderId="0" xfId="0" applyNumberFormat="1" applyFont="1" applyFill="1" applyAlignment="1">
      <alignment vertical="center"/>
    </xf>
    <xf numFmtId="49" fontId="74" fillId="37" borderId="23" xfId="42" applyNumberFormat="1" applyFont="1" applyFill="1" applyBorder="1" applyAlignment="1">
      <alignment vertical="center"/>
    </xf>
    <xf numFmtId="164" fontId="94" fillId="45" borderId="15" xfId="42" applyNumberFormat="1" applyFont="1" applyFill="1" applyBorder="1" applyAlignment="1">
      <alignment horizontal="center" vertical="center" wrapText="1"/>
    </xf>
    <xf numFmtId="0" fontId="27" fillId="44" borderId="0" xfId="42" applyFont="1" applyFill="1" applyAlignment="1">
      <alignment horizontal="center" vertical="center" wrapText="1"/>
    </xf>
    <xf numFmtId="165" fontId="21" fillId="44" borderId="0" xfId="0" applyNumberFormat="1" applyFont="1" applyFill="1" applyAlignment="1">
      <alignment horizontal="left" vertical="center" wrapText="1" indent="2"/>
    </xf>
    <xf numFmtId="0" fontId="22" fillId="33" borderId="0" xfId="0" applyFont="1" applyFill="1" applyAlignment="1">
      <alignment horizontal="center" vertical="center" wrapText="1"/>
    </xf>
    <xf numFmtId="0" fontId="22" fillId="33" borderId="0" xfId="0" applyFont="1" applyFill="1" applyAlignment="1">
      <alignment vertical="center" wrapText="1"/>
    </xf>
    <xf numFmtId="0" fontId="22" fillId="33" borderId="0" xfId="0" applyFont="1" applyFill="1" applyAlignment="1">
      <alignment horizontal="right" vertical="center" wrapText="1"/>
    </xf>
    <xf numFmtId="0" fontId="21" fillId="44" borderId="12" xfId="0" applyFont="1" applyFill="1" applyBorder="1" applyAlignment="1">
      <alignment vertical="center" wrapText="1"/>
    </xf>
    <xf numFmtId="0" fontId="24" fillId="44" borderId="12" xfId="0" applyFont="1" applyFill="1" applyBorder="1" applyAlignment="1">
      <alignment vertical="center" wrapText="1"/>
    </xf>
    <xf numFmtId="164" fontId="96" fillId="46" borderId="15" xfId="42" applyNumberFormat="1" applyFont="1" applyFill="1" applyBorder="1" applyAlignment="1">
      <alignment horizontal="center" vertical="center" wrapText="1"/>
    </xf>
    <xf numFmtId="164" fontId="24" fillId="82" borderId="15" xfId="0" applyNumberFormat="1" applyFont="1" applyFill="1" applyBorder="1" applyAlignment="1">
      <alignment vertical="center"/>
    </xf>
    <xf numFmtId="1" fontId="24" fillId="82" borderId="15" xfId="0" applyNumberFormat="1" applyFont="1" applyFill="1" applyBorder="1" applyAlignment="1">
      <alignment vertical="center"/>
    </xf>
    <xf numFmtId="0" fontId="95" fillId="0" borderId="0" xfId="42" applyFont="1" applyFill="1" applyAlignment="1">
      <alignment vertical="center" wrapText="1"/>
    </xf>
    <xf numFmtId="49" fontId="25" fillId="37" borderId="22" xfId="42" applyNumberFormat="1" applyFont="1" applyFill="1" applyBorder="1" applyAlignment="1">
      <alignment horizontal="center" vertical="center"/>
    </xf>
    <xf numFmtId="164" fontId="24" fillId="46" borderId="15" xfId="0" applyNumberFormat="1" applyFont="1" applyFill="1" applyBorder="1" applyAlignment="1">
      <alignment horizontal="center" vertical="center" wrapText="1"/>
    </xf>
    <xf numFmtId="166" fontId="24" fillId="45" borderId="15" xfId="0" applyNumberFormat="1" applyFont="1" applyFill="1" applyBorder="1" applyAlignment="1">
      <alignment horizontal="center" vertical="center" wrapText="1"/>
    </xf>
    <xf numFmtId="1" fontId="24" fillId="45" borderId="15" xfId="0" applyNumberFormat="1" applyFont="1" applyFill="1" applyBorder="1" applyAlignment="1">
      <alignment horizontal="center" vertical="center" wrapText="1"/>
    </xf>
    <xf numFmtId="3" fontId="24" fillId="46" borderId="15" xfId="0" applyNumberFormat="1" applyFont="1" applyFill="1" applyBorder="1" applyAlignment="1">
      <alignment horizontal="center" vertical="center" wrapText="1"/>
    </xf>
    <xf numFmtId="3" fontId="24" fillId="41" borderId="14" xfId="0" applyNumberFormat="1" applyFont="1" applyFill="1" applyBorder="1" applyAlignment="1">
      <alignment horizontal="center" vertical="center" wrapText="1"/>
    </xf>
    <xf numFmtId="49" fontId="25" fillId="36" borderId="0" xfId="42" quotePrefix="1" applyNumberFormat="1" applyFont="1" applyFill="1" applyBorder="1" applyAlignment="1">
      <alignment horizontal="center" vertical="center" wrapText="1"/>
    </xf>
    <xf numFmtId="49" fontId="74" fillId="35" borderId="0" xfId="42" applyNumberFormat="1" applyFont="1" applyFill="1" applyBorder="1" applyAlignment="1">
      <alignment horizontal="center" vertical="center" wrapText="1"/>
    </xf>
    <xf numFmtId="0" fontId="24" fillId="36" borderId="22" xfId="0" applyFont="1" applyFill="1" applyBorder="1" applyAlignment="1">
      <alignment horizontal="center" vertical="center" wrapText="1"/>
    </xf>
    <xf numFmtId="0" fontId="24" fillId="84" borderId="15" xfId="0" applyFont="1" applyFill="1" applyBorder="1" applyAlignment="1">
      <alignment horizontal="center" vertical="center" wrapText="1"/>
    </xf>
    <xf numFmtId="0" fontId="25" fillId="46" borderId="15" xfId="42" applyFont="1" applyFill="1" applyBorder="1" applyAlignment="1">
      <alignment horizontal="left" vertical="center" wrapText="1" indent="1"/>
    </xf>
    <xf numFmtId="0" fontId="24" fillId="46" borderId="15" xfId="0" applyFont="1" applyFill="1" applyBorder="1" applyAlignment="1">
      <alignment horizontal="center" vertical="center" wrapText="1"/>
    </xf>
    <xf numFmtId="0" fontId="24" fillId="45" borderId="15" xfId="0" applyFont="1" applyFill="1" applyBorder="1" applyAlignment="1">
      <alignment horizontal="center" vertical="center" wrapText="1"/>
    </xf>
    <xf numFmtId="0" fontId="24" fillId="42" borderId="15" xfId="0" applyFont="1" applyFill="1" applyBorder="1" applyAlignment="1">
      <alignment horizontal="center" vertical="center" wrapText="1"/>
    </xf>
    <xf numFmtId="165" fontId="21" fillId="44" borderId="0" xfId="0" applyNumberFormat="1" applyFont="1" applyFill="1" applyAlignment="1">
      <alignment horizontal="left" vertical="center" wrapText="1"/>
    </xf>
    <xf numFmtId="0" fontId="21" fillId="44" borderId="0" xfId="0" applyFont="1" applyFill="1" applyAlignment="1">
      <alignment horizontal="left" vertical="center" wrapText="1" indent="2"/>
    </xf>
    <xf numFmtId="0" fontId="27" fillId="44" borderId="0" xfId="42" applyFont="1" applyFill="1" applyAlignment="1">
      <alignment horizontal="left" vertical="center" wrapText="1" indent="2"/>
    </xf>
    <xf numFmtId="0" fontId="25" fillId="40" borderId="13" xfId="42" applyFont="1" applyFill="1" applyBorder="1" applyAlignment="1">
      <alignment horizontal="center" vertical="center" wrapText="1"/>
    </xf>
    <xf numFmtId="0" fontId="24" fillId="40" borderId="15" xfId="0" applyFont="1" applyFill="1" applyBorder="1" applyAlignment="1">
      <alignment horizontal="center" vertical="center" wrapText="1"/>
    </xf>
    <xf numFmtId="1" fontId="24" fillId="40" borderId="15" xfId="0" applyNumberFormat="1" applyFont="1" applyFill="1" applyBorder="1" applyAlignment="1">
      <alignment horizontal="center" vertical="center" wrapText="1"/>
    </xf>
    <xf numFmtId="164" fontId="98" fillId="40" borderId="14" xfId="42" applyNumberFormat="1" applyFont="1" applyFill="1" applyBorder="1" applyAlignment="1">
      <alignment horizontal="center" vertical="center" wrapText="1"/>
    </xf>
    <xf numFmtId="0" fontId="24" fillId="0" borderId="0" xfId="0" quotePrefix="1" applyFont="1"/>
    <xf numFmtId="2" fontId="98" fillId="40" borderId="14" xfId="42" applyNumberFormat="1" applyFont="1" applyFill="1" applyBorder="1" applyAlignment="1">
      <alignment horizontal="center" vertical="center" wrapText="1"/>
    </xf>
    <xf numFmtId="2" fontId="24" fillId="40" borderId="15" xfId="0" applyNumberFormat="1" applyFont="1" applyFill="1" applyBorder="1" applyAlignment="1">
      <alignment horizontal="center" vertical="center" wrapText="1"/>
    </xf>
    <xf numFmtId="164" fontId="24" fillId="40" borderId="15" xfId="0" applyNumberFormat="1" applyFont="1" applyFill="1" applyBorder="1" applyAlignment="1">
      <alignment horizontal="center" vertical="center" wrapText="1"/>
    </xf>
    <xf numFmtId="3" fontId="24" fillId="40" borderId="15" xfId="0" applyNumberFormat="1" applyFont="1" applyFill="1" applyBorder="1" applyAlignment="1">
      <alignment horizontal="center" vertical="center" wrapText="1"/>
    </xf>
    <xf numFmtId="1" fontId="26" fillId="40" borderId="15" xfId="0" applyNumberFormat="1" applyFont="1" applyFill="1" applyBorder="1" applyAlignment="1">
      <alignment horizontal="center" vertical="center" wrapText="1"/>
    </xf>
    <xf numFmtId="0" fontId="24" fillId="64" borderId="15" xfId="0" applyFont="1" applyFill="1" applyBorder="1" applyAlignment="1">
      <alignment horizontal="right"/>
    </xf>
    <xf numFmtId="0" fontId="24" fillId="50" borderId="15" xfId="0" applyFont="1" applyFill="1" applyBorder="1" applyAlignment="1">
      <alignment vertical="center"/>
    </xf>
    <xf numFmtId="0" fontId="24" fillId="40" borderId="24" xfId="0" applyFont="1" applyFill="1" applyBorder="1" applyAlignment="1">
      <alignment horizontal="center" vertical="center" wrapText="1"/>
    </xf>
    <xf numFmtId="0" fontId="24" fillId="40" borderId="16" xfId="0" applyFont="1" applyFill="1" applyBorder="1" applyAlignment="1">
      <alignment horizontal="center" vertical="center" wrapText="1"/>
    </xf>
    <xf numFmtId="0" fontId="25" fillId="37" borderId="12" xfId="42" quotePrefix="1" applyFont="1" applyFill="1" applyBorder="1" applyAlignment="1">
      <alignment horizontal="center" vertical="center" wrapText="1"/>
    </xf>
    <xf numFmtId="0" fontId="25" fillId="84" borderId="13" xfId="42" applyFont="1" applyFill="1" applyBorder="1" applyAlignment="1">
      <alignment horizontal="center" vertical="center" wrapText="1"/>
    </xf>
    <xf numFmtId="164" fontId="98" fillId="84" borderId="14" xfId="42" applyNumberFormat="1" applyFont="1" applyFill="1" applyBorder="1" applyAlignment="1">
      <alignment horizontal="center" vertical="center" wrapText="1"/>
    </xf>
    <xf numFmtId="166" fontId="24" fillId="84" borderId="15" xfId="0" applyNumberFormat="1" applyFont="1" applyFill="1" applyBorder="1" applyAlignment="1">
      <alignment horizontal="center" vertical="center" wrapText="1"/>
    </xf>
    <xf numFmtId="0" fontId="25" fillId="45" borderId="15" xfId="42" applyFont="1" applyFill="1" applyBorder="1" applyAlignment="1">
      <alignment horizontal="left" vertical="center" wrapText="1" indent="1"/>
    </xf>
    <xf numFmtId="0" fontId="84" fillId="88" borderId="23" xfId="0" applyFont="1" applyFill="1" applyBorder="1" applyAlignment="1">
      <alignment horizontal="center" vertical="center" wrapText="1"/>
    </xf>
    <xf numFmtId="0" fontId="99" fillId="0" borderId="0" xfId="0" applyFont="1" applyAlignment="1">
      <alignment horizontal="left" vertical="top"/>
    </xf>
    <xf numFmtId="0" fontId="25" fillId="37" borderId="23" xfId="42" applyFont="1" applyFill="1" applyBorder="1" applyAlignment="1">
      <alignment vertical="center" wrapText="1"/>
    </xf>
    <xf numFmtId="0" fontId="24" fillId="37" borderId="23" xfId="0" applyFont="1" applyFill="1" applyBorder="1" applyAlignment="1">
      <alignment horizontal="center" vertical="center" wrapText="1"/>
    </xf>
    <xf numFmtId="49" fontId="24" fillId="36" borderId="14" xfId="0" applyNumberFormat="1" applyFont="1" applyFill="1" applyBorder="1" applyAlignment="1">
      <alignment horizontal="center" vertical="center" wrapText="1"/>
    </xf>
    <xf numFmtId="49" fontId="25" fillId="36" borderId="23" xfId="42" quotePrefix="1" applyNumberFormat="1" applyFont="1" applyFill="1" applyBorder="1" applyAlignment="1">
      <alignment horizontal="center" vertical="center" wrapText="1"/>
    </xf>
    <xf numFmtId="49" fontId="24" fillId="36" borderId="23" xfId="0" applyNumberFormat="1" applyFont="1" applyFill="1" applyBorder="1" applyAlignment="1">
      <alignment horizontal="center" vertical="center" wrapText="1"/>
    </xf>
    <xf numFmtId="0" fontId="24" fillId="64" borderId="0" xfId="0" applyFont="1" applyFill="1" applyAlignment="1">
      <alignment horizontal="right" vertical="center" wrapText="1"/>
    </xf>
    <xf numFmtId="2" fontId="24" fillId="0" borderId="0" xfId="0" applyNumberFormat="1" applyFont="1" applyAlignment="1">
      <alignment vertical="center"/>
    </xf>
    <xf numFmtId="0" fontId="24" fillId="63" borderId="0" xfId="0" applyFont="1" applyFill="1" applyAlignment="1">
      <alignment horizontal="right" vertical="center" wrapText="1"/>
    </xf>
    <xf numFmtId="166" fontId="24" fillId="0" borderId="0" xfId="0" applyNumberFormat="1" applyFont="1" applyAlignment="1">
      <alignment horizontal="right" vertical="center"/>
    </xf>
    <xf numFmtId="0" fontId="21" fillId="0" borderId="0" xfId="0" applyFont="1" applyAlignment="1">
      <alignment horizontal="right"/>
    </xf>
    <xf numFmtId="0" fontId="21" fillId="0" borderId="0" xfId="0" applyFont="1" applyAlignment="1">
      <alignment horizontal="right" vertical="center"/>
    </xf>
    <xf numFmtId="0" fontId="24" fillId="0" borderId="0" xfId="0" applyFont="1" applyAlignment="1">
      <alignment horizontal="right" vertical="center"/>
    </xf>
    <xf numFmtId="1" fontId="24" fillId="63" borderId="0" xfId="0" applyNumberFormat="1" applyFont="1" applyFill="1" applyAlignment="1">
      <alignment horizontal="right" vertical="center" wrapText="1"/>
    </xf>
    <xf numFmtId="166" fontId="24" fillId="63" borderId="0" xfId="0" applyNumberFormat="1" applyFont="1" applyFill="1" applyAlignment="1">
      <alignment horizontal="right" vertical="center" wrapText="1"/>
    </xf>
    <xf numFmtId="166" fontId="37" fillId="83" borderId="0" xfId="0" applyNumberFormat="1" applyFont="1" applyFill="1" applyAlignment="1">
      <alignment horizontal="right" vertical="center" wrapText="1"/>
    </xf>
    <xf numFmtId="166" fontId="21" fillId="0" borderId="0" xfId="0" applyNumberFormat="1" applyFont="1" applyAlignment="1">
      <alignment horizontal="right"/>
    </xf>
    <xf numFmtId="0" fontId="95" fillId="0" borderId="0" xfId="42" applyFont="1" applyFill="1" applyAlignment="1">
      <alignment horizontal="right" vertical="center" wrapText="1"/>
    </xf>
    <xf numFmtId="1" fontId="24" fillId="89" borderId="0" xfId="0" applyNumberFormat="1" applyFont="1" applyFill="1" applyAlignment="1">
      <alignment horizontal="right" vertical="center" wrapText="1"/>
    </xf>
    <xf numFmtId="49" fontId="25" fillId="36" borderId="22" xfId="42" applyNumberFormat="1" applyFont="1" applyFill="1" applyBorder="1" applyAlignment="1">
      <alignment horizontal="center" vertical="center" wrapText="1"/>
    </xf>
    <xf numFmtId="49" fontId="25" fillId="36" borderId="0" xfId="42" applyNumberFormat="1" applyFont="1" applyFill="1" applyBorder="1" applyAlignment="1">
      <alignment horizontal="center" vertical="center" wrapText="1"/>
    </xf>
    <xf numFmtId="0" fontId="25" fillId="37" borderId="0" xfId="42" applyFont="1" applyFill="1" applyBorder="1" applyAlignment="1">
      <alignment vertical="center" wrapText="1"/>
    </xf>
    <xf numFmtId="2" fontId="24" fillId="84" borderId="25" xfId="0" applyNumberFormat="1" applyFont="1" applyFill="1" applyBorder="1" applyAlignment="1">
      <alignment horizontal="center" vertical="center" wrapText="1"/>
    </xf>
    <xf numFmtId="0" fontId="24" fillId="37" borderId="19" xfId="0" applyFont="1" applyFill="1" applyBorder="1" applyAlignment="1">
      <alignment horizontal="center" vertical="center" wrapText="1"/>
    </xf>
    <xf numFmtId="0" fontId="24" fillId="37" borderId="21" xfId="0" applyFont="1" applyFill="1" applyBorder="1" applyAlignment="1">
      <alignment horizontal="center" vertical="center" wrapText="1"/>
    </xf>
    <xf numFmtId="164" fontId="24" fillId="84" borderId="19" xfId="0" applyNumberFormat="1" applyFont="1" applyFill="1" applyBorder="1" applyAlignment="1">
      <alignment horizontal="center" vertical="center" wrapText="1"/>
    </xf>
    <xf numFmtId="164" fontId="24" fillId="84" borderId="21" xfId="0" applyNumberFormat="1" applyFont="1" applyFill="1" applyBorder="1" applyAlignment="1">
      <alignment horizontal="center" vertical="center" wrapText="1"/>
    </xf>
    <xf numFmtId="0" fontId="25" fillId="84" borderId="24" xfId="42" applyFont="1" applyFill="1" applyBorder="1" applyAlignment="1">
      <alignment horizontal="center" vertical="center" wrapText="1"/>
    </xf>
    <xf numFmtId="1" fontId="24" fillId="84" borderId="25" xfId="0" applyNumberFormat="1" applyFont="1" applyFill="1" applyBorder="1" applyAlignment="1">
      <alignment horizontal="center" vertical="center" wrapText="1"/>
    </xf>
    <xf numFmtId="164" fontId="24" fillId="84" borderId="25" xfId="0" applyNumberFormat="1" applyFont="1" applyFill="1" applyBorder="1" applyAlignment="1">
      <alignment horizontal="center" vertical="center" wrapText="1"/>
    </xf>
    <xf numFmtId="0" fontId="74" fillId="35" borderId="23" xfId="42" quotePrefix="1" applyFont="1" applyFill="1" applyBorder="1" applyAlignment="1">
      <alignment vertical="center" wrapText="1"/>
    </xf>
    <xf numFmtId="0" fontId="25" fillId="35" borderId="0" xfId="42" quotePrefix="1" applyFont="1" applyFill="1" applyBorder="1" applyAlignment="1">
      <alignment horizontal="center" vertical="center"/>
    </xf>
    <xf numFmtId="0" fontId="25" fillId="35" borderId="11" xfId="42" quotePrefix="1" applyFont="1" applyFill="1" applyBorder="1" applyAlignment="1">
      <alignment horizontal="center" vertical="center"/>
    </xf>
    <xf numFmtId="0" fontId="25" fillId="35" borderId="21" xfId="42" quotePrefix="1" applyFont="1" applyFill="1" applyBorder="1" applyAlignment="1">
      <alignment horizontal="center" vertical="center"/>
    </xf>
    <xf numFmtId="0" fontId="25" fillId="35" borderId="23" xfId="42" quotePrefix="1" applyFont="1" applyFill="1" applyBorder="1" applyAlignment="1">
      <alignment horizontal="center" vertical="center"/>
    </xf>
    <xf numFmtId="0" fontId="25" fillId="35" borderId="12" xfId="42" quotePrefix="1" applyFont="1" applyFill="1" applyBorder="1" applyAlignment="1">
      <alignment horizontal="center" vertical="center"/>
    </xf>
    <xf numFmtId="0" fontId="101" fillId="37" borderId="23" xfId="42" quotePrefix="1" applyFont="1" applyFill="1" applyBorder="1" applyAlignment="1">
      <alignment horizontal="right" vertical="center" wrapText="1"/>
    </xf>
    <xf numFmtId="0" fontId="101" fillId="35" borderId="14" xfId="42" quotePrefix="1" applyFont="1" applyFill="1" applyBorder="1" applyAlignment="1">
      <alignment horizontal="right" vertical="center"/>
    </xf>
    <xf numFmtId="0" fontId="0" fillId="0" borderId="0" xfId="0" applyAlignment="1">
      <alignment vertical="center"/>
    </xf>
    <xf numFmtId="166" fontId="102" fillId="87" borderId="0" xfId="0" applyNumberFormat="1" applyFont="1" applyFill="1" applyAlignment="1">
      <alignment horizontal="right" vertical="center" wrapText="1"/>
    </xf>
    <xf numFmtId="166" fontId="24" fillId="83" borderId="0" xfId="0" applyNumberFormat="1" applyFont="1" applyFill="1" applyAlignment="1">
      <alignment horizontal="right" vertical="center" wrapText="1"/>
    </xf>
    <xf numFmtId="0" fontId="25" fillId="37" borderId="20" xfId="42" quotePrefix="1" applyFont="1" applyFill="1" applyBorder="1" applyAlignment="1">
      <alignment horizontal="center" vertical="center" wrapText="1"/>
    </xf>
    <xf numFmtId="0" fontId="84" fillId="88" borderId="22" xfId="0" applyFont="1" applyFill="1" applyBorder="1" applyAlignment="1">
      <alignment horizontal="center" vertical="center" wrapText="1"/>
    </xf>
    <xf numFmtId="49" fontId="25" fillId="36" borderId="20" xfId="42" applyNumberFormat="1" applyFont="1" applyFill="1" applyBorder="1" applyAlignment="1">
      <alignment horizontal="center" vertical="center" wrapText="1"/>
    </xf>
    <xf numFmtId="169" fontId="37" fillId="83" borderId="0" xfId="0" applyNumberFormat="1" applyFont="1" applyFill="1" applyAlignment="1">
      <alignment horizontal="right" vertical="center" wrapText="1"/>
    </xf>
    <xf numFmtId="169" fontId="97" fillId="87" borderId="0" xfId="0" applyNumberFormat="1" applyFont="1" applyFill="1" applyAlignment="1">
      <alignment horizontal="right" vertical="center" wrapText="1"/>
    </xf>
    <xf numFmtId="169" fontId="21" fillId="50" borderId="0" xfId="0" applyNumberFormat="1" applyFont="1" applyFill="1" applyAlignment="1">
      <alignment horizontal="right" vertical="top"/>
    </xf>
    <xf numFmtId="169" fontId="21" fillId="50" borderId="0" xfId="0" applyNumberFormat="1" applyFont="1" applyFill="1" applyAlignment="1">
      <alignment horizontal="right"/>
    </xf>
    <xf numFmtId="169" fontId="21" fillId="0" borderId="0" xfId="0" applyNumberFormat="1" applyFont="1" applyAlignment="1">
      <alignment horizontal="right"/>
    </xf>
    <xf numFmtId="0" fontId="84" fillId="88" borderId="0" xfId="0" applyFont="1" applyFill="1" applyAlignment="1">
      <alignment horizontal="center" vertical="center" wrapText="1"/>
    </xf>
    <xf numFmtId="0" fontId="25" fillId="37" borderId="22" xfId="42" quotePrefix="1" applyFont="1" applyFill="1" applyBorder="1" applyAlignment="1">
      <alignment horizontal="center" vertical="center" wrapText="1"/>
    </xf>
    <xf numFmtId="0" fontId="25" fillId="37" borderId="0" xfId="42" applyFont="1" applyFill="1" applyBorder="1" applyAlignment="1">
      <alignment horizontal="center" vertical="center" wrapText="1"/>
    </xf>
    <xf numFmtId="0" fontId="25" fillId="37" borderId="23" xfId="42" applyFont="1" applyFill="1" applyBorder="1" applyAlignment="1">
      <alignment horizontal="center" vertical="center" wrapText="1"/>
    </xf>
    <xf numFmtId="0" fontId="74" fillId="37" borderId="22" xfId="42" quotePrefix="1" applyFont="1" applyFill="1" applyBorder="1" applyAlignment="1">
      <alignment horizontal="center" vertical="center" wrapText="1"/>
    </xf>
    <xf numFmtId="0" fontId="74" fillId="37" borderId="0" xfId="42" quotePrefix="1" applyFont="1" applyFill="1" applyBorder="1" applyAlignment="1">
      <alignment horizontal="center" vertical="center" wrapText="1"/>
    </xf>
    <xf numFmtId="0" fontId="25" fillId="37" borderId="0" xfId="42" quotePrefix="1" applyFont="1" applyFill="1" applyBorder="1" applyAlignment="1">
      <alignment horizontal="center" vertical="center" wrapText="1"/>
    </xf>
    <xf numFmtId="0" fontId="25" fillId="37" borderId="22" xfId="42" applyFont="1" applyFill="1" applyBorder="1" applyAlignment="1">
      <alignment horizontal="center" vertical="center" wrapText="1"/>
    </xf>
    <xf numFmtId="0" fontId="25" fillId="37" borderId="23" xfId="42" quotePrefix="1" applyFont="1" applyFill="1" applyBorder="1" applyAlignment="1">
      <alignment horizontal="center" vertical="center" wrapText="1"/>
    </xf>
    <xf numFmtId="0" fontId="74" fillId="37" borderId="23" xfId="42" quotePrefix="1" applyFont="1" applyFill="1" applyBorder="1" applyAlignment="1">
      <alignment horizontal="center" vertical="center" wrapText="1"/>
    </xf>
    <xf numFmtId="49" fontId="74" fillId="37" borderId="22" xfId="42" applyNumberFormat="1" applyFont="1" applyFill="1" applyBorder="1" applyAlignment="1">
      <alignment horizontal="center" vertical="center"/>
    </xf>
    <xf numFmtId="0" fontId="25" fillId="91" borderId="0" xfId="42" quotePrefix="1" applyFont="1" applyFill="1" applyBorder="1" applyAlignment="1">
      <alignment horizontal="center" vertical="center" wrapText="1"/>
    </xf>
    <xf numFmtId="0" fontId="24" fillId="91" borderId="23" xfId="0" applyFont="1" applyFill="1" applyBorder="1" applyAlignment="1">
      <alignment horizontal="center" vertical="center" wrapText="1"/>
    </xf>
    <xf numFmtId="49" fontId="24" fillId="36" borderId="0" xfId="0" quotePrefix="1" applyNumberFormat="1" applyFont="1" applyFill="1" applyAlignment="1">
      <alignment horizontal="center" vertical="center" wrapText="1"/>
    </xf>
    <xf numFmtId="0" fontId="21" fillId="50" borderId="0" xfId="0" applyFont="1" applyFill="1" applyAlignment="1">
      <alignment vertical="center"/>
    </xf>
    <xf numFmtId="0" fontId="103" fillId="50" borderId="0" xfId="42" quotePrefix="1" applyFont="1" applyFill="1" applyBorder="1" applyAlignment="1">
      <alignment horizontal="center" vertical="center"/>
    </xf>
    <xf numFmtId="0" fontId="21" fillId="50" borderId="0" xfId="0" quotePrefix="1" applyFont="1" applyFill="1"/>
    <xf numFmtId="0" fontId="74" fillId="37" borderId="23" xfId="42" applyFont="1" applyFill="1" applyBorder="1" applyAlignment="1">
      <alignment vertical="center" wrapText="1"/>
    </xf>
    <xf numFmtId="0" fontId="25" fillId="84" borderId="22" xfId="42" applyFont="1" applyFill="1" applyBorder="1" applyAlignment="1">
      <alignment horizontal="center" vertical="center" wrapText="1"/>
    </xf>
    <xf numFmtId="0" fontId="25" fillId="84" borderId="22" xfId="42" applyFont="1" applyFill="1" applyBorder="1" applyAlignment="1">
      <alignment horizontal="left" vertical="center" wrapText="1" indent="1"/>
    </xf>
    <xf numFmtId="0" fontId="25" fillId="84" borderId="0" xfId="42" applyFont="1" applyFill="1" applyBorder="1" applyAlignment="1">
      <alignment horizontal="left" vertical="center" wrapText="1" indent="1"/>
    </xf>
    <xf numFmtId="0" fontId="25" fillId="84" borderId="23" xfId="42" applyFont="1" applyFill="1" applyBorder="1" applyAlignment="1">
      <alignment horizontal="left" vertical="center" wrapText="1" indent="1"/>
    </xf>
    <xf numFmtId="0" fontId="24" fillId="84" borderId="46" xfId="0" applyFont="1" applyFill="1" applyBorder="1" applyAlignment="1">
      <alignment horizontal="center" vertical="center" wrapText="1"/>
    </xf>
    <xf numFmtId="0" fontId="24" fillId="84" borderId="19" xfId="0" applyFont="1" applyFill="1" applyBorder="1" applyAlignment="1">
      <alignment horizontal="center" vertical="center" wrapText="1"/>
    </xf>
    <xf numFmtId="0" fontId="24" fillId="84" borderId="21" xfId="0" applyFont="1" applyFill="1" applyBorder="1" applyAlignment="1">
      <alignment horizontal="center" vertical="center" wrapText="1"/>
    </xf>
    <xf numFmtId="0" fontId="25" fillId="35" borderId="0" xfId="42" quotePrefix="1" applyFont="1" applyFill="1" applyBorder="1" applyAlignment="1">
      <alignment horizontal="center" vertical="center" wrapText="1"/>
    </xf>
    <xf numFmtId="49" fontId="25" fillId="36" borderId="0" xfId="42" quotePrefix="1" applyNumberFormat="1" applyFont="1" applyFill="1" applyBorder="1" applyAlignment="1">
      <alignment horizontal="center" vertical="center"/>
    </xf>
    <xf numFmtId="0" fontId="25" fillId="35" borderId="0" xfId="42" applyFont="1" applyFill="1" applyBorder="1" applyAlignment="1">
      <alignment horizontal="center" vertical="center" wrapText="1"/>
    </xf>
    <xf numFmtId="0" fontId="25" fillId="35" borderId="23" xfId="42" applyFont="1" applyFill="1" applyBorder="1" applyAlignment="1">
      <alignment horizontal="center" vertical="center" wrapText="1"/>
    </xf>
    <xf numFmtId="49" fontId="25" fillId="36" borderId="22" xfId="42" quotePrefix="1" applyNumberFormat="1" applyFont="1" applyFill="1" applyBorder="1" applyAlignment="1">
      <alignment horizontal="center" vertical="center" wrapText="1"/>
    </xf>
    <xf numFmtId="0" fontId="25" fillId="36" borderId="23" xfId="42" applyFont="1" applyFill="1" applyBorder="1" applyAlignment="1">
      <alignment horizontal="center" vertical="center" wrapText="1"/>
    </xf>
    <xf numFmtId="0" fontId="25" fillId="36" borderId="22" xfId="42" applyFont="1" applyFill="1" applyBorder="1" applyAlignment="1">
      <alignment horizontal="center" vertical="center" wrapText="1"/>
    </xf>
    <xf numFmtId="49" fontId="25" fillId="35" borderId="23" xfId="42" applyNumberFormat="1" applyFont="1" applyFill="1" applyBorder="1" applyAlignment="1">
      <alignment horizontal="center" vertical="center" wrapText="1"/>
    </xf>
    <xf numFmtId="49" fontId="25" fillId="35" borderId="22" xfId="42" applyNumberFormat="1" applyFont="1" applyFill="1" applyBorder="1" applyAlignment="1">
      <alignment horizontal="center" vertical="center" wrapText="1"/>
    </xf>
    <xf numFmtId="49" fontId="25" fillId="35" borderId="0" xfId="42" applyNumberFormat="1" applyFont="1" applyFill="1" applyBorder="1" applyAlignment="1">
      <alignment horizontal="center" vertical="center" wrapText="1"/>
    </xf>
    <xf numFmtId="3" fontId="24" fillId="84" borderId="25" xfId="0" applyNumberFormat="1" applyFont="1" applyFill="1" applyBorder="1" applyAlignment="1">
      <alignment horizontal="center" vertical="center" wrapText="1"/>
    </xf>
    <xf numFmtId="0" fontId="97" fillId="47" borderId="22" xfId="0" applyFont="1" applyFill="1" applyBorder="1" applyAlignment="1">
      <alignment horizontal="center" vertical="center" wrapText="1"/>
    </xf>
    <xf numFmtId="0" fontId="97" fillId="47" borderId="0" xfId="0" applyFont="1" applyFill="1" applyAlignment="1">
      <alignment horizontal="center" vertical="center" wrapText="1"/>
    </xf>
    <xf numFmtId="0" fontId="97" fillId="47" borderId="23" xfId="0" applyFont="1" applyFill="1" applyBorder="1" applyAlignment="1">
      <alignment horizontal="center" vertical="center" wrapText="1"/>
    </xf>
    <xf numFmtId="0" fontId="25" fillId="37" borderId="22" xfId="42" applyFont="1" applyFill="1" applyBorder="1" applyAlignment="1">
      <alignment horizontal="center" vertical="center" wrapText="1"/>
    </xf>
    <xf numFmtId="0" fontId="25" fillId="37" borderId="0" xfId="42" applyFont="1" applyFill="1" applyBorder="1" applyAlignment="1">
      <alignment horizontal="center" vertical="center" wrapText="1"/>
    </xf>
    <xf numFmtId="0" fontId="24" fillId="37" borderId="15" xfId="0" applyFont="1" applyFill="1" applyBorder="1" applyAlignment="1">
      <alignment horizontal="center" vertical="center" wrapText="1"/>
    </xf>
    <xf numFmtId="0" fontId="24" fillId="84" borderId="15" xfId="0" applyFont="1" applyFill="1" applyBorder="1" applyAlignment="1">
      <alignment horizontal="center" vertical="center" wrapText="1"/>
    </xf>
    <xf numFmtId="0" fontId="25" fillId="84" borderId="24" xfId="42" applyFont="1" applyFill="1" applyBorder="1" applyAlignment="1">
      <alignment horizontal="left" vertical="center" wrapText="1" indent="1"/>
    </xf>
    <xf numFmtId="0" fontId="25" fillId="84" borderId="18" xfId="42" applyFont="1" applyFill="1" applyBorder="1" applyAlignment="1">
      <alignment horizontal="left" vertical="center" wrapText="1" indent="1"/>
    </xf>
    <xf numFmtId="0" fontId="25" fillId="84" borderId="16" xfId="42" applyFont="1" applyFill="1" applyBorder="1" applyAlignment="1">
      <alignment horizontal="left" vertical="center" wrapText="1" indent="1"/>
    </xf>
    <xf numFmtId="0" fontId="24" fillId="37" borderId="24" xfId="0" applyFont="1" applyFill="1" applyBorder="1" applyAlignment="1">
      <alignment horizontal="center" vertical="center" wrapText="1"/>
    </xf>
    <xf numFmtId="0" fontId="24" fillId="37" borderId="16" xfId="0" applyFont="1" applyFill="1" applyBorder="1" applyAlignment="1">
      <alignment horizontal="center" vertical="center" wrapText="1"/>
    </xf>
    <xf numFmtId="0" fontId="24" fillId="84" borderId="24" xfId="0" applyFont="1" applyFill="1" applyBorder="1" applyAlignment="1">
      <alignment horizontal="center" vertical="center" wrapText="1"/>
    </xf>
    <xf numFmtId="0" fontId="24" fillId="84" borderId="16" xfId="0" applyFont="1" applyFill="1" applyBorder="1" applyAlignment="1">
      <alignment horizontal="center" vertical="center" wrapText="1"/>
    </xf>
    <xf numFmtId="0" fontId="25" fillId="37" borderId="22" xfId="42" quotePrefix="1" applyFont="1" applyFill="1" applyBorder="1" applyAlignment="1">
      <alignment horizontal="center" vertical="center" wrapText="1"/>
    </xf>
    <xf numFmtId="0" fontId="25" fillId="37" borderId="0" xfId="42" quotePrefix="1" applyFont="1" applyFill="1" applyBorder="1" applyAlignment="1">
      <alignment horizontal="center" vertical="center" wrapText="1"/>
    </xf>
    <xf numFmtId="0" fontId="19" fillId="84" borderId="24" xfId="42" applyFill="1" applyBorder="1" applyAlignment="1">
      <alignment horizontal="left" vertical="center" wrapText="1" indent="1"/>
    </xf>
    <xf numFmtId="0" fontId="35" fillId="43" borderId="19" xfId="0" applyFont="1" applyFill="1" applyBorder="1" applyAlignment="1">
      <alignment horizontal="center" vertical="center" wrapText="1"/>
    </xf>
    <xf numFmtId="0" fontId="35" fillId="43" borderId="21" xfId="0" applyFont="1" applyFill="1" applyBorder="1" applyAlignment="1">
      <alignment horizontal="center" vertical="center" wrapText="1"/>
    </xf>
    <xf numFmtId="0" fontId="35" fillId="43" borderId="20" xfId="0" applyFont="1" applyFill="1" applyBorder="1" applyAlignment="1">
      <alignment horizontal="center" vertical="center" wrapText="1"/>
    </xf>
    <xf numFmtId="0" fontId="35" fillId="43" borderId="14" xfId="0" applyFont="1" applyFill="1" applyBorder="1" applyAlignment="1">
      <alignment horizontal="center" vertical="center" wrapText="1"/>
    </xf>
    <xf numFmtId="164" fontId="35" fillId="43" borderId="19" xfId="0" applyNumberFormat="1" applyFont="1" applyFill="1" applyBorder="1" applyAlignment="1">
      <alignment horizontal="center" vertical="center" wrapText="1"/>
    </xf>
    <xf numFmtId="164" fontId="35" fillId="43" borderId="20" xfId="0" applyNumberFormat="1" applyFont="1" applyFill="1" applyBorder="1" applyAlignment="1">
      <alignment horizontal="center" vertical="center" wrapText="1"/>
    </xf>
    <xf numFmtId="164" fontId="35" fillId="43" borderId="21" xfId="0" applyNumberFormat="1" applyFont="1" applyFill="1" applyBorder="1" applyAlignment="1">
      <alignment horizontal="center" vertical="center" wrapText="1"/>
    </xf>
    <xf numFmtId="164" fontId="35" fillId="43" borderId="14" xfId="0" applyNumberFormat="1" applyFont="1" applyFill="1" applyBorder="1" applyAlignment="1">
      <alignment horizontal="center" vertical="center" wrapText="1"/>
    </xf>
    <xf numFmtId="0" fontId="25" fillId="37" borderId="23" xfId="42" quotePrefix="1" applyFont="1" applyFill="1" applyBorder="1" applyAlignment="1">
      <alignment horizontal="center" vertical="center" wrapText="1"/>
    </xf>
    <xf numFmtId="0" fontId="34" fillId="43" borderId="46" xfId="0" applyFont="1" applyFill="1" applyBorder="1" applyAlignment="1">
      <alignment horizontal="center" vertical="center" wrapText="1"/>
    </xf>
    <xf numFmtId="0" fontId="34" fillId="43" borderId="13" xfId="0" applyFont="1" applyFill="1" applyBorder="1" applyAlignment="1">
      <alignment horizontal="center" vertical="center" wrapText="1"/>
    </xf>
    <xf numFmtId="0" fontId="35" fillId="43" borderId="22" xfId="0" applyFont="1" applyFill="1" applyBorder="1" applyAlignment="1">
      <alignment horizontal="left" vertical="center" wrapText="1" indent="1"/>
    </xf>
    <xf numFmtId="0" fontId="35" fillId="43" borderId="0" xfId="0" applyFont="1" applyFill="1" applyAlignment="1">
      <alignment horizontal="left" vertical="center" wrapText="1" indent="1"/>
    </xf>
    <xf numFmtId="0" fontId="35" fillId="43" borderId="23" xfId="0" applyFont="1" applyFill="1" applyBorder="1" applyAlignment="1">
      <alignment horizontal="left" vertical="center" wrapText="1" indent="1"/>
    </xf>
    <xf numFmtId="0" fontId="35" fillId="43" borderId="20" xfId="0" applyFont="1" applyFill="1" applyBorder="1" applyAlignment="1">
      <alignment horizontal="left" vertical="center" wrapText="1" indent="1"/>
    </xf>
    <xf numFmtId="0" fontId="35" fillId="43" borderId="12" xfId="0" applyFont="1" applyFill="1" applyBorder="1" applyAlignment="1">
      <alignment horizontal="left" vertical="center" wrapText="1" indent="1"/>
    </xf>
    <xf numFmtId="0" fontId="35" fillId="43" borderId="14" xfId="0" applyFont="1" applyFill="1" applyBorder="1" applyAlignment="1">
      <alignment horizontal="left" vertical="center" wrapText="1" indent="1"/>
    </xf>
    <xf numFmtId="0" fontId="24" fillId="84" borderId="24" xfId="0" applyFont="1" applyFill="1" applyBorder="1" applyAlignment="1">
      <alignment horizontal="center" vertical="center"/>
    </xf>
    <xf numFmtId="0" fontId="24" fillId="84" borderId="16" xfId="0" applyFont="1" applyFill="1" applyBorder="1" applyAlignment="1">
      <alignment horizontal="center" vertical="center"/>
    </xf>
    <xf numFmtId="0" fontId="97" fillId="47" borderId="11" xfId="0" applyFont="1" applyFill="1" applyBorder="1" applyAlignment="1">
      <alignment horizontal="center" vertical="center" wrapText="1"/>
    </xf>
    <xf numFmtId="0" fontId="97" fillId="47" borderId="21" xfId="0" applyFont="1" applyFill="1" applyBorder="1" applyAlignment="1">
      <alignment horizontal="center" vertical="center" wrapText="1"/>
    </xf>
    <xf numFmtId="0" fontId="24" fillId="45" borderId="15" xfId="0" applyFont="1" applyFill="1" applyBorder="1" applyAlignment="1">
      <alignment horizontal="center" vertical="center" wrapText="1"/>
    </xf>
    <xf numFmtId="0" fontId="35" fillId="43" borderId="25" xfId="0" applyFont="1" applyFill="1" applyBorder="1" applyAlignment="1">
      <alignment horizontal="center" vertical="center" wrapText="1"/>
    </xf>
    <xf numFmtId="0" fontId="35" fillId="43" borderId="13" xfId="0" applyFont="1" applyFill="1" applyBorder="1" applyAlignment="1">
      <alignment horizontal="center" vertical="center" wrapText="1"/>
    </xf>
    <xf numFmtId="0" fontId="34" fillId="43" borderId="25" xfId="0" applyFont="1" applyFill="1" applyBorder="1" applyAlignment="1">
      <alignment horizontal="center" vertical="center" wrapText="1"/>
    </xf>
    <xf numFmtId="0" fontId="35" fillId="43" borderId="19" xfId="0" applyFont="1" applyFill="1" applyBorder="1" applyAlignment="1">
      <alignment horizontal="left" vertical="center" wrapText="1" indent="1"/>
    </xf>
    <xf numFmtId="0" fontId="35" fillId="43" borderId="11" xfId="0" applyFont="1" applyFill="1" applyBorder="1" applyAlignment="1">
      <alignment horizontal="left" vertical="center" wrapText="1" indent="1"/>
    </xf>
    <xf numFmtId="0" fontId="35" fillId="43" borderId="21" xfId="0" applyFont="1" applyFill="1" applyBorder="1" applyAlignment="1">
      <alignment horizontal="left" vertical="center" wrapText="1" indent="1"/>
    </xf>
    <xf numFmtId="0" fontId="35" fillId="43" borderId="46" xfId="0" applyFont="1" applyFill="1" applyBorder="1" applyAlignment="1">
      <alignment horizontal="center" vertical="center" wrapText="1"/>
    </xf>
    <xf numFmtId="0" fontId="97" fillId="47" borderId="19" xfId="0" applyFont="1" applyFill="1" applyBorder="1" applyAlignment="1">
      <alignment horizontal="center" vertical="center" wrapText="1"/>
    </xf>
    <xf numFmtId="0" fontId="24" fillId="46" borderId="15" xfId="0" applyFont="1" applyFill="1" applyBorder="1" applyAlignment="1">
      <alignment horizontal="center" vertical="center" wrapText="1"/>
    </xf>
    <xf numFmtId="0" fontId="24" fillId="48" borderId="24" xfId="0" applyFont="1" applyFill="1" applyBorder="1" applyAlignment="1">
      <alignment horizontal="center" vertical="center" wrapText="1"/>
    </xf>
    <xf numFmtId="0" fontId="24" fillId="48" borderId="16" xfId="0" applyFont="1" applyFill="1" applyBorder="1" applyAlignment="1">
      <alignment horizontal="center" vertical="center" wrapText="1"/>
    </xf>
    <xf numFmtId="0" fontId="37" fillId="81" borderId="24" xfId="0" applyFont="1" applyFill="1" applyBorder="1" applyAlignment="1">
      <alignment horizontal="right" vertical="center" wrapText="1"/>
    </xf>
    <xf numFmtId="0" fontId="37" fillId="81" borderId="18" xfId="0" applyFont="1" applyFill="1" applyBorder="1" applyAlignment="1">
      <alignment horizontal="right" vertical="center" wrapText="1"/>
    </xf>
    <xf numFmtId="0" fontId="37" fillId="48" borderId="18" xfId="0" applyFont="1" applyFill="1" applyBorder="1" applyAlignment="1">
      <alignment horizontal="left" vertical="center" wrapText="1"/>
    </xf>
    <xf numFmtId="0" fontId="37" fillId="48" borderId="16" xfId="0" applyFont="1" applyFill="1" applyBorder="1" applyAlignment="1">
      <alignment horizontal="left" vertical="center" wrapText="1"/>
    </xf>
    <xf numFmtId="0" fontId="22" fillId="44" borderId="0" xfId="0" applyFont="1" applyFill="1" applyAlignment="1">
      <alignment horizontal="right" vertical="center" wrapText="1" indent="2"/>
    </xf>
    <xf numFmtId="165" fontId="21" fillId="44" borderId="0" xfId="0" applyNumberFormat="1" applyFont="1" applyFill="1" applyAlignment="1">
      <alignment horizontal="left" vertical="center" wrapText="1"/>
    </xf>
    <xf numFmtId="0" fontId="22" fillId="44" borderId="0" xfId="0" applyFont="1" applyFill="1" applyAlignment="1">
      <alignment horizontal="left" vertical="center" wrapText="1" indent="2"/>
    </xf>
    <xf numFmtId="0" fontId="21" fillId="44" borderId="0" xfId="0" applyFont="1" applyFill="1" applyAlignment="1">
      <alignment horizontal="left" vertical="center" wrapText="1" indent="2"/>
    </xf>
    <xf numFmtId="0" fontId="27" fillId="44" borderId="0" xfId="42" applyFont="1" applyFill="1" applyAlignment="1">
      <alignment horizontal="left" vertical="center" wrapText="1" indent="2"/>
    </xf>
    <xf numFmtId="0" fontId="27" fillId="44" borderId="12" xfId="42" applyFont="1" applyFill="1" applyBorder="1" applyAlignment="1">
      <alignment horizontal="center" vertical="center" wrapText="1"/>
    </xf>
    <xf numFmtId="0" fontId="21" fillId="44" borderId="12" xfId="0" applyFont="1" applyFill="1" applyBorder="1" applyAlignment="1">
      <alignment horizontal="left" vertical="center" wrapText="1" indent="2"/>
    </xf>
    <xf numFmtId="0" fontId="33" fillId="39" borderId="17" xfId="0" applyFont="1" applyFill="1" applyBorder="1" applyAlignment="1">
      <alignment horizontal="center" vertical="center" wrapText="1"/>
    </xf>
    <xf numFmtId="0" fontId="33" fillId="39" borderId="18" xfId="0" applyFont="1" applyFill="1" applyBorder="1" applyAlignment="1">
      <alignment horizontal="center" vertical="center" wrapText="1"/>
    </xf>
    <xf numFmtId="0" fontId="25" fillId="40" borderId="24" xfId="42" applyFont="1" applyFill="1" applyBorder="1" applyAlignment="1">
      <alignment horizontal="left" vertical="center" wrapText="1" indent="1"/>
    </xf>
    <xf numFmtId="0" fontId="25" fillId="40" borderId="18" xfId="42" applyFont="1" applyFill="1" applyBorder="1" applyAlignment="1">
      <alignment horizontal="left" vertical="center" wrapText="1" indent="1"/>
    </xf>
    <xf numFmtId="0" fontId="24" fillId="40" borderId="24" xfId="0" applyFont="1" applyFill="1" applyBorder="1" applyAlignment="1">
      <alignment horizontal="center" vertical="center" wrapText="1"/>
    </xf>
    <xf numFmtId="0" fontId="24" fillId="40" borderId="16" xfId="0" applyFont="1" applyFill="1" applyBorder="1" applyAlignment="1">
      <alignment horizontal="center" vertical="center" wrapText="1"/>
    </xf>
    <xf numFmtId="0" fontId="24" fillId="40" borderId="15" xfId="0" applyFont="1" applyFill="1" applyBorder="1" applyAlignment="1">
      <alignment horizontal="center" vertical="center" wrapText="1"/>
    </xf>
    <xf numFmtId="0" fontId="24" fillId="36" borderId="24" xfId="0" applyFont="1" applyFill="1" applyBorder="1" applyAlignment="1">
      <alignment horizontal="center" vertical="center" wrapText="1"/>
    </xf>
    <xf numFmtId="0" fontId="24" fillId="36" borderId="16" xfId="0" applyFont="1" applyFill="1" applyBorder="1" applyAlignment="1">
      <alignment horizontal="center" vertical="center" wrapText="1"/>
    </xf>
    <xf numFmtId="0" fontId="24" fillId="35" borderId="24" xfId="0" applyFont="1" applyFill="1" applyBorder="1" applyAlignment="1">
      <alignment horizontal="center" vertical="center" wrapText="1"/>
    </xf>
    <xf numFmtId="0" fontId="24" fillId="35" borderId="16" xfId="0" applyFont="1" applyFill="1" applyBorder="1" applyAlignment="1">
      <alignment horizontal="center" vertical="center" wrapText="1"/>
    </xf>
    <xf numFmtId="0" fontId="24" fillId="46" borderId="19" xfId="0" applyFont="1" applyFill="1" applyBorder="1" applyAlignment="1">
      <alignment horizontal="center" vertical="center" wrapText="1"/>
    </xf>
    <xf numFmtId="0" fontId="24" fillId="46" borderId="21" xfId="0" applyFont="1" applyFill="1" applyBorder="1" applyAlignment="1">
      <alignment horizontal="center" vertical="center" wrapText="1"/>
    </xf>
    <xf numFmtId="0" fontId="25" fillId="42" borderId="15" xfId="42" applyFont="1" applyFill="1" applyBorder="1" applyAlignment="1">
      <alignment horizontal="left" vertical="center" wrapText="1" indent="1"/>
    </xf>
    <xf numFmtId="0" fontId="25" fillId="40" borderId="16" xfId="42" applyFont="1" applyFill="1" applyBorder="1" applyAlignment="1">
      <alignment horizontal="left" vertical="center" wrapText="1" indent="1"/>
    </xf>
    <xf numFmtId="0" fontId="25" fillId="41" borderId="24" xfId="42" applyFont="1" applyFill="1" applyBorder="1" applyAlignment="1">
      <alignment horizontal="left" vertical="center" wrapText="1" indent="1"/>
    </xf>
    <xf numFmtId="0" fontId="25" fillId="41" borderId="18" xfId="42" applyFont="1" applyFill="1" applyBorder="1" applyAlignment="1">
      <alignment horizontal="left" vertical="center" wrapText="1" indent="1"/>
    </xf>
    <xf numFmtId="0" fontId="25" fillId="41" borderId="16" xfId="42" applyFont="1" applyFill="1" applyBorder="1" applyAlignment="1">
      <alignment horizontal="left" vertical="center" wrapText="1" indent="1"/>
    </xf>
    <xf numFmtId="0" fontId="25" fillId="46" borderId="15" xfId="42" applyFont="1" applyFill="1" applyBorder="1" applyAlignment="1">
      <alignment horizontal="left" vertical="center" wrapText="1" indent="1"/>
    </xf>
    <xf numFmtId="0" fontId="31" fillId="39" borderId="24" xfId="0" applyFont="1" applyFill="1" applyBorder="1" applyAlignment="1">
      <alignment horizontal="center" vertical="center" wrapText="1"/>
    </xf>
    <xf numFmtId="0" fontId="31" fillId="39" borderId="18" xfId="0" applyFont="1" applyFill="1" applyBorder="1" applyAlignment="1">
      <alignment horizontal="center" vertical="center" wrapText="1"/>
    </xf>
    <xf numFmtId="0" fontId="31" fillId="39" borderId="16" xfId="0" applyFont="1" applyFill="1" applyBorder="1" applyAlignment="1">
      <alignment horizontal="center" vertical="center" wrapText="1"/>
    </xf>
    <xf numFmtId="0" fontId="29" fillId="44" borderId="0" xfId="42" applyFont="1" applyFill="1" applyAlignment="1">
      <alignment horizontal="center" vertical="center" wrapText="1"/>
    </xf>
    <xf numFmtId="0" fontId="24" fillId="35" borderId="15" xfId="0" applyFont="1" applyFill="1" applyBorder="1" applyAlignment="1">
      <alignment horizontal="center" vertical="center" wrapText="1"/>
    </xf>
    <xf numFmtId="0" fontId="24" fillId="36" borderId="15" xfId="0" applyFont="1" applyFill="1" applyBorder="1" applyAlignment="1">
      <alignment horizontal="center" vertical="center" wrapText="1"/>
    </xf>
    <xf numFmtId="0" fontId="28" fillId="44" borderId="0" xfId="0" applyFont="1" applyFill="1" applyAlignment="1">
      <alignment horizontal="center" vertical="center" wrapText="1"/>
    </xf>
    <xf numFmtId="0" fontId="25" fillId="36" borderId="0" xfId="42" quotePrefix="1" applyFont="1" applyFill="1" applyBorder="1" applyAlignment="1">
      <alignment horizontal="center" vertical="center" wrapText="1"/>
    </xf>
    <xf numFmtId="0" fontId="25" fillId="36" borderId="23" xfId="42" quotePrefix="1" applyFont="1" applyFill="1" applyBorder="1" applyAlignment="1">
      <alignment horizontal="center" vertical="center" wrapText="1"/>
    </xf>
    <xf numFmtId="0" fontId="25" fillId="37" borderId="23" xfId="42" applyFont="1" applyFill="1" applyBorder="1" applyAlignment="1">
      <alignment horizontal="center" vertical="center" wrapText="1"/>
    </xf>
    <xf numFmtId="0" fontId="25" fillId="86" borderId="22" xfId="42" quotePrefix="1" applyFont="1" applyFill="1" applyBorder="1" applyAlignment="1">
      <alignment horizontal="center"/>
    </xf>
    <xf numFmtId="0" fontId="25" fillId="86" borderId="0" xfId="42" quotePrefix="1" applyFont="1" applyFill="1" applyBorder="1" applyAlignment="1">
      <alignment horizontal="center"/>
    </xf>
    <xf numFmtId="0" fontId="25" fillId="86" borderId="23" xfId="42" quotePrefix="1" applyFont="1" applyFill="1" applyBorder="1" applyAlignment="1">
      <alignment horizontal="center"/>
    </xf>
    <xf numFmtId="0" fontId="21" fillId="33" borderId="0" xfId="0" applyFont="1" applyFill="1" applyAlignment="1">
      <alignment horizontal="center" wrapText="1"/>
    </xf>
    <xf numFmtId="0" fontId="27" fillId="44" borderId="0" xfId="42" applyFont="1" applyFill="1" applyAlignment="1">
      <alignment horizontal="center" vertical="center"/>
    </xf>
    <xf numFmtId="0" fontId="24" fillId="44" borderId="0" xfId="0" applyFont="1" applyFill="1" applyAlignment="1">
      <alignment horizontal="center" vertical="center"/>
    </xf>
    <xf numFmtId="0" fontId="21" fillId="49" borderId="26" xfId="0" applyFont="1" applyFill="1" applyBorder="1" applyAlignment="1">
      <alignment horizontal="center" wrapText="1"/>
    </xf>
    <xf numFmtId="0" fontId="21" fillId="49" borderId="27" xfId="0" applyFont="1" applyFill="1" applyBorder="1" applyAlignment="1">
      <alignment horizontal="center" wrapText="1"/>
    </xf>
    <xf numFmtId="0" fontId="21" fillId="49" borderId="28" xfId="0" applyFont="1" applyFill="1" applyBorder="1" applyAlignment="1">
      <alignment horizontal="center" wrapText="1"/>
    </xf>
    <xf numFmtId="0" fontId="75" fillId="33" borderId="0" xfId="0" applyFont="1" applyFill="1" applyAlignment="1">
      <alignment horizontal="center" vertical="center" wrapText="1"/>
    </xf>
    <xf numFmtId="0" fontId="76" fillId="33" borderId="0" xfId="0" applyFont="1" applyFill="1" applyAlignment="1">
      <alignment horizontal="center" wrapText="1"/>
    </xf>
    <xf numFmtId="0" fontId="100" fillId="49" borderId="29" xfId="0" applyFont="1" applyFill="1" applyBorder="1" applyAlignment="1">
      <alignment horizontal="center" vertical="center"/>
    </xf>
    <xf numFmtId="0" fontId="100" fillId="49" borderId="0" xfId="0" applyFont="1" applyFill="1" applyAlignment="1">
      <alignment horizontal="center" vertical="center"/>
    </xf>
    <xf numFmtId="0" fontId="100" fillId="49" borderId="30" xfId="0" applyFont="1" applyFill="1" applyBorder="1" applyAlignment="1">
      <alignment horizontal="center" vertical="center"/>
    </xf>
    <xf numFmtId="0" fontId="79" fillId="33" borderId="0" xfId="0" applyFont="1" applyFill="1" applyAlignment="1">
      <alignment horizontal="center" wrapText="1"/>
    </xf>
    <xf numFmtId="0" fontId="78" fillId="33" borderId="0" xfId="0" applyFont="1" applyFill="1" applyAlignment="1">
      <alignment horizontal="center" vertical="center"/>
    </xf>
    <xf numFmtId="0" fontId="40" fillId="49" borderId="29" xfId="0" applyFont="1" applyFill="1" applyBorder="1" applyAlignment="1">
      <alignment horizontal="center" vertical="center" wrapText="1"/>
    </xf>
    <xf numFmtId="0" fontId="40" fillId="49" borderId="0" xfId="0" applyFont="1" applyFill="1" applyAlignment="1">
      <alignment horizontal="center" vertical="center" wrapText="1"/>
    </xf>
    <xf numFmtId="0" fontId="40" fillId="49" borderId="30" xfId="0" applyFont="1" applyFill="1" applyBorder="1" applyAlignment="1">
      <alignment horizontal="center" vertical="center" wrapText="1"/>
    </xf>
    <xf numFmtId="0" fontId="77" fillId="49" borderId="29" xfId="0" applyFont="1" applyFill="1" applyBorder="1" applyAlignment="1">
      <alignment horizontal="center" wrapText="1"/>
    </xf>
    <xf numFmtId="0" fontId="77" fillId="49" borderId="0" xfId="0" applyFont="1" applyFill="1" applyAlignment="1">
      <alignment horizontal="center" wrapText="1"/>
    </xf>
    <xf numFmtId="0" fontId="77" fillId="49" borderId="30" xfId="0" applyFont="1" applyFill="1" applyBorder="1" applyAlignment="1">
      <alignment horizontal="center" wrapText="1"/>
    </xf>
    <xf numFmtId="0" fontId="81" fillId="49" borderId="31" xfId="0" applyFont="1" applyFill="1" applyBorder="1" applyAlignment="1">
      <alignment horizontal="center" vertical="center" wrapText="1"/>
    </xf>
    <xf numFmtId="0" fontId="81" fillId="49" borderId="32" xfId="0" applyFont="1" applyFill="1" applyBorder="1" applyAlignment="1">
      <alignment horizontal="center" vertical="center" wrapText="1"/>
    </xf>
    <xf numFmtId="0" fontId="81" fillId="49" borderId="33" xfId="0" applyFont="1" applyFill="1" applyBorder="1" applyAlignment="1">
      <alignment horizontal="center" vertical="center" wrapText="1"/>
    </xf>
    <xf numFmtId="0" fontId="27" fillId="44" borderId="0" xfId="42" applyFont="1" applyFill="1" applyAlignment="1">
      <alignment horizontal="center"/>
    </xf>
    <xf numFmtId="49" fontId="25" fillId="80" borderId="22" xfId="42" quotePrefix="1" applyNumberFormat="1" applyFont="1" applyFill="1" applyBorder="1" applyAlignment="1">
      <alignment horizontal="center" vertical="center" wrapText="1"/>
    </xf>
    <xf numFmtId="49" fontId="25" fillId="80" borderId="0" xfId="42" quotePrefix="1" applyNumberFormat="1" applyFont="1" applyFill="1" applyBorder="1" applyAlignment="1">
      <alignment horizontal="center" vertical="center" wrapText="1"/>
    </xf>
    <xf numFmtId="49" fontId="25" fillId="80" borderId="23" xfId="42" quotePrefix="1" applyNumberFormat="1" applyFont="1" applyFill="1" applyBorder="1" applyAlignment="1">
      <alignment horizontal="center" vertical="center" wrapText="1"/>
    </xf>
    <xf numFmtId="0" fontId="74" fillId="35" borderId="22" xfId="42" quotePrefix="1" applyFont="1" applyFill="1" applyBorder="1" applyAlignment="1">
      <alignment horizontal="center" vertical="center" wrapText="1"/>
    </xf>
    <xf numFmtId="0" fontId="74" fillId="35" borderId="0" xfId="42" quotePrefix="1" applyFont="1" applyFill="1" applyBorder="1" applyAlignment="1">
      <alignment horizontal="center" vertical="center" wrapText="1"/>
    </xf>
    <xf numFmtId="49" fontId="25" fillId="36" borderId="22" xfId="42" applyNumberFormat="1" applyFont="1" applyFill="1" applyBorder="1" applyAlignment="1">
      <alignment horizontal="center" vertical="center" wrapText="1"/>
    </xf>
    <xf numFmtId="49" fontId="25" fillId="36" borderId="0" xfId="42" applyNumberFormat="1" applyFont="1" applyFill="1" applyBorder="1" applyAlignment="1">
      <alignment horizontal="center" vertical="center" wrapText="1"/>
    </xf>
    <xf numFmtId="49" fontId="25" fillId="36" borderId="23" xfId="42" applyNumberFormat="1" applyFont="1" applyFill="1" applyBorder="1" applyAlignment="1">
      <alignment horizontal="center" vertical="center" wrapText="1"/>
    </xf>
    <xf numFmtId="0" fontId="25" fillId="35" borderId="22" xfId="42" quotePrefix="1" applyFont="1" applyFill="1" applyBorder="1" applyAlignment="1">
      <alignment horizontal="center" vertical="center" wrapText="1"/>
    </xf>
    <xf numFmtId="0" fontId="25" fillId="35" borderId="0" xfId="42" quotePrefix="1" applyFont="1" applyFill="1" applyBorder="1" applyAlignment="1">
      <alignment horizontal="center" vertical="center" wrapText="1"/>
    </xf>
    <xf numFmtId="0" fontId="25" fillId="35" borderId="23" xfId="42" quotePrefix="1" applyFont="1" applyFill="1" applyBorder="1" applyAlignment="1">
      <alignment horizontal="center" vertical="center" wrapText="1"/>
    </xf>
    <xf numFmtId="49" fontId="25" fillId="36" borderId="22" xfId="42" quotePrefix="1" applyNumberFormat="1" applyFont="1" applyFill="1" applyBorder="1" applyAlignment="1">
      <alignment horizontal="center" vertical="center" wrapText="1"/>
    </xf>
    <xf numFmtId="49" fontId="25" fillId="36" borderId="0" xfId="42" quotePrefix="1" applyNumberFormat="1" applyFont="1" applyFill="1" applyBorder="1" applyAlignment="1">
      <alignment horizontal="center" vertical="center" wrapText="1"/>
    </xf>
    <xf numFmtId="49" fontId="25" fillId="36" borderId="23" xfId="42" quotePrefix="1" applyNumberFormat="1" applyFont="1" applyFill="1" applyBorder="1" applyAlignment="1">
      <alignment horizontal="center" vertical="center" wrapText="1"/>
    </xf>
    <xf numFmtId="0" fontId="82" fillId="38" borderId="0" xfId="0" applyFont="1" applyFill="1" applyAlignment="1">
      <alignment horizontal="center" vertical="center" wrapText="1"/>
    </xf>
    <xf numFmtId="0" fontId="25" fillId="40" borderId="15" xfId="42" applyFont="1" applyFill="1" applyBorder="1" applyAlignment="1">
      <alignment horizontal="left" vertical="center" wrapText="1" indent="1"/>
    </xf>
    <xf numFmtId="0" fontId="24" fillId="41" borderId="24" xfId="0" applyFont="1" applyFill="1" applyBorder="1" applyAlignment="1">
      <alignment horizontal="center" vertical="center" wrapText="1"/>
    </xf>
    <xf numFmtId="0" fontId="24" fillId="41" borderId="16" xfId="0" applyFont="1" applyFill="1" applyBorder="1" applyAlignment="1">
      <alignment horizontal="center" vertical="center" wrapText="1"/>
    </xf>
    <xf numFmtId="0" fontId="24" fillId="42" borderId="15" xfId="0" applyFont="1" applyFill="1" applyBorder="1" applyAlignment="1">
      <alignment horizontal="center" vertical="center" wrapText="1"/>
    </xf>
    <xf numFmtId="0" fontId="25" fillId="45" borderId="15" xfId="42" applyFont="1" applyFill="1" applyBorder="1" applyAlignment="1">
      <alignment horizontal="left" vertical="center" wrapText="1" indent="1"/>
    </xf>
    <xf numFmtId="0" fontId="32" fillId="39" borderId="20" xfId="0" applyFont="1" applyFill="1" applyBorder="1" applyAlignment="1">
      <alignment horizontal="center" vertical="center" wrapText="1"/>
    </xf>
    <xf numFmtId="0" fontId="32" fillId="39" borderId="12" xfId="0" applyFont="1" applyFill="1" applyBorder="1" applyAlignment="1">
      <alignment horizontal="center" vertical="center" wrapText="1"/>
    </xf>
    <xf numFmtId="0" fontId="32" fillId="39" borderId="14" xfId="0" applyFont="1" applyFill="1" applyBorder="1" applyAlignment="1">
      <alignment horizontal="center" vertical="center" wrapText="1"/>
    </xf>
    <xf numFmtId="0" fontId="24" fillId="80" borderId="15" xfId="0" applyFont="1" applyFill="1" applyBorder="1" applyAlignment="1">
      <alignment horizontal="center" vertical="center" wrapText="1"/>
    </xf>
    <xf numFmtId="0" fontId="24" fillId="46" borderId="24" xfId="0" applyFont="1" applyFill="1" applyBorder="1" applyAlignment="1">
      <alignment horizontal="center" vertical="center" wrapText="1"/>
    </xf>
    <xf numFmtId="0" fontId="24" fillId="46" borderId="16" xfId="0" applyFont="1" applyFill="1" applyBorder="1" applyAlignment="1">
      <alignment horizontal="center" vertical="center" wrapText="1"/>
    </xf>
    <xf numFmtId="0" fontId="95" fillId="44" borderId="0" xfId="42" applyFont="1" applyFill="1" applyAlignment="1">
      <alignment horizontal="left" vertical="center"/>
    </xf>
    <xf numFmtId="49" fontId="25" fillId="37" borderId="22" xfId="42" applyNumberFormat="1" applyFont="1" applyFill="1" applyBorder="1" applyAlignment="1">
      <alignment horizontal="center" vertical="center"/>
    </xf>
    <xf numFmtId="49" fontId="25" fillId="37" borderId="0" xfId="42" applyNumberFormat="1" applyFont="1" applyFill="1" applyBorder="1" applyAlignment="1">
      <alignment horizontal="center" vertical="center"/>
    </xf>
    <xf numFmtId="49" fontId="25" fillId="37" borderId="23" xfId="42" applyNumberFormat="1" applyFont="1" applyFill="1" applyBorder="1" applyAlignment="1">
      <alignment horizontal="center" vertical="center"/>
    </xf>
    <xf numFmtId="0" fontId="25" fillId="80" borderId="22" xfId="42" applyFont="1" applyFill="1" applyBorder="1" applyAlignment="1">
      <alignment horizontal="center" vertical="center" wrapText="1"/>
    </xf>
    <xf numFmtId="0" fontId="25" fillId="80" borderId="0" xfId="42" applyFont="1" applyFill="1" applyBorder="1" applyAlignment="1">
      <alignment horizontal="center" vertical="center" wrapText="1"/>
    </xf>
    <xf numFmtId="0" fontId="25" fillId="80" borderId="23" xfId="42" applyFont="1" applyFill="1" applyBorder="1" applyAlignment="1">
      <alignment horizontal="center" vertical="center" wrapText="1"/>
    </xf>
    <xf numFmtId="0" fontId="25" fillId="35" borderId="22" xfId="42" quotePrefix="1" applyFont="1" applyFill="1" applyBorder="1" applyAlignment="1">
      <alignment horizontal="center" vertical="center"/>
    </xf>
    <xf numFmtId="0" fontId="25" fillId="35" borderId="0" xfId="42" quotePrefix="1" applyFont="1" applyFill="1" applyBorder="1" applyAlignment="1">
      <alignment horizontal="center" vertical="center"/>
    </xf>
    <xf numFmtId="0" fontId="25" fillId="35" borderId="22" xfId="42" applyFont="1" applyFill="1" applyBorder="1" applyAlignment="1">
      <alignment horizontal="center" vertical="center"/>
    </xf>
    <xf numFmtId="0" fontId="25" fillId="35" borderId="0" xfId="42" applyFont="1" applyFill="1" applyBorder="1" applyAlignment="1">
      <alignment horizontal="center" vertical="center"/>
    </xf>
    <xf numFmtId="0" fontId="25" fillId="35" borderId="19" xfId="42" quotePrefix="1" applyFont="1" applyFill="1" applyBorder="1" applyAlignment="1">
      <alignment horizontal="center" vertical="center"/>
    </xf>
    <xf numFmtId="0" fontId="25" fillId="35" borderId="11" xfId="42" quotePrefix="1" applyFont="1" applyFill="1" applyBorder="1" applyAlignment="1">
      <alignment horizontal="center" vertical="center"/>
    </xf>
    <xf numFmtId="0" fontId="36" fillId="47" borderId="22" xfId="0" applyFont="1" applyFill="1" applyBorder="1" applyAlignment="1">
      <alignment horizontal="center" vertical="center"/>
    </xf>
    <xf numFmtId="0" fontId="36" fillId="47" borderId="0" xfId="0" applyFont="1" applyFill="1" applyAlignment="1">
      <alignment horizontal="center" vertical="center"/>
    </xf>
    <xf numFmtId="0" fontId="24" fillId="90" borderId="15" xfId="0" applyFont="1" applyFill="1" applyBorder="1" applyAlignment="1">
      <alignment horizontal="center" vertical="center" wrapText="1"/>
    </xf>
    <xf numFmtId="0" fontId="36" fillId="47" borderId="23" xfId="0" applyFont="1" applyFill="1" applyBorder="1" applyAlignment="1">
      <alignment horizontal="center" vertical="center"/>
    </xf>
    <xf numFmtId="0" fontId="25" fillId="35" borderId="20" xfId="42" applyFont="1" applyFill="1" applyBorder="1" applyAlignment="1">
      <alignment horizontal="center" vertical="center"/>
    </xf>
    <xf numFmtId="0" fontId="25" fillId="35" borderId="12" xfId="42" applyFont="1" applyFill="1" applyBorder="1" applyAlignment="1">
      <alignment horizontal="center" vertical="center"/>
    </xf>
  </cellXfs>
  <cellStyles count="46003">
    <cellStyle name="20% - Accent1" xfId="19" builtinId="30" customBuiltin="1"/>
    <cellStyle name="20% - Accent1 10" xfId="1493" xr:uid="{00000000-0005-0000-0000-000001000000}"/>
    <cellStyle name="20% - Accent1 10 2" xfId="1537" xr:uid="{00000000-0005-0000-0000-000002000000}"/>
    <cellStyle name="20% - Accent1 10 2 2" xfId="3471" xr:uid="{00000000-0005-0000-0000-000003000000}"/>
    <cellStyle name="20% - Accent1 10 2 2 2" xfId="6443" xr:uid="{00000000-0005-0000-0000-000004000000}"/>
    <cellStyle name="20% - Accent1 10 2 2 2 2" xfId="12093" xr:uid="{00000000-0005-0000-0000-000005000000}"/>
    <cellStyle name="20% - Accent1 10 2 2 2 2 2" xfId="23394" xr:uid="{00000000-0005-0000-0000-000006000000}"/>
    <cellStyle name="20% - Accent1 10 2 2 2 2 2 2" xfId="45996" xr:uid="{00000000-0005-0000-0000-000007000000}"/>
    <cellStyle name="20% - Accent1 10 2 2 2 2 3" xfId="34695" xr:uid="{00000000-0005-0000-0000-000008000000}"/>
    <cellStyle name="20% - Accent1 10 2 2 2 3" xfId="17744" xr:uid="{00000000-0005-0000-0000-000009000000}"/>
    <cellStyle name="20% - Accent1 10 2 2 2 3 2" xfId="40346" xr:uid="{00000000-0005-0000-0000-00000A000000}"/>
    <cellStyle name="20% - Accent1 10 2 2 2 4" xfId="29045" xr:uid="{00000000-0005-0000-0000-00000B000000}"/>
    <cellStyle name="20% - Accent1 10 2 2 3" xfId="9261" xr:uid="{00000000-0005-0000-0000-00000C000000}"/>
    <cellStyle name="20% - Accent1 10 2 2 3 2" xfId="20562" xr:uid="{00000000-0005-0000-0000-00000D000000}"/>
    <cellStyle name="20% - Accent1 10 2 2 3 2 2" xfId="43164" xr:uid="{00000000-0005-0000-0000-00000E000000}"/>
    <cellStyle name="20% - Accent1 10 2 2 3 3" xfId="31863" xr:uid="{00000000-0005-0000-0000-00000F000000}"/>
    <cellStyle name="20% - Accent1 10 2 2 4" xfId="14912" xr:uid="{00000000-0005-0000-0000-000010000000}"/>
    <cellStyle name="20% - Accent1 10 2 2 4 2" xfId="37514" xr:uid="{00000000-0005-0000-0000-000011000000}"/>
    <cellStyle name="20% - Accent1 10 2 2 5" xfId="26213" xr:uid="{00000000-0005-0000-0000-000012000000}"/>
    <cellStyle name="20% - Accent1 10 2 3" xfId="5209" xr:uid="{00000000-0005-0000-0000-000013000000}"/>
    <cellStyle name="20% - Accent1 10 2 3 2" xfId="10859" xr:uid="{00000000-0005-0000-0000-000014000000}"/>
    <cellStyle name="20% - Accent1 10 2 3 2 2" xfId="22160" xr:uid="{00000000-0005-0000-0000-000015000000}"/>
    <cellStyle name="20% - Accent1 10 2 3 2 2 2" xfId="44762" xr:uid="{00000000-0005-0000-0000-000016000000}"/>
    <cellStyle name="20% - Accent1 10 2 3 2 3" xfId="33461" xr:uid="{00000000-0005-0000-0000-000017000000}"/>
    <cellStyle name="20% - Accent1 10 2 3 3" xfId="16510" xr:uid="{00000000-0005-0000-0000-000018000000}"/>
    <cellStyle name="20% - Accent1 10 2 3 3 2" xfId="39112" xr:uid="{00000000-0005-0000-0000-000019000000}"/>
    <cellStyle name="20% - Accent1 10 2 3 4" xfId="27811" xr:uid="{00000000-0005-0000-0000-00001A000000}"/>
    <cellStyle name="20% - Accent1 10 2 4" xfId="7393" xr:uid="{00000000-0005-0000-0000-00001B000000}"/>
    <cellStyle name="20% - Accent1 10 2 4 2" xfId="18694" xr:uid="{00000000-0005-0000-0000-00001C000000}"/>
    <cellStyle name="20% - Accent1 10 2 4 2 2" xfId="41296" xr:uid="{00000000-0005-0000-0000-00001D000000}"/>
    <cellStyle name="20% - Accent1 10 2 4 3" xfId="29995" xr:uid="{00000000-0005-0000-0000-00001E000000}"/>
    <cellStyle name="20% - Accent1 10 2 5" xfId="13044" xr:uid="{00000000-0005-0000-0000-00001F000000}"/>
    <cellStyle name="20% - Accent1 10 2 5 2" xfId="35646" xr:uid="{00000000-0005-0000-0000-000020000000}"/>
    <cellStyle name="20% - Accent1 10 2 6" xfId="24345" xr:uid="{00000000-0005-0000-0000-000021000000}"/>
    <cellStyle name="20% - Accent1 10 3" xfId="2802" xr:uid="{00000000-0005-0000-0000-000022000000}"/>
    <cellStyle name="20% - Accent1 10 3 2" xfId="5819" xr:uid="{00000000-0005-0000-0000-000023000000}"/>
    <cellStyle name="20% - Accent1 10 3 2 2" xfId="11469" xr:uid="{00000000-0005-0000-0000-000024000000}"/>
    <cellStyle name="20% - Accent1 10 3 2 2 2" xfId="22770" xr:uid="{00000000-0005-0000-0000-000025000000}"/>
    <cellStyle name="20% - Accent1 10 3 2 2 2 2" xfId="45372" xr:uid="{00000000-0005-0000-0000-000026000000}"/>
    <cellStyle name="20% - Accent1 10 3 2 2 3" xfId="34071" xr:uid="{00000000-0005-0000-0000-000027000000}"/>
    <cellStyle name="20% - Accent1 10 3 2 3" xfId="17120" xr:uid="{00000000-0005-0000-0000-000028000000}"/>
    <cellStyle name="20% - Accent1 10 3 2 3 2" xfId="39722" xr:uid="{00000000-0005-0000-0000-000029000000}"/>
    <cellStyle name="20% - Accent1 10 3 2 4" xfId="28421" xr:uid="{00000000-0005-0000-0000-00002A000000}"/>
    <cellStyle name="20% - Accent1 10 3 3" xfId="8636" xr:uid="{00000000-0005-0000-0000-00002B000000}"/>
    <cellStyle name="20% - Accent1 10 3 3 2" xfId="19937" xr:uid="{00000000-0005-0000-0000-00002C000000}"/>
    <cellStyle name="20% - Accent1 10 3 3 2 2" xfId="42539" xr:uid="{00000000-0005-0000-0000-00002D000000}"/>
    <cellStyle name="20% - Accent1 10 3 3 3" xfId="31238" xr:uid="{00000000-0005-0000-0000-00002E000000}"/>
    <cellStyle name="20% - Accent1 10 3 4" xfId="14287" xr:uid="{00000000-0005-0000-0000-00002F000000}"/>
    <cellStyle name="20% - Accent1 10 3 4 2" xfId="36889" xr:uid="{00000000-0005-0000-0000-000030000000}"/>
    <cellStyle name="20% - Accent1 10 3 5" xfId="25588" xr:uid="{00000000-0005-0000-0000-000031000000}"/>
    <cellStyle name="20% - Accent1 10 4" xfId="4585" xr:uid="{00000000-0005-0000-0000-000032000000}"/>
    <cellStyle name="20% - Accent1 10 4 2" xfId="10235" xr:uid="{00000000-0005-0000-0000-000033000000}"/>
    <cellStyle name="20% - Accent1 10 4 2 2" xfId="21536" xr:uid="{00000000-0005-0000-0000-000034000000}"/>
    <cellStyle name="20% - Accent1 10 4 2 2 2" xfId="44138" xr:uid="{00000000-0005-0000-0000-000035000000}"/>
    <cellStyle name="20% - Accent1 10 4 2 3" xfId="32837" xr:uid="{00000000-0005-0000-0000-000036000000}"/>
    <cellStyle name="20% - Accent1 10 4 3" xfId="15886" xr:uid="{00000000-0005-0000-0000-000037000000}"/>
    <cellStyle name="20% - Accent1 10 4 3 2" xfId="38488" xr:uid="{00000000-0005-0000-0000-000038000000}"/>
    <cellStyle name="20% - Accent1 10 4 4" xfId="27187" xr:uid="{00000000-0005-0000-0000-000039000000}"/>
    <cellStyle name="20% - Accent1 10 5" xfId="7390" xr:uid="{00000000-0005-0000-0000-00003A000000}"/>
    <cellStyle name="20% - Accent1 10 5 2" xfId="18691" xr:uid="{00000000-0005-0000-0000-00003B000000}"/>
    <cellStyle name="20% - Accent1 10 5 2 2" xfId="41293" xr:uid="{00000000-0005-0000-0000-00003C000000}"/>
    <cellStyle name="20% - Accent1 10 5 3" xfId="29992" xr:uid="{00000000-0005-0000-0000-00003D000000}"/>
    <cellStyle name="20% - Accent1 10 6" xfId="13041" xr:uid="{00000000-0005-0000-0000-00003E000000}"/>
    <cellStyle name="20% - Accent1 10 6 2" xfId="35643" xr:uid="{00000000-0005-0000-0000-00003F000000}"/>
    <cellStyle name="20% - Accent1 10 7" xfId="24342" xr:uid="{00000000-0005-0000-0000-000040000000}"/>
    <cellStyle name="20% - Accent1 11" xfId="713" xr:uid="{00000000-0005-0000-0000-000041000000}"/>
    <cellStyle name="20% - Accent1 11 2" xfId="1538" xr:uid="{00000000-0005-0000-0000-000042000000}"/>
    <cellStyle name="20% - Accent1 11 2 2" xfId="3531" xr:uid="{00000000-0005-0000-0000-000043000000}"/>
    <cellStyle name="20% - Accent1 11 2 2 2" xfId="9284" xr:uid="{00000000-0005-0000-0000-000044000000}"/>
    <cellStyle name="20% - Accent1 11 2 2 2 2" xfId="20585" xr:uid="{00000000-0005-0000-0000-000045000000}"/>
    <cellStyle name="20% - Accent1 11 2 2 2 2 2" xfId="43187" xr:uid="{00000000-0005-0000-0000-000046000000}"/>
    <cellStyle name="20% - Accent1 11 2 2 2 3" xfId="31886" xr:uid="{00000000-0005-0000-0000-000047000000}"/>
    <cellStyle name="20% - Accent1 11 2 2 3" xfId="14935" xr:uid="{00000000-0005-0000-0000-000048000000}"/>
    <cellStyle name="20% - Accent1 11 2 2 3 2" xfId="37537" xr:uid="{00000000-0005-0000-0000-000049000000}"/>
    <cellStyle name="20% - Accent1 11 2 2 4" xfId="26236" xr:uid="{00000000-0005-0000-0000-00004A000000}"/>
    <cellStyle name="20% - Accent1 11 2 3" xfId="7394" xr:uid="{00000000-0005-0000-0000-00004B000000}"/>
    <cellStyle name="20% - Accent1 11 2 3 2" xfId="18695" xr:uid="{00000000-0005-0000-0000-00004C000000}"/>
    <cellStyle name="20% - Accent1 11 2 3 2 2" xfId="41297" xr:uid="{00000000-0005-0000-0000-00004D000000}"/>
    <cellStyle name="20% - Accent1 11 2 3 3" xfId="29996" xr:uid="{00000000-0005-0000-0000-00004E000000}"/>
    <cellStyle name="20% - Accent1 11 2 4" xfId="13045" xr:uid="{00000000-0005-0000-0000-00004F000000}"/>
    <cellStyle name="20% - Accent1 11 2 4 2" xfId="35647" xr:uid="{00000000-0005-0000-0000-000050000000}"/>
    <cellStyle name="20% - Accent1 11 2 5" xfId="24346" xr:uid="{00000000-0005-0000-0000-000051000000}"/>
    <cellStyle name="20% - Accent1 11 3" xfId="2172" xr:uid="{00000000-0005-0000-0000-000052000000}"/>
    <cellStyle name="20% - Accent1 11 3 2" xfId="8017" xr:uid="{00000000-0005-0000-0000-000053000000}"/>
    <cellStyle name="20% - Accent1 11 3 2 2" xfId="19318" xr:uid="{00000000-0005-0000-0000-000054000000}"/>
    <cellStyle name="20% - Accent1 11 3 2 2 2" xfId="41920" xr:uid="{00000000-0005-0000-0000-000055000000}"/>
    <cellStyle name="20% - Accent1 11 3 2 3" xfId="30619" xr:uid="{00000000-0005-0000-0000-000056000000}"/>
    <cellStyle name="20% - Accent1 11 3 3" xfId="13668" xr:uid="{00000000-0005-0000-0000-000057000000}"/>
    <cellStyle name="20% - Accent1 11 3 3 2" xfId="36270" xr:uid="{00000000-0005-0000-0000-000058000000}"/>
    <cellStyle name="20% - Accent1 11 3 4" xfId="24969" xr:uid="{00000000-0005-0000-0000-000059000000}"/>
    <cellStyle name="20% - Accent1 11 4" xfId="3970" xr:uid="{00000000-0005-0000-0000-00005A000000}"/>
    <cellStyle name="20% - Accent1 11 4 2" xfId="9620" xr:uid="{00000000-0005-0000-0000-00005B000000}"/>
    <cellStyle name="20% - Accent1 11 4 2 2" xfId="20921" xr:uid="{00000000-0005-0000-0000-00005C000000}"/>
    <cellStyle name="20% - Accent1 11 4 2 2 2" xfId="43523" xr:uid="{00000000-0005-0000-0000-00005D000000}"/>
    <cellStyle name="20% - Accent1 11 4 2 3" xfId="32222" xr:uid="{00000000-0005-0000-0000-00005E000000}"/>
    <cellStyle name="20% - Accent1 11 4 3" xfId="15271" xr:uid="{00000000-0005-0000-0000-00005F000000}"/>
    <cellStyle name="20% - Accent1 11 4 3 2" xfId="37873" xr:uid="{00000000-0005-0000-0000-000060000000}"/>
    <cellStyle name="20% - Accent1 11 4 4" xfId="26572" xr:uid="{00000000-0005-0000-0000-000061000000}"/>
    <cellStyle name="20% - Accent1 11 5" xfId="6772" xr:uid="{00000000-0005-0000-0000-000062000000}"/>
    <cellStyle name="20% - Accent1 11 5 2" xfId="18073" xr:uid="{00000000-0005-0000-0000-000063000000}"/>
    <cellStyle name="20% - Accent1 11 5 2 2" xfId="40675" xr:uid="{00000000-0005-0000-0000-000064000000}"/>
    <cellStyle name="20% - Accent1 11 5 3" xfId="29374" xr:uid="{00000000-0005-0000-0000-000065000000}"/>
    <cellStyle name="20% - Accent1 11 6" xfId="12423" xr:uid="{00000000-0005-0000-0000-000066000000}"/>
    <cellStyle name="20% - Accent1 11 6 2" xfId="35025" xr:uid="{00000000-0005-0000-0000-000067000000}"/>
    <cellStyle name="20% - Accent1 11 7" xfId="23724" xr:uid="{00000000-0005-0000-0000-000068000000}"/>
    <cellStyle name="20% - Accent1 12" xfId="851" xr:uid="{00000000-0005-0000-0000-000069000000}"/>
    <cellStyle name="20% - Accent1 12 2" xfId="3544" xr:uid="{00000000-0005-0000-0000-00006A000000}"/>
    <cellStyle name="20% - Accent1 12 2 2" xfId="9290" xr:uid="{00000000-0005-0000-0000-00006B000000}"/>
    <cellStyle name="20% - Accent1 12 2 2 2" xfId="20591" xr:uid="{00000000-0005-0000-0000-00006C000000}"/>
    <cellStyle name="20% - Accent1 12 2 2 2 2" xfId="43193" xr:uid="{00000000-0005-0000-0000-00006D000000}"/>
    <cellStyle name="20% - Accent1 12 2 2 3" xfId="31892" xr:uid="{00000000-0005-0000-0000-00006E000000}"/>
    <cellStyle name="20% - Accent1 12 2 3" xfId="14941" xr:uid="{00000000-0005-0000-0000-00006F000000}"/>
    <cellStyle name="20% - Accent1 12 2 3 2" xfId="37543" xr:uid="{00000000-0005-0000-0000-000070000000}"/>
    <cellStyle name="20% - Accent1 12 2 4" xfId="26242" xr:uid="{00000000-0005-0000-0000-000071000000}"/>
    <cellStyle name="20% - Accent1 13" xfId="3542" xr:uid="{00000000-0005-0000-0000-000072000000}"/>
    <cellStyle name="20% - Accent1 14" xfId="103" xr:uid="{00000000-0005-0000-0000-000073000000}"/>
    <cellStyle name="20% - Accent1 2" xfId="46" xr:uid="{00000000-0005-0000-0000-000074000000}"/>
    <cellStyle name="20% - Accent1 2 2" xfId="377" xr:uid="{00000000-0005-0000-0000-000075000000}"/>
    <cellStyle name="20% - Accent1 2 2 10" xfId="23480" xr:uid="{00000000-0005-0000-0000-000076000000}"/>
    <cellStyle name="20% - Accent1 2 2 2" xfId="630" xr:uid="{00000000-0005-0000-0000-000077000000}"/>
    <cellStyle name="20% - Accent1 2 2 2 2" xfId="1340" xr:uid="{00000000-0005-0000-0000-000078000000}"/>
    <cellStyle name="20% - Accent1 2 2 2 2 2" xfId="1541" xr:uid="{00000000-0005-0000-0000-000079000000}"/>
    <cellStyle name="20% - Accent1 2 2 2 2 2 2" xfId="3409" xr:uid="{00000000-0005-0000-0000-00007A000000}"/>
    <cellStyle name="20% - Accent1 2 2 2 2 2 2 2" xfId="6381" xr:uid="{00000000-0005-0000-0000-00007B000000}"/>
    <cellStyle name="20% - Accent1 2 2 2 2 2 2 2 2" xfId="12031" xr:uid="{00000000-0005-0000-0000-00007C000000}"/>
    <cellStyle name="20% - Accent1 2 2 2 2 2 2 2 2 2" xfId="23332" xr:uid="{00000000-0005-0000-0000-00007D000000}"/>
    <cellStyle name="20% - Accent1 2 2 2 2 2 2 2 2 2 2" xfId="45934" xr:uid="{00000000-0005-0000-0000-00007E000000}"/>
    <cellStyle name="20% - Accent1 2 2 2 2 2 2 2 2 3" xfId="34633" xr:uid="{00000000-0005-0000-0000-00007F000000}"/>
    <cellStyle name="20% - Accent1 2 2 2 2 2 2 2 3" xfId="17682" xr:uid="{00000000-0005-0000-0000-000080000000}"/>
    <cellStyle name="20% - Accent1 2 2 2 2 2 2 2 3 2" xfId="40284" xr:uid="{00000000-0005-0000-0000-000081000000}"/>
    <cellStyle name="20% - Accent1 2 2 2 2 2 2 2 4" xfId="28983" xr:uid="{00000000-0005-0000-0000-000082000000}"/>
    <cellStyle name="20% - Accent1 2 2 2 2 2 2 3" xfId="9199" xr:uid="{00000000-0005-0000-0000-000083000000}"/>
    <cellStyle name="20% - Accent1 2 2 2 2 2 2 3 2" xfId="20500" xr:uid="{00000000-0005-0000-0000-000084000000}"/>
    <cellStyle name="20% - Accent1 2 2 2 2 2 2 3 2 2" xfId="43102" xr:uid="{00000000-0005-0000-0000-000085000000}"/>
    <cellStyle name="20% - Accent1 2 2 2 2 2 2 3 3" xfId="31801" xr:uid="{00000000-0005-0000-0000-000086000000}"/>
    <cellStyle name="20% - Accent1 2 2 2 2 2 2 4" xfId="14850" xr:uid="{00000000-0005-0000-0000-000087000000}"/>
    <cellStyle name="20% - Accent1 2 2 2 2 2 2 4 2" xfId="37452" xr:uid="{00000000-0005-0000-0000-000088000000}"/>
    <cellStyle name="20% - Accent1 2 2 2 2 2 2 5" xfId="26151" xr:uid="{00000000-0005-0000-0000-000089000000}"/>
    <cellStyle name="20% - Accent1 2 2 2 2 2 3" xfId="5147" xr:uid="{00000000-0005-0000-0000-00008A000000}"/>
    <cellStyle name="20% - Accent1 2 2 2 2 2 3 2" xfId="10797" xr:uid="{00000000-0005-0000-0000-00008B000000}"/>
    <cellStyle name="20% - Accent1 2 2 2 2 2 3 2 2" xfId="22098" xr:uid="{00000000-0005-0000-0000-00008C000000}"/>
    <cellStyle name="20% - Accent1 2 2 2 2 2 3 2 2 2" xfId="44700" xr:uid="{00000000-0005-0000-0000-00008D000000}"/>
    <cellStyle name="20% - Accent1 2 2 2 2 2 3 2 3" xfId="33399" xr:uid="{00000000-0005-0000-0000-00008E000000}"/>
    <cellStyle name="20% - Accent1 2 2 2 2 2 3 3" xfId="16448" xr:uid="{00000000-0005-0000-0000-00008F000000}"/>
    <cellStyle name="20% - Accent1 2 2 2 2 2 3 3 2" xfId="39050" xr:uid="{00000000-0005-0000-0000-000090000000}"/>
    <cellStyle name="20% - Accent1 2 2 2 2 2 3 4" xfId="27749" xr:uid="{00000000-0005-0000-0000-000091000000}"/>
    <cellStyle name="20% - Accent1 2 2 2 2 2 4" xfId="7397" xr:uid="{00000000-0005-0000-0000-000092000000}"/>
    <cellStyle name="20% - Accent1 2 2 2 2 2 4 2" xfId="18698" xr:uid="{00000000-0005-0000-0000-000093000000}"/>
    <cellStyle name="20% - Accent1 2 2 2 2 2 4 2 2" xfId="41300" xr:uid="{00000000-0005-0000-0000-000094000000}"/>
    <cellStyle name="20% - Accent1 2 2 2 2 2 4 3" xfId="29999" xr:uid="{00000000-0005-0000-0000-000095000000}"/>
    <cellStyle name="20% - Accent1 2 2 2 2 2 5" xfId="13048" xr:uid="{00000000-0005-0000-0000-000096000000}"/>
    <cellStyle name="20% - Accent1 2 2 2 2 2 5 2" xfId="35650" xr:uid="{00000000-0005-0000-0000-000097000000}"/>
    <cellStyle name="20% - Accent1 2 2 2 2 2 6" xfId="24349" xr:uid="{00000000-0005-0000-0000-000098000000}"/>
    <cellStyle name="20% - Accent1 2 2 2 2 3" xfId="2738" xr:uid="{00000000-0005-0000-0000-000099000000}"/>
    <cellStyle name="20% - Accent1 2 2 2 2 3 2" xfId="5757" xr:uid="{00000000-0005-0000-0000-00009A000000}"/>
    <cellStyle name="20% - Accent1 2 2 2 2 3 2 2" xfId="11407" xr:uid="{00000000-0005-0000-0000-00009B000000}"/>
    <cellStyle name="20% - Accent1 2 2 2 2 3 2 2 2" xfId="22708" xr:uid="{00000000-0005-0000-0000-00009C000000}"/>
    <cellStyle name="20% - Accent1 2 2 2 2 3 2 2 2 2" xfId="45310" xr:uid="{00000000-0005-0000-0000-00009D000000}"/>
    <cellStyle name="20% - Accent1 2 2 2 2 3 2 2 3" xfId="34009" xr:uid="{00000000-0005-0000-0000-00009E000000}"/>
    <cellStyle name="20% - Accent1 2 2 2 2 3 2 3" xfId="17058" xr:uid="{00000000-0005-0000-0000-00009F000000}"/>
    <cellStyle name="20% - Accent1 2 2 2 2 3 2 3 2" xfId="39660" xr:uid="{00000000-0005-0000-0000-0000A0000000}"/>
    <cellStyle name="20% - Accent1 2 2 2 2 3 2 4" xfId="28359" xr:uid="{00000000-0005-0000-0000-0000A1000000}"/>
    <cellStyle name="20% - Accent1 2 2 2 2 3 3" xfId="8574" xr:uid="{00000000-0005-0000-0000-0000A2000000}"/>
    <cellStyle name="20% - Accent1 2 2 2 2 3 3 2" xfId="19875" xr:uid="{00000000-0005-0000-0000-0000A3000000}"/>
    <cellStyle name="20% - Accent1 2 2 2 2 3 3 2 2" xfId="42477" xr:uid="{00000000-0005-0000-0000-0000A4000000}"/>
    <cellStyle name="20% - Accent1 2 2 2 2 3 3 3" xfId="31176" xr:uid="{00000000-0005-0000-0000-0000A5000000}"/>
    <cellStyle name="20% - Accent1 2 2 2 2 3 4" xfId="14225" xr:uid="{00000000-0005-0000-0000-0000A6000000}"/>
    <cellStyle name="20% - Accent1 2 2 2 2 3 4 2" xfId="36827" xr:uid="{00000000-0005-0000-0000-0000A7000000}"/>
    <cellStyle name="20% - Accent1 2 2 2 2 3 5" xfId="25526" xr:uid="{00000000-0005-0000-0000-0000A8000000}"/>
    <cellStyle name="20% - Accent1 2 2 2 2 4" xfId="4523" xr:uid="{00000000-0005-0000-0000-0000A9000000}"/>
    <cellStyle name="20% - Accent1 2 2 2 2 4 2" xfId="10173" xr:uid="{00000000-0005-0000-0000-0000AA000000}"/>
    <cellStyle name="20% - Accent1 2 2 2 2 4 2 2" xfId="21474" xr:uid="{00000000-0005-0000-0000-0000AB000000}"/>
    <cellStyle name="20% - Accent1 2 2 2 2 4 2 2 2" xfId="44076" xr:uid="{00000000-0005-0000-0000-0000AC000000}"/>
    <cellStyle name="20% - Accent1 2 2 2 2 4 2 3" xfId="32775" xr:uid="{00000000-0005-0000-0000-0000AD000000}"/>
    <cellStyle name="20% - Accent1 2 2 2 2 4 3" xfId="15824" xr:uid="{00000000-0005-0000-0000-0000AE000000}"/>
    <cellStyle name="20% - Accent1 2 2 2 2 4 3 2" xfId="38426" xr:uid="{00000000-0005-0000-0000-0000AF000000}"/>
    <cellStyle name="20% - Accent1 2 2 2 2 4 4" xfId="27125" xr:uid="{00000000-0005-0000-0000-0000B0000000}"/>
    <cellStyle name="20% - Accent1 2 2 2 2 5" xfId="7319" xr:uid="{00000000-0005-0000-0000-0000B1000000}"/>
    <cellStyle name="20% - Accent1 2 2 2 2 5 2" xfId="18620" xr:uid="{00000000-0005-0000-0000-0000B2000000}"/>
    <cellStyle name="20% - Accent1 2 2 2 2 5 2 2" xfId="41222" xr:uid="{00000000-0005-0000-0000-0000B3000000}"/>
    <cellStyle name="20% - Accent1 2 2 2 2 5 3" xfId="29921" xr:uid="{00000000-0005-0000-0000-0000B4000000}"/>
    <cellStyle name="20% - Accent1 2 2 2 2 6" xfId="12970" xr:uid="{00000000-0005-0000-0000-0000B5000000}"/>
    <cellStyle name="20% - Accent1 2 2 2 2 6 2" xfId="35572" xr:uid="{00000000-0005-0000-0000-0000B6000000}"/>
    <cellStyle name="20% - Accent1 2 2 2 2 7" xfId="24271" xr:uid="{00000000-0005-0000-0000-0000B7000000}"/>
    <cellStyle name="20% - Accent1 2 2 2 3" xfId="1038" xr:uid="{00000000-0005-0000-0000-0000B8000000}"/>
    <cellStyle name="20% - Accent1 2 2 2 3 2" xfId="3101" xr:uid="{00000000-0005-0000-0000-0000B9000000}"/>
    <cellStyle name="20% - Accent1 2 2 2 3 2 2" xfId="6073" xr:uid="{00000000-0005-0000-0000-0000BA000000}"/>
    <cellStyle name="20% - Accent1 2 2 2 3 2 2 2" xfId="11723" xr:uid="{00000000-0005-0000-0000-0000BB000000}"/>
    <cellStyle name="20% - Accent1 2 2 2 3 2 2 2 2" xfId="23024" xr:uid="{00000000-0005-0000-0000-0000BC000000}"/>
    <cellStyle name="20% - Accent1 2 2 2 3 2 2 2 2 2" xfId="45626" xr:uid="{00000000-0005-0000-0000-0000BD000000}"/>
    <cellStyle name="20% - Accent1 2 2 2 3 2 2 2 3" xfId="34325" xr:uid="{00000000-0005-0000-0000-0000BE000000}"/>
    <cellStyle name="20% - Accent1 2 2 2 3 2 2 3" xfId="17374" xr:uid="{00000000-0005-0000-0000-0000BF000000}"/>
    <cellStyle name="20% - Accent1 2 2 2 3 2 2 3 2" xfId="39976" xr:uid="{00000000-0005-0000-0000-0000C0000000}"/>
    <cellStyle name="20% - Accent1 2 2 2 3 2 2 4" xfId="28675" xr:uid="{00000000-0005-0000-0000-0000C1000000}"/>
    <cellStyle name="20% - Accent1 2 2 2 3 2 3" xfId="8891" xr:uid="{00000000-0005-0000-0000-0000C2000000}"/>
    <cellStyle name="20% - Accent1 2 2 2 3 2 3 2" xfId="20192" xr:uid="{00000000-0005-0000-0000-0000C3000000}"/>
    <cellStyle name="20% - Accent1 2 2 2 3 2 3 2 2" xfId="42794" xr:uid="{00000000-0005-0000-0000-0000C4000000}"/>
    <cellStyle name="20% - Accent1 2 2 2 3 2 3 3" xfId="31493" xr:uid="{00000000-0005-0000-0000-0000C5000000}"/>
    <cellStyle name="20% - Accent1 2 2 2 3 2 4" xfId="14542" xr:uid="{00000000-0005-0000-0000-0000C6000000}"/>
    <cellStyle name="20% - Accent1 2 2 2 3 2 4 2" xfId="37144" xr:uid="{00000000-0005-0000-0000-0000C7000000}"/>
    <cellStyle name="20% - Accent1 2 2 2 3 2 5" xfId="25843" xr:uid="{00000000-0005-0000-0000-0000C8000000}"/>
    <cellStyle name="20% - Accent1 2 2 2 3 3" xfId="4839" xr:uid="{00000000-0005-0000-0000-0000C9000000}"/>
    <cellStyle name="20% - Accent1 2 2 2 3 3 2" xfId="10489" xr:uid="{00000000-0005-0000-0000-0000CA000000}"/>
    <cellStyle name="20% - Accent1 2 2 2 3 3 2 2" xfId="21790" xr:uid="{00000000-0005-0000-0000-0000CB000000}"/>
    <cellStyle name="20% - Accent1 2 2 2 3 3 2 2 2" xfId="44392" xr:uid="{00000000-0005-0000-0000-0000CC000000}"/>
    <cellStyle name="20% - Accent1 2 2 2 3 3 2 3" xfId="33091" xr:uid="{00000000-0005-0000-0000-0000CD000000}"/>
    <cellStyle name="20% - Accent1 2 2 2 3 3 3" xfId="16140" xr:uid="{00000000-0005-0000-0000-0000CE000000}"/>
    <cellStyle name="20% - Accent1 2 2 2 3 3 3 2" xfId="38742" xr:uid="{00000000-0005-0000-0000-0000CF000000}"/>
    <cellStyle name="20% - Accent1 2 2 2 3 3 4" xfId="27441" xr:uid="{00000000-0005-0000-0000-0000D0000000}"/>
    <cellStyle name="20% - Accent1 2 2 2 3 4" xfId="7026" xr:uid="{00000000-0005-0000-0000-0000D1000000}"/>
    <cellStyle name="20% - Accent1 2 2 2 3 4 2" xfId="18327" xr:uid="{00000000-0005-0000-0000-0000D2000000}"/>
    <cellStyle name="20% - Accent1 2 2 2 3 4 2 2" xfId="40929" xr:uid="{00000000-0005-0000-0000-0000D3000000}"/>
    <cellStyle name="20% - Accent1 2 2 2 3 4 3" xfId="29628" xr:uid="{00000000-0005-0000-0000-0000D4000000}"/>
    <cellStyle name="20% - Accent1 2 2 2 3 5" xfId="12677" xr:uid="{00000000-0005-0000-0000-0000D5000000}"/>
    <cellStyle name="20% - Accent1 2 2 2 3 5 2" xfId="35279" xr:uid="{00000000-0005-0000-0000-0000D6000000}"/>
    <cellStyle name="20% - Accent1 2 2 2 3 6" xfId="23978" xr:uid="{00000000-0005-0000-0000-0000D7000000}"/>
    <cellStyle name="20% - Accent1 2 2 2 4" xfId="1540" xr:uid="{00000000-0005-0000-0000-0000D8000000}"/>
    <cellStyle name="20% - Accent1 2 2 2 4 2" xfId="3495" xr:uid="{00000000-0005-0000-0000-0000D9000000}"/>
    <cellStyle name="20% - Accent1 2 2 2 4 2 2" xfId="9270" xr:uid="{00000000-0005-0000-0000-0000DA000000}"/>
    <cellStyle name="20% - Accent1 2 2 2 4 2 2 2" xfId="20571" xr:uid="{00000000-0005-0000-0000-0000DB000000}"/>
    <cellStyle name="20% - Accent1 2 2 2 4 2 2 2 2" xfId="43173" xr:uid="{00000000-0005-0000-0000-0000DC000000}"/>
    <cellStyle name="20% - Accent1 2 2 2 4 2 2 3" xfId="31872" xr:uid="{00000000-0005-0000-0000-0000DD000000}"/>
    <cellStyle name="20% - Accent1 2 2 2 4 2 3" xfId="14921" xr:uid="{00000000-0005-0000-0000-0000DE000000}"/>
    <cellStyle name="20% - Accent1 2 2 2 4 2 3 2" xfId="37523" xr:uid="{00000000-0005-0000-0000-0000DF000000}"/>
    <cellStyle name="20% - Accent1 2 2 2 4 2 4" xfId="26222" xr:uid="{00000000-0005-0000-0000-0000E0000000}"/>
    <cellStyle name="20% - Accent1 2 2 2 4 3" xfId="5449" xr:uid="{00000000-0005-0000-0000-0000E1000000}"/>
    <cellStyle name="20% - Accent1 2 2 2 4 3 2" xfId="11099" xr:uid="{00000000-0005-0000-0000-0000E2000000}"/>
    <cellStyle name="20% - Accent1 2 2 2 4 3 2 2" xfId="22400" xr:uid="{00000000-0005-0000-0000-0000E3000000}"/>
    <cellStyle name="20% - Accent1 2 2 2 4 3 2 2 2" xfId="45002" xr:uid="{00000000-0005-0000-0000-0000E4000000}"/>
    <cellStyle name="20% - Accent1 2 2 2 4 3 2 3" xfId="33701" xr:uid="{00000000-0005-0000-0000-0000E5000000}"/>
    <cellStyle name="20% - Accent1 2 2 2 4 3 3" xfId="16750" xr:uid="{00000000-0005-0000-0000-0000E6000000}"/>
    <cellStyle name="20% - Accent1 2 2 2 4 3 3 2" xfId="39352" xr:uid="{00000000-0005-0000-0000-0000E7000000}"/>
    <cellStyle name="20% - Accent1 2 2 2 4 3 4" xfId="28051" xr:uid="{00000000-0005-0000-0000-0000E8000000}"/>
    <cellStyle name="20% - Accent1 2 2 2 4 4" xfId="7396" xr:uid="{00000000-0005-0000-0000-0000E9000000}"/>
    <cellStyle name="20% - Accent1 2 2 2 4 4 2" xfId="18697" xr:uid="{00000000-0005-0000-0000-0000EA000000}"/>
    <cellStyle name="20% - Accent1 2 2 2 4 4 2 2" xfId="41299" xr:uid="{00000000-0005-0000-0000-0000EB000000}"/>
    <cellStyle name="20% - Accent1 2 2 2 4 4 3" xfId="29998" xr:uid="{00000000-0005-0000-0000-0000EC000000}"/>
    <cellStyle name="20% - Accent1 2 2 2 4 5" xfId="13047" xr:uid="{00000000-0005-0000-0000-0000ED000000}"/>
    <cellStyle name="20% - Accent1 2 2 2 4 5 2" xfId="35649" xr:uid="{00000000-0005-0000-0000-0000EE000000}"/>
    <cellStyle name="20% - Accent1 2 2 2 4 6" xfId="24348" xr:uid="{00000000-0005-0000-0000-0000EF000000}"/>
    <cellStyle name="20% - Accent1 2 2 2 5" xfId="2430" xr:uid="{00000000-0005-0000-0000-0000F0000000}"/>
    <cellStyle name="20% - Accent1 2 2 2 5 2" xfId="8266" xr:uid="{00000000-0005-0000-0000-0000F1000000}"/>
    <cellStyle name="20% - Accent1 2 2 2 5 2 2" xfId="19567" xr:uid="{00000000-0005-0000-0000-0000F2000000}"/>
    <cellStyle name="20% - Accent1 2 2 2 5 2 2 2" xfId="42169" xr:uid="{00000000-0005-0000-0000-0000F3000000}"/>
    <cellStyle name="20% - Accent1 2 2 2 5 2 3" xfId="30868" xr:uid="{00000000-0005-0000-0000-0000F4000000}"/>
    <cellStyle name="20% - Accent1 2 2 2 5 3" xfId="13917" xr:uid="{00000000-0005-0000-0000-0000F5000000}"/>
    <cellStyle name="20% - Accent1 2 2 2 5 3 2" xfId="36519" xr:uid="{00000000-0005-0000-0000-0000F6000000}"/>
    <cellStyle name="20% - Accent1 2 2 2 5 4" xfId="25218" xr:uid="{00000000-0005-0000-0000-0000F7000000}"/>
    <cellStyle name="20% - Accent1 2 2 2 6" xfId="4215" xr:uid="{00000000-0005-0000-0000-0000F8000000}"/>
    <cellStyle name="20% - Accent1 2 2 2 6 2" xfId="9865" xr:uid="{00000000-0005-0000-0000-0000F9000000}"/>
    <cellStyle name="20% - Accent1 2 2 2 6 2 2" xfId="21166" xr:uid="{00000000-0005-0000-0000-0000FA000000}"/>
    <cellStyle name="20% - Accent1 2 2 2 6 2 2 2" xfId="43768" xr:uid="{00000000-0005-0000-0000-0000FB000000}"/>
    <cellStyle name="20% - Accent1 2 2 2 6 2 3" xfId="32467" xr:uid="{00000000-0005-0000-0000-0000FC000000}"/>
    <cellStyle name="20% - Accent1 2 2 2 6 3" xfId="15516" xr:uid="{00000000-0005-0000-0000-0000FD000000}"/>
    <cellStyle name="20% - Accent1 2 2 2 6 3 2" xfId="38118" xr:uid="{00000000-0005-0000-0000-0000FE000000}"/>
    <cellStyle name="20% - Accent1 2 2 2 6 4" xfId="26817" xr:uid="{00000000-0005-0000-0000-0000FF000000}"/>
    <cellStyle name="20% - Accent1 2 2 2 7" xfId="6695" xr:uid="{00000000-0005-0000-0000-000000010000}"/>
    <cellStyle name="20% - Accent1 2 2 2 7 2" xfId="17996" xr:uid="{00000000-0005-0000-0000-000001010000}"/>
    <cellStyle name="20% - Accent1 2 2 2 7 2 2" xfId="40598" xr:uid="{00000000-0005-0000-0000-000002010000}"/>
    <cellStyle name="20% - Accent1 2 2 2 7 3" xfId="29297" xr:uid="{00000000-0005-0000-0000-000003010000}"/>
    <cellStyle name="20% - Accent1 2 2 2 8" xfId="12346" xr:uid="{00000000-0005-0000-0000-000004010000}"/>
    <cellStyle name="20% - Accent1 2 2 2 8 2" xfId="34948" xr:uid="{00000000-0005-0000-0000-000005010000}"/>
    <cellStyle name="20% - Accent1 2 2 2 9" xfId="23647" xr:uid="{00000000-0005-0000-0000-000006010000}"/>
    <cellStyle name="20% - Accent1 2 2 3" xfId="1202" xr:uid="{00000000-0005-0000-0000-000007010000}"/>
    <cellStyle name="20% - Accent1 2 2 3 2" xfId="1542" xr:uid="{00000000-0005-0000-0000-000008010000}"/>
    <cellStyle name="20% - Accent1 2 2 3 2 2" xfId="3270" xr:uid="{00000000-0005-0000-0000-000009010000}"/>
    <cellStyle name="20% - Accent1 2 2 3 2 2 2" xfId="6242" xr:uid="{00000000-0005-0000-0000-00000A010000}"/>
    <cellStyle name="20% - Accent1 2 2 3 2 2 2 2" xfId="11892" xr:uid="{00000000-0005-0000-0000-00000B010000}"/>
    <cellStyle name="20% - Accent1 2 2 3 2 2 2 2 2" xfId="23193" xr:uid="{00000000-0005-0000-0000-00000C010000}"/>
    <cellStyle name="20% - Accent1 2 2 3 2 2 2 2 2 2" xfId="45795" xr:uid="{00000000-0005-0000-0000-00000D010000}"/>
    <cellStyle name="20% - Accent1 2 2 3 2 2 2 2 3" xfId="34494" xr:uid="{00000000-0005-0000-0000-00000E010000}"/>
    <cellStyle name="20% - Accent1 2 2 3 2 2 2 3" xfId="17543" xr:uid="{00000000-0005-0000-0000-00000F010000}"/>
    <cellStyle name="20% - Accent1 2 2 3 2 2 2 3 2" xfId="40145" xr:uid="{00000000-0005-0000-0000-000010010000}"/>
    <cellStyle name="20% - Accent1 2 2 3 2 2 2 4" xfId="28844" xr:uid="{00000000-0005-0000-0000-000011010000}"/>
    <cellStyle name="20% - Accent1 2 2 3 2 2 3" xfId="9060" xr:uid="{00000000-0005-0000-0000-000012010000}"/>
    <cellStyle name="20% - Accent1 2 2 3 2 2 3 2" xfId="20361" xr:uid="{00000000-0005-0000-0000-000013010000}"/>
    <cellStyle name="20% - Accent1 2 2 3 2 2 3 2 2" xfId="42963" xr:uid="{00000000-0005-0000-0000-000014010000}"/>
    <cellStyle name="20% - Accent1 2 2 3 2 2 3 3" xfId="31662" xr:uid="{00000000-0005-0000-0000-000015010000}"/>
    <cellStyle name="20% - Accent1 2 2 3 2 2 4" xfId="14711" xr:uid="{00000000-0005-0000-0000-000016010000}"/>
    <cellStyle name="20% - Accent1 2 2 3 2 2 4 2" xfId="37313" xr:uid="{00000000-0005-0000-0000-000017010000}"/>
    <cellStyle name="20% - Accent1 2 2 3 2 2 5" xfId="26012" xr:uid="{00000000-0005-0000-0000-000018010000}"/>
    <cellStyle name="20% - Accent1 2 2 3 2 3" xfId="5008" xr:uid="{00000000-0005-0000-0000-000019010000}"/>
    <cellStyle name="20% - Accent1 2 2 3 2 3 2" xfId="10658" xr:uid="{00000000-0005-0000-0000-00001A010000}"/>
    <cellStyle name="20% - Accent1 2 2 3 2 3 2 2" xfId="21959" xr:uid="{00000000-0005-0000-0000-00001B010000}"/>
    <cellStyle name="20% - Accent1 2 2 3 2 3 2 2 2" xfId="44561" xr:uid="{00000000-0005-0000-0000-00001C010000}"/>
    <cellStyle name="20% - Accent1 2 2 3 2 3 2 3" xfId="33260" xr:uid="{00000000-0005-0000-0000-00001D010000}"/>
    <cellStyle name="20% - Accent1 2 2 3 2 3 3" xfId="16309" xr:uid="{00000000-0005-0000-0000-00001E010000}"/>
    <cellStyle name="20% - Accent1 2 2 3 2 3 3 2" xfId="38911" xr:uid="{00000000-0005-0000-0000-00001F010000}"/>
    <cellStyle name="20% - Accent1 2 2 3 2 3 4" xfId="27610" xr:uid="{00000000-0005-0000-0000-000020010000}"/>
    <cellStyle name="20% - Accent1 2 2 3 2 4" xfId="7398" xr:uid="{00000000-0005-0000-0000-000021010000}"/>
    <cellStyle name="20% - Accent1 2 2 3 2 4 2" xfId="18699" xr:uid="{00000000-0005-0000-0000-000022010000}"/>
    <cellStyle name="20% - Accent1 2 2 3 2 4 2 2" xfId="41301" xr:uid="{00000000-0005-0000-0000-000023010000}"/>
    <cellStyle name="20% - Accent1 2 2 3 2 4 3" xfId="30000" xr:uid="{00000000-0005-0000-0000-000024010000}"/>
    <cellStyle name="20% - Accent1 2 2 3 2 5" xfId="13049" xr:uid="{00000000-0005-0000-0000-000025010000}"/>
    <cellStyle name="20% - Accent1 2 2 3 2 5 2" xfId="35651" xr:uid="{00000000-0005-0000-0000-000026010000}"/>
    <cellStyle name="20% - Accent1 2 2 3 2 6" xfId="24350" xr:uid="{00000000-0005-0000-0000-000027010000}"/>
    <cellStyle name="20% - Accent1 2 2 3 3" xfId="2599" xr:uid="{00000000-0005-0000-0000-000028010000}"/>
    <cellStyle name="20% - Accent1 2 2 3 3 2" xfId="5618" xr:uid="{00000000-0005-0000-0000-000029010000}"/>
    <cellStyle name="20% - Accent1 2 2 3 3 2 2" xfId="11268" xr:uid="{00000000-0005-0000-0000-00002A010000}"/>
    <cellStyle name="20% - Accent1 2 2 3 3 2 2 2" xfId="22569" xr:uid="{00000000-0005-0000-0000-00002B010000}"/>
    <cellStyle name="20% - Accent1 2 2 3 3 2 2 2 2" xfId="45171" xr:uid="{00000000-0005-0000-0000-00002C010000}"/>
    <cellStyle name="20% - Accent1 2 2 3 3 2 2 3" xfId="33870" xr:uid="{00000000-0005-0000-0000-00002D010000}"/>
    <cellStyle name="20% - Accent1 2 2 3 3 2 3" xfId="16919" xr:uid="{00000000-0005-0000-0000-00002E010000}"/>
    <cellStyle name="20% - Accent1 2 2 3 3 2 3 2" xfId="39521" xr:uid="{00000000-0005-0000-0000-00002F010000}"/>
    <cellStyle name="20% - Accent1 2 2 3 3 2 4" xfId="28220" xr:uid="{00000000-0005-0000-0000-000030010000}"/>
    <cellStyle name="20% - Accent1 2 2 3 3 3" xfId="8435" xr:uid="{00000000-0005-0000-0000-000031010000}"/>
    <cellStyle name="20% - Accent1 2 2 3 3 3 2" xfId="19736" xr:uid="{00000000-0005-0000-0000-000032010000}"/>
    <cellStyle name="20% - Accent1 2 2 3 3 3 2 2" xfId="42338" xr:uid="{00000000-0005-0000-0000-000033010000}"/>
    <cellStyle name="20% - Accent1 2 2 3 3 3 3" xfId="31037" xr:uid="{00000000-0005-0000-0000-000034010000}"/>
    <cellStyle name="20% - Accent1 2 2 3 3 4" xfId="14086" xr:uid="{00000000-0005-0000-0000-000035010000}"/>
    <cellStyle name="20% - Accent1 2 2 3 3 4 2" xfId="36688" xr:uid="{00000000-0005-0000-0000-000036010000}"/>
    <cellStyle name="20% - Accent1 2 2 3 3 5" xfId="25387" xr:uid="{00000000-0005-0000-0000-000037010000}"/>
    <cellStyle name="20% - Accent1 2 2 3 4" xfId="4384" xr:uid="{00000000-0005-0000-0000-000038010000}"/>
    <cellStyle name="20% - Accent1 2 2 3 4 2" xfId="10034" xr:uid="{00000000-0005-0000-0000-000039010000}"/>
    <cellStyle name="20% - Accent1 2 2 3 4 2 2" xfId="21335" xr:uid="{00000000-0005-0000-0000-00003A010000}"/>
    <cellStyle name="20% - Accent1 2 2 3 4 2 2 2" xfId="43937" xr:uid="{00000000-0005-0000-0000-00003B010000}"/>
    <cellStyle name="20% - Accent1 2 2 3 4 2 3" xfId="32636" xr:uid="{00000000-0005-0000-0000-00003C010000}"/>
    <cellStyle name="20% - Accent1 2 2 3 4 3" xfId="15685" xr:uid="{00000000-0005-0000-0000-00003D010000}"/>
    <cellStyle name="20% - Accent1 2 2 3 4 3 2" xfId="38287" xr:uid="{00000000-0005-0000-0000-00003E010000}"/>
    <cellStyle name="20% - Accent1 2 2 3 4 4" xfId="26986" xr:uid="{00000000-0005-0000-0000-00003F010000}"/>
    <cellStyle name="20% - Accent1 2 2 3 5" xfId="7181" xr:uid="{00000000-0005-0000-0000-000040010000}"/>
    <cellStyle name="20% - Accent1 2 2 3 5 2" xfId="18482" xr:uid="{00000000-0005-0000-0000-000041010000}"/>
    <cellStyle name="20% - Accent1 2 2 3 5 2 2" xfId="41084" xr:uid="{00000000-0005-0000-0000-000042010000}"/>
    <cellStyle name="20% - Accent1 2 2 3 5 3" xfId="29783" xr:uid="{00000000-0005-0000-0000-000043010000}"/>
    <cellStyle name="20% - Accent1 2 2 3 6" xfId="12832" xr:uid="{00000000-0005-0000-0000-000044010000}"/>
    <cellStyle name="20% - Accent1 2 2 3 6 2" xfId="35434" xr:uid="{00000000-0005-0000-0000-000045010000}"/>
    <cellStyle name="20% - Accent1 2 2 3 7" xfId="24133" xr:uid="{00000000-0005-0000-0000-000046010000}"/>
    <cellStyle name="20% - Accent1 2 2 4" xfId="892" xr:uid="{00000000-0005-0000-0000-000047010000}"/>
    <cellStyle name="20% - Accent1 2 2 4 2" xfId="2963" xr:uid="{00000000-0005-0000-0000-000048010000}"/>
    <cellStyle name="20% - Accent1 2 2 4 2 2" xfId="5935" xr:uid="{00000000-0005-0000-0000-000049010000}"/>
    <cellStyle name="20% - Accent1 2 2 4 2 2 2" xfId="11585" xr:uid="{00000000-0005-0000-0000-00004A010000}"/>
    <cellStyle name="20% - Accent1 2 2 4 2 2 2 2" xfId="22886" xr:uid="{00000000-0005-0000-0000-00004B010000}"/>
    <cellStyle name="20% - Accent1 2 2 4 2 2 2 2 2" xfId="45488" xr:uid="{00000000-0005-0000-0000-00004C010000}"/>
    <cellStyle name="20% - Accent1 2 2 4 2 2 2 3" xfId="34187" xr:uid="{00000000-0005-0000-0000-00004D010000}"/>
    <cellStyle name="20% - Accent1 2 2 4 2 2 3" xfId="17236" xr:uid="{00000000-0005-0000-0000-00004E010000}"/>
    <cellStyle name="20% - Accent1 2 2 4 2 2 3 2" xfId="39838" xr:uid="{00000000-0005-0000-0000-00004F010000}"/>
    <cellStyle name="20% - Accent1 2 2 4 2 2 4" xfId="28537" xr:uid="{00000000-0005-0000-0000-000050010000}"/>
    <cellStyle name="20% - Accent1 2 2 4 2 3" xfId="8753" xr:uid="{00000000-0005-0000-0000-000051010000}"/>
    <cellStyle name="20% - Accent1 2 2 4 2 3 2" xfId="20054" xr:uid="{00000000-0005-0000-0000-000052010000}"/>
    <cellStyle name="20% - Accent1 2 2 4 2 3 2 2" xfId="42656" xr:uid="{00000000-0005-0000-0000-000053010000}"/>
    <cellStyle name="20% - Accent1 2 2 4 2 3 3" xfId="31355" xr:uid="{00000000-0005-0000-0000-000054010000}"/>
    <cellStyle name="20% - Accent1 2 2 4 2 4" xfId="14404" xr:uid="{00000000-0005-0000-0000-000055010000}"/>
    <cellStyle name="20% - Accent1 2 2 4 2 4 2" xfId="37006" xr:uid="{00000000-0005-0000-0000-000056010000}"/>
    <cellStyle name="20% - Accent1 2 2 4 2 5" xfId="25705" xr:uid="{00000000-0005-0000-0000-000057010000}"/>
    <cellStyle name="20% - Accent1 2 2 4 3" xfId="4701" xr:uid="{00000000-0005-0000-0000-000058010000}"/>
    <cellStyle name="20% - Accent1 2 2 4 3 2" xfId="10351" xr:uid="{00000000-0005-0000-0000-000059010000}"/>
    <cellStyle name="20% - Accent1 2 2 4 3 2 2" xfId="21652" xr:uid="{00000000-0005-0000-0000-00005A010000}"/>
    <cellStyle name="20% - Accent1 2 2 4 3 2 2 2" xfId="44254" xr:uid="{00000000-0005-0000-0000-00005B010000}"/>
    <cellStyle name="20% - Accent1 2 2 4 3 2 3" xfId="32953" xr:uid="{00000000-0005-0000-0000-00005C010000}"/>
    <cellStyle name="20% - Accent1 2 2 4 3 3" xfId="16002" xr:uid="{00000000-0005-0000-0000-00005D010000}"/>
    <cellStyle name="20% - Accent1 2 2 4 3 3 2" xfId="38604" xr:uid="{00000000-0005-0000-0000-00005E010000}"/>
    <cellStyle name="20% - Accent1 2 2 4 3 4" xfId="27303" xr:uid="{00000000-0005-0000-0000-00005F010000}"/>
    <cellStyle name="20% - Accent1 2 2 4 4" xfId="6888" xr:uid="{00000000-0005-0000-0000-000060010000}"/>
    <cellStyle name="20% - Accent1 2 2 4 4 2" xfId="18189" xr:uid="{00000000-0005-0000-0000-000061010000}"/>
    <cellStyle name="20% - Accent1 2 2 4 4 2 2" xfId="40791" xr:uid="{00000000-0005-0000-0000-000062010000}"/>
    <cellStyle name="20% - Accent1 2 2 4 4 3" xfId="29490" xr:uid="{00000000-0005-0000-0000-000063010000}"/>
    <cellStyle name="20% - Accent1 2 2 4 5" xfId="12539" xr:uid="{00000000-0005-0000-0000-000064010000}"/>
    <cellStyle name="20% - Accent1 2 2 4 5 2" xfId="35141" xr:uid="{00000000-0005-0000-0000-000065010000}"/>
    <cellStyle name="20% - Accent1 2 2 4 6" xfId="23840" xr:uid="{00000000-0005-0000-0000-000066010000}"/>
    <cellStyle name="20% - Accent1 2 2 5" xfId="1539" xr:uid="{00000000-0005-0000-0000-000067010000}"/>
    <cellStyle name="20% - Accent1 2 2 5 2" xfId="3510" xr:uid="{00000000-0005-0000-0000-000068010000}"/>
    <cellStyle name="20% - Accent1 2 2 5 2 2" xfId="9275" xr:uid="{00000000-0005-0000-0000-000069010000}"/>
    <cellStyle name="20% - Accent1 2 2 5 2 2 2" xfId="20576" xr:uid="{00000000-0005-0000-0000-00006A010000}"/>
    <cellStyle name="20% - Accent1 2 2 5 2 2 2 2" xfId="43178" xr:uid="{00000000-0005-0000-0000-00006B010000}"/>
    <cellStyle name="20% - Accent1 2 2 5 2 2 3" xfId="31877" xr:uid="{00000000-0005-0000-0000-00006C010000}"/>
    <cellStyle name="20% - Accent1 2 2 5 2 3" xfId="14926" xr:uid="{00000000-0005-0000-0000-00006D010000}"/>
    <cellStyle name="20% - Accent1 2 2 5 2 3 2" xfId="37528" xr:uid="{00000000-0005-0000-0000-00006E010000}"/>
    <cellStyle name="20% - Accent1 2 2 5 2 4" xfId="26227" xr:uid="{00000000-0005-0000-0000-00006F010000}"/>
    <cellStyle name="20% - Accent1 2 2 5 3" xfId="5311" xr:uid="{00000000-0005-0000-0000-000070010000}"/>
    <cellStyle name="20% - Accent1 2 2 5 3 2" xfId="10961" xr:uid="{00000000-0005-0000-0000-000071010000}"/>
    <cellStyle name="20% - Accent1 2 2 5 3 2 2" xfId="22262" xr:uid="{00000000-0005-0000-0000-000072010000}"/>
    <cellStyle name="20% - Accent1 2 2 5 3 2 2 2" xfId="44864" xr:uid="{00000000-0005-0000-0000-000073010000}"/>
    <cellStyle name="20% - Accent1 2 2 5 3 2 3" xfId="33563" xr:uid="{00000000-0005-0000-0000-000074010000}"/>
    <cellStyle name="20% - Accent1 2 2 5 3 3" xfId="16612" xr:uid="{00000000-0005-0000-0000-000075010000}"/>
    <cellStyle name="20% - Accent1 2 2 5 3 3 2" xfId="39214" xr:uid="{00000000-0005-0000-0000-000076010000}"/>
    <cellStyle name="20% - Accent1 2 2 5 3 4" xfId="27913" xr:uid="{00000000-0005-0000-0000-000077010000}"/>
    <cellStyle name="20% - Accent1 2 2 5 4" xfId="7395" xr:uid="{00000000-0005-0000-0000-000078010000}"/>
    <cellStyle name="20% - Accent1 2 2 5 4 2" xfId="18696" xr:uid="{00000000-0005-0000-0000-000079010000}"/>
    <cellStyle name="20% - Accent1 2 2 5 4 2 2" xfId="41298" xr:uid="{00000000-0005-0000-0000-00007A010000}"/>
    <cellStyle name="20% - Accent1 2 2 5 4 3" xfId="29997" xr:uid="{00000000-0005-0000-0000-00007B010000}"/>
    <cellStyle name="20% - Accent1 2 2 5 5" xfId="13046" xr:uid="{00000000-0005-0000-0000-00007C010000}"/>
    <cellStyle name="20% - Accent1 2 2 5 5 2" xfId="35648" xr:uid="{00000000-0005-0000-0000-00007D010000}"/>
    <cellStyle name="20% - Accent1 2 2 5 6" xfId="24347" xr:uid="{00000000-0005-0000-0000-00007E010000}"/>
    <cellStyle name="20% - Accent1 2 2 6" xfId="2290" xr:uid="{00000000-0005-0000-0000-00007F010000}"/>
    <cellStyle name="20% - Accent1 2 2 6 2" xfId="8126" xr:uid="{00000000-0005-0000-0000-000080010000}"/>
    <cellStyle name="20% - Accent1 2 2 6 2 2" xfId="19427" xr:uid="{00000000-0005-0000-0000-000081010000}"/>
    <cellStyle name="20% - Accent1 2 2 6 2 2 2" xfId="42029" xr:uid="{00000000-0005-0000-0000-000082010000}"/>
    <cellStyle name="20% - Accent1 2 2 6 2 3" xfId="30728" xr:uid="{00000000-0005-0000-0000-000083010000}"/>
    <cellStyle name="20% - Accent1 2 2 6 3" xfId="13777" xr:uid="{00000000-0005-0000-0000-000084010000}"/>
    <cellStyle name="20% - Accent1 2 2 6 3 2" xfId="36379" xr:uid="{00000000-0005-0000-0000-000085010000}"/>
    <cellStyle name="20% - Accent1 2 2 6 4" xfId="25078" xr:uid="{00000000-0005-0000-0000-000086010000}"/>
    <cellStyle name="20% - Accent1 2 2 7" xfId="4077" xr:uid="{00000000-0005-0000-0000-000087010000}"/>
    <cellStyle name="20% - Accent1 2 2 7 2" xfId="9727" xr:uid="{00000000-0005-0000-0000-000088010000}"/>
    <cellStyle name="20% - Accent1 2 2 7 2 2" xfId="21028" xr:uid="{00000000-0005-0000-0000-000089010000}"/>
    <cellStyle name="20% - Accent1 2 2 7 2 2 2" xfId="43630" xr:uid="{00000000-0005-0000-0000-00008A010000}"/>
    <cellStyle name="20% - Accent1 2 2 7 2 3" xfId="32329" xr:uid="{00000000-0005-0000-0000-00008B010000}"/>
    <cellStyle name="20% - Accent1 2 2 7 3" xfId="15378" xr:uid="{00000000-0005-0000-0000-00008C010000}"/>
    <cellStyle name="20% - Accent1 2 2 7 3 2" xfId="37980" xr:uid="{00000000-0005-0000-0000-00008D010000}"/>
    <cellStyle name="20% - Accent1 2 2 7 4" xfId="26679" xr:uid="{00000000-0005-0000-0000-00008E010000}"/>
    <cellStyle name="20% - Accent1 2 2 8" xfId="6528" xr:uid="{00000000-0005-0000-0000-00008F010000}"/>
    <cellStyle name="20% - Accent1 2 2 8 2" xfId="17829" xr:uid="{00000000-0005-0000-0000-000090010000}"/>
    <cellStyle name="20% - Accent1 2 2 8 2 2" xfId="40431" xr:uid="{00000000-0005-0000-0000-000091010000}"/>
    <cellStyle name="20% - Accent1 2 2 8 3" xfId="29130" xr:uid="{00000000-0005-0000-0000-000092010000}"/>
    <cellStyle name="20% - Accent1 2 2 9" xfId="12179" xr:uid="{00000000-0005-0000-0000-000093010000}"/>
    <cellStyle name="20% - Accent1 2 2 9 2" xfId="34781" xr:uid="{00000000-0005-0000-0000-000094010000}"/>
    <cellStyle name="20% - Accent1 2 3" xfId="2814" xr:uid="{00000000-0005-0000-0000-000095010000}"/>
    <cellStyle name="20% - Accent1 2 3 2" xfId="3886" xr:uid="{00000000-0005-0000-0000-000096010000}"/>
    <cellStyle name="20% - Accent1 2 3 2 2" xfId="5829" xr:uid="{00000000-0005-0000-0000-000097010000}"/>
    <cellStyle name="20% - Accent1 2 3 2 2 2" xfId="11479" xr:uid="{00000000-0005-0000-0000-000098010000}"/>
    <cellStyle name="20% - Accent1 2 3 2 2 2 2" xfId="22780" xr:uid="{00000000-0005-0000-0000-000099010000}"/>
    <cellStyle name="20% - Accent1 2 3 2 2 2 2 2" xfId="45382" xr:uid="{00000000-0005-0000-0000-00009A010000}"/>
    <cellStyle name="20% - Accent1 2 3 2 2 2 3" xfId="34081" xr:uid="{00000000-0005-0000-0000-00009B010000}"/>
    <cellStyle name="20% - Accent1 2 3 2 2 3" xfId="17130" xr:uid="{00000000-0005-0000-0000-00009C010000}"/>
    <cellStyle name="20% - Accent1 2 3 2 2 3 2" xfId="39732" xr:uid="{00000000-0005-0000-0000-00009D010000}"/>
    <cellStyle name="20% - Accent1 2 3 2 2 4" xfId="28431" xr:uid="{00000000-0005-0000-0000-00009E010000}"/>
    <cellStyle name="20% - Accent1 2 3 2 3" xfId="9594" xr:uid="{00000000-0005-0000-0000-00009F010000}"/>
    <cellStyle name="20% - Accent1 2 3 2 3 2" xfId="20895" xr:uid="{00000000-0005-0000-0000-0000A0010000}"/>
    <cellStyle name="20% - Accent1 2 3 2 3 2 2" xfId="43497" xr:uid="{00000000-0005-0000-0000-0000A1010000}"/>
    <cellStyle name="20% - Accent1 2 3 2 3 3" xfId="32196" xr:uid="{00000000-0005-0000-0000-0000A2010000}"/>
    <cellStyle name="20% - Accent1 2 3 2 4" xfId="15245" xr:uid="{00000000-0005-0000-0000-0000A3010000}"/>
    <cellStyle name="20% - Accent1 2 3 2 4 2" xfId="37847" xr:uid="{00000000-0005-0000-0000-0000A4010000}"/>
    <cellStyle name="20% - Accent1 2 3 2 5" xfId="26546" xr:uid="{00000000-0005-0000-0000-0000A5010000}"/>
    <cellStyle name="20% - Accent1 2 3 3" xfId="4595" xr:uid="{00000000-0005-0000-0000-0000A6010000}"/>
    <cellStyle name="20% - Accent1 2 3 3 2" xfId="10245" xr:uid="{00000000-0005-0000-0000-0000A7010000}"/>
    <cellStyle name="20% - Accent1 2 3 3 2 2" xfId="21546" xr:uid="{00000000-0005-0000-0000-0000A8010000}"/>
    <cellStyle name="20% - Accent1 2 3 3 2 2 2" xfId="44148" xr:uid="{00000000-0005-0000-0000-0000A9010000}"/>
    <cellStyle name="20% - Accent1 2 3 3 2 3" xfId="32847" xr:uid="{00000000-0005-0000-0000-0000AA010000}"/>
    <cellStyle name="20% - Accent1 2 3 3 3" xfId="15896" xr:uid="{00000000-0005-0000-0000-0000AB010000}"/>
    <cellStyle name="20% - Accent1 2 3 3 3 2" xfId="38498" xr:uid="{00000000-0005-0000-0000-0000AC010000}"/>
    <cellStyle name="20% - Accent1 2 3 3 4" xfId="27197" xr:uid="{00000000-0005-0000-0000-0000AD010000}"/>
    <cellStyle name="20% - Accent1 2 3 4" xfId="8647" xr:uid="{00000000-0005-0000-0000-0000AE010000}"/>
    <cellStyle name="20% - Accent1 2 3 4 2" xfId="19948" xr:uid="{00000000-0005-0000-0000-0000AF010000}"/>
    <cellStyle name="20% - Accent1 2 3 4 2 2" xfId="42550" xr:uid="{00000000-0005-0000-0000-0000B0010000}"/>
    <cellStyle name="20% - Accent1 2 3 4 3" xfId="31249" xr:uid="{00000000-0005-0000-0000-0000B1010000}"/>
    <cellStyle name="20% - Accent1 2 3 5" xfId="14298" xr:uid="{00000000-0005-0000-0000-0000B2010000}"/>
    <cellStyle name="20% - Accent1 2 3 5 2" xfId="36900" xr:uid="{00000000-0005-0000-0000-0000B3010000}"/>
    <cellStyle name="20% - Accent1 2 3 6" xfId="25599" xr:uid="{00000000-0005-0000-0000-0000B4010000}"/>
    <cellStyle name="20% - Accent1 2 4" xfId="2836" xr:uid="{00000000-0005-0000-0000-0000B5010000}"/>
    <cellStyle name="20% - Accent1 2 5" xfId="3898" xr:uid="{00000000-0005-0000-0000-0000B6010000}"/>
    <cellStyle name="20% - Accent1 2 5 2" xfId="9598" xr:uid="{00000000-0005-0000-0000-0000B7010000}"/>
    <cellStyle name="20% - Accent1 2 5 2 2" xfId="20899" xr:uid="{00000000-0005-0000-0000-0000B8010000}"/>
    <cellStyle name="20% - Accent1 2 5 2 2 2" xfId="43501" xr:uid="{00000000-0005-0000-0000-0000B9010000}"/>
    <cellStyle name="20% - Accent1 2 5 2 3" xfId="32200" xr:uid="{00000000-0005-0000-0000-0000BA010000}"/>
    <cellStyle name="20% - Accent1 2 5 3" xfId="15249" xr:uid="{00000000-0005-0000-0000-0000BB010000}"/>
    <cellStyle name="20% - Accent1 2 5 3 2" xfId="37851" xr:uid="{00000000-0005-0000-0000-0000BC010000}"/>
    <cellStyle name="20% - Accent1 2 5 4" xfId="26550" xr:uid="{00000000-0005-0000-0000-0000BD010000}"/>
    <cellStyle name="20% - Accent1 2 6" xfId="3917" xr:uid="{00000000-0005-0000-0000-0000BE010000}"/>
    <cellStyle name="20% - Accent1 2 7" xfId="156" xr:uid="{00000000-0005-0000-0000-0000BF010000}"/>
    <cellStyle name="20% - Accent1 3" xfId="207" xr:uid="{00000000-0005-0000-0000-0000C0010000}"/>
    <cellStyle name="20% - Accent1 3 2" xfId="339" xr:uid="{00000000-0005-0000-0000-0000C1010000}"/>
    <cellStyle name="20% - Accent1 3 2 10" xfId="23450" xr:uid="{00000000-0005-0000-0000-0000C2010000}"/>
    <cellStyle name="20% - Accent1 3 2 2" xfId="600" xr:uid="{00000000-0005-0000-0000-0000C3010000}"/>
    <cellStyle name="20% - Accent1 3 2 2 2" xfId="1310" xr:uid="{00000000-0005-0000-0000-0000C4010000}"/>
    <cellStyle name="20% - Accent1 3 2 2 2 2" xfId="1545" xr:uid="{00000000-0005-0000-0000-0000C5010000}"/>
    <cellStyle name="20% - Accent1 3 2 2 2 2 2" xfId="3379" xr:uid="{00000000-0005-0000-0000-0000C6010000}"/>
    <cellStyle name="20% - Accent1 3 2 2 2 2 2 2" xfId="6351" xr:uid="{00000000-0005-0000-0000-0000C7010000}"/>
    <cellStyle name="20% - Accent1 3 2 2 2 2 2 2 2" xfId="12001" xr:uid="{00000000-0005-0000-0000-0000C8010000}"/>
    <cellStyle name="20% - Accent1 3 2 2 2 2 2 2 2 2" xfId="23302" xr:uid="{00000000-0005-0000-0000-0000C9010000}"/>
    <cellStyle name="20% - Accent1 3 2 2 2 2 2 2 2 2 2" xfId="45904" xr:uid="{00000000-0005-0000-0000-0000CA010000}"/>
    <cellStyle name="20% - Accent1 3 2 2 2 2 2 2 2 3" xfId="34603" xr:uid="{00000000-0005-0000-0000-0000CB010000}"/>
    <cellStyle name="20% - Accent1 3 2 2 2 2 2 2 3" xfId="17652" xr:uid="{00000000-0005-0000-0000-0000CC010000}"/>
    <cellStyle name="20% - Accent1 3 2 2 2 2 2 2 3 2" xfId="40254" xr:uid="{00000000-0005-0000-0000-0000CD010000}"/>
    <cellStyle name="20% - Accent1 3 2 2 2 2 2 2 4" xfId="28953" xr:uid="{00000000-0005-0000-0000-0000CE010000}"/>
    <cellStyle name="20% - Accent1 3 2 2 2 2 2 3" xfId="9169" xr:uid="{00000000-0005-0000-0000-0000CF010000}"/>
    <cellStyle name="20% - Accent1 3 2 2 2 2 2 3 2" xfId="20470" xr:uid="{00000000-0005-0000-0000-0000D0010000}"/>
    <cellStyle name="20% - Accent1 3 2 2 2 2 2 3 2 2" xfId="43072" xr:uid="{00000000-0005-0000-0000-0000D1010000}"/>
    <cellStyle name="20% - Accent1 3 2 2 2 2 2 3 3" xfId="31771" xr:uid="{00000000-0005-0000-0000-0000D2010000}"/>
    <cellStyle name="20% - Accent1 3 2 2 2 2 2 4" xfId="14820" xr:uid="{00000000-0005-0000-0000-0000D3010000}"/>
    <cellStyle name="20% - Accent1 3 2 2 2 2 2 4 2" xfId="37422" xr:uid="{00000000-0005-0000-0000-0000D4010000}"/>
    <cellStyle name="20% - Accent1 3 2 2 2 2 2 5" xfId="26121" xr:uid="{00000000-0005-0000-0000-0000D5010000}"/>
    <cellStyle name="20% - Accent1 3 2 2 2 2 3" xfId="5117" xr:uid="{00000000-0005-0000-0000-0000D6010000}"/>
    <cellStyle name="20% - Accent1 3 2 2 2 2 3 2" xfId="10767" xr:uid="{00000000-0005-0000-0000-0000D7010000}"/>
    <cellStyle name="20% - Accent1 3 2 2 2 2 3 2 2" xfId="22068" xr:uid="{00000000-0005-0000-0000-0000D8010000}"/>
    <cellStyle name="20% - Accent1 3 2 2 2 2 3 2 2 2" xfId="44670" xr:uid="{00000000-0005-0000-0000-0000D9010000}"/>
    <cellStyle name="20% - Accent1 3 2 2 2 2 3 2 3" xfId="33369" xr:uid="{00000000-0005-0000-0000-0000DA010000}"/>
    <cellStyle name="20% - Accent1 3 2 2 2 2 3 3" xfId="16418" xr:uid="{00000000-0005-0000-0000-0000DB010000}"/>
    <cellStyle name="20% - Accent1 3 2 2 2 2 3 3 2" xfId="39020" xr:uid="{00000000-0005-0000-0000-0000DC010000}"/>
    <cellStyle name="20% - Accent1 3 2 2 2 2 3 4" xfId="27719" xr:uid="{00000000-0005-0000-0000-0000DD010000}"/>
    <cellStyle name="20% - Accent1 3 2 2 2 2 4" xfId="7401" xr:uid="{00000000-0005-0000-0000-0000DE010000}"/>
    <cellStyle name="20% - Accent1 3 2 2 2 2 4 2" xfId="18702" xr:uid="{00000000-0005-0000-0000-0000DF010000}"/>
    <cellStyle name="20% - Accent1 3 2 2 2 2 4 2 2" xfId="41304" xr:uid="{00000000-0005-0000-0000-0000E0010000}"/>
    <cellStyle name="20% - Accent1 3 2 2 2 2 4 3" xfId="30003" xr:uid="{00000000-0005-0000-0000-0000E1010000}"/>
    <cellStyle name="20% - Accent1 3 2 2 2 2 5" xfId="13052" xr:uid="{00000000-0005-0000-0000-0000E2010000}"/>
    <cellStyle name="20% - Accent1 3 2 2 2 2 5 2" xfId="35654" xr:uid="{00000000-0005-0000-0000-0000E3010000}"/>
    <cellStyle name="20% - Accent1 3 2 2 2 2 6" xfId="24353" xr:uid="{00000000-0005-0000-0000-0000E4010000}"/>
    <cellStyle name="20% - Accent1 3 2 2 2 3" xfId="2708" xr:uid="{00000000-0005-0000-0000-0000E5010000}"/>
    <cellStyle name="20% - Accent1 3 2 2 2 3 2" xfId="5727" xr:uid="{00000000-0005-0000-0000-0000E6010000}"/>
    <cellStyle name="20% - Accent1 3 2 2 2 3 2 2" xfId="11377" xr:uid="{00000000-0005-0000-0000-0000E7010000}"/>
    <cellStyle name="20% - Accent1 3 2 2 2 3 2 2 2" xfId="22678" xr:uid="{00000000-0005-0000-0000-0000E8010000}"/>
    <cellStyle name="20% - Accent1 3 2 2 2 3 2 2 2 2" xfId="45280" xr:uid="{00000000-0005-0000-0000-0000E9010000}"/>
    <cellStyle name="20% - Accent1 3 2 2 2 3 2 2 3" xfId="33979" xr:uid="{00000000-0005-0000-0000-0000EA010000}"/>
    <cellStyle name="20% - Accent1 3 2 2 2 3 2 3" xfId="17028" xr:uid="{00000000-0005-0000-0000-0000EB010000}"/>
    <cellStyle name="20% - Accent1 3 2 2 2 3 2 3 2" xfId="39630" xr:uid="{00000000-0005-0000-0000-0000EC010000}"/>
    <cellStyle name="20% - Accent1 3 2 2 2 3 2 4" xfId="28329" xr:uid="{00000000-0005-0000-0000-0000ED010000}"/>
    <cellStyle name="20% - Accent1 3 2 2 2 3 3" xfId="8544" xr:uid="{00000000-0005-0000-0000-0000EE010000}"/>
    <cellStyle name="20% - Accent1 3 2 2 2 3 3 2" xfId="19845" xr:uid="{00000000-0005-0000-0000-0000EF010000}"/>
    <cellStyle name="20% - Accent1 3 2 2 2 3 3 2 2" xfId="42447" xr:uid="{00000000-0005-0000-0000-0000F0010000}"/>
    <cellStyle name="20% - Accent1 3 2 2 2 3 3 3" xfId="31146" xr:uid="{00000000-0005-0000-0000-0000F1010000}"/>
    <cellStyle name="20% - Accent1 3 2 2 2 3 4" xfId="14195" xr:uid="{00000000-0005-0000-0000-0000F2010000}"/>
    <cellStyle name="20% - Accent1 3 2 2 2 3 4 2" xfId="36797" xr:uid="{00000000-0005-0000-0000-0000F3010000}"/>
    <cellStyle name="20% - Accent1 3 2 2 2 3 5" xfId="25496" xr:uid="{00000000-0005-0000-0000-0000F4010000}"/>
    <cellStyle name="20% - Accent1 3 2 2 2 4" xfId="4493" xr:uid="{00000000-0005-0000-0000-0000F5010000}"/>
    <cellStyle name="20% - Accent1 3 2 2 2 4 2" xfId="10143" xr:uid="{00000000-0005-0000-0000-0000F6010000}"/>
    <cellStyle name="20% - Accent1 3 2 2 2 4 2 2" xfId="21444" xr:uid="{00000000-0005-0000-0000-0000F7010000}"/>
    <cellStyle name="20% - Accent1 3 2 2 2 4 2 2 2" xfId="44046" xr:uid="{00000000-0005-0000-0000-0000F8010000}"/>
    <cellStyle name="20% - Accent1 3 2 2 2 4 2 3" xfId="32745" xr:uid="{00000000-0005-0000-0000-0000F9010000}"/>
    <cellStyle name="20% - Accent1 3 2 2 2 4 3" xfId="15794" xr:uid="{00000000-0005-0000-0000-0000FA010000}"/>
    <cellStyle name="20% - Accent1 3 2 2 2 4 3 2" xfId="38396" xr:uid="{00000000-0005-0000-0000-0000FB010000}"/>
    <cellStyle name="20% - Accent1 3 2 2 2 4 4" xfId="27095" xr:uid="{00000000-0005-0000-0000-0000FC010000}"/>
    <cellStyle name="20% - Accent1 3 2 2 2 5" xfId="7289" xr:uid="{00000000-0005-0000-0000-0000FD010000}"/>
    <cellStyle name="20% - Accent1 3 2 2 2 5 2" xfId="18590" xr:uid="{00000000-0005-0000-0000-0000FE010000}"/>
    <cellStyle name="20% - Accent1 3 2 2 2 5 2 2" xfId="41192" xr:uid="{00000000-0005-0000-0000-0000FF010000}"/>
    <cellStyle name="20% - Accent1 3 2 2 2 5 3" xfId="29891" xr:uid="{00000000-0005-0000-0000-000000020000}"/>
    <cellStyle name="20% - Accent1 3 2 2 2 6" xfId="12940" xr:uid="{00000000-0005-0000-0000-000001020000}"/>
    <cellStyle name="20% - Accent1 3 2 2 2 6 2" xfId="35542" xr:uid="{00000000-0005-0000-0000-000002020000}"/>
    <cellStyle name="20% - Accent1 3 2 2 2 7" xfId="24241" xr:uid="{00000000-0005-0000-0000-000003020000}"/>
    <cellStyle name="20% - Accent1 3 2 2 3" xfId="1008" xr:uid="{00000000-0005-0000-0000-000004020000}"/>
    <cellStyle name="20% - Accent1 3 2 2 3 2" xfId="3071" xr:uid="{00000000-0005-0000-0000-000005020000}"/>
    <cellStyle name="20% - Accent1 3 2 2 3 2 2" xfId="6043" xr:uid="{00000000-0005-0000-0000-000006020000}"/>
    <cellStyle name="20% - Accent1 3 2 2 3 2 2 2" xfId="11693" xr:uid="{00000000-0005-0000-0000-000007020000}"/>
    <cellStyle name="20% - Accent1 3 2 2 3 2 2 2 2" xfId="22994" xr:uid="{00000000-0005-0000-0000-000008020000}"/>
    <cellStyle name="20% - Accent1 3 2 2 3 2 2 2 2 2" xfId="45596" xr:uid="{00000000-0005-0000-0000-000009020000}"/>
    <cellStyle name="20% - Accent1 3 2 2 3 2 2 2 3" xfId="34295" xr:uid="{00000000-0005-0000-0000-00000A020000}"/>
    <cellStyle name="20% - Accent1 3 2 2 3 2 2 3" xfId="17344" xr:uid="{00000000-0005-0000-0000-00000B020000}"/>
    <cellStyle name="20% - Accent1 3 2 2 3 2 2 3 2" xfId="39946" xr:uid="{00000000-0005-0000-0000-00000C020000}"/>
    <cellStyle name="20% - Accent1 3 2 2 3 2 2 4" xfId="28645" xr:uid="{00000000-0005-0000-0000-00000D020000}"/>
    <cellStyle name="20% - Accent1 3 2 2 3 2 3" xfId="8861" xr:uid="{00000000-0005-0000-0000-00000E020000}"/>
    <cellStyle name="20% - Accent1 3 2 2 3 2 3 2" xfId="20162" xr:uid="{00000000-0005-0000-0000-00000F020000}"/>
    <cellStyle name="20% - Accent1 3 2 2 3 2 3 2 2" xfId="42764" xr:uid="{00000000-0005-0000-0000-000010020000}"/>
    <cellStyle name="20% - Accent1 3 2 2 3 2 3 3" xfId="31463" xr:uid="{00000000-0005-0000-0000-000011020000}"/>
    <cellStyle name="20% - Accent1 3 2 2 3 2 4" xfId="14512" xr:uid="{00000000-0005-0000-0000-000012020000}"/>
    <cellStyle name="20% - Accent1 3 2 2 3 2 4 2" xfId="37114" xr:uid="{00000000-0005-0000-0000-000013020000}"/>
    <cellStyle name="20% - Accent1 3 2 2 3 2 5" xfId="25813" xr:uid="{00000000-0005-0000-0000-000014020000}"/>
    <cellStyle name="20% - Accent1 3 2 2 3 3" xfId="4809" xr:uid="{00000000-0005-0000-0000-000015020000}"/>
    <cellStyle name="20% - Accent1 3 2 2 3 3 2" xfId="10459" xr:uid="{00000000-0005-0000-0000-000016020000}"/>
    <cellStyle name="20% - Accent1 3 2 2 3 3 2 2" xfId="21760" xr:uid="{00000000-0005-0000-0000-000017020000}"/>
    <cellStyle name="20% - Accent1 3 2 2 3 3 2 2 2" xfId="44362" xr:uid="{00000000-0005-0000-0000-000018020000}"/>
    <cellStyle name="20% - Accent1 3 2 2 3 3 2 3" xfId="33061" xr:uid="{00000000-0005-0000-0000-000019020000}"/>
    <cellStyle name="20% - Accent1 3 2 2 3 3 3" xfId="16110" xr:uid="{00000000-0005-0000-0000-00001A020000}"/>
    <cellStyle name="20% - Accent1 3 2 2 3 3 3 2" xfId="38712" xr:uid="{00000000-0005-0000-0000-00001B020000}"/>
    <cellStyle name="20% - Accent1 3 2 2 3 3 4" xfId="27411" xr:uid="{00000000-0005-0000-0000-00001C020000}"/>
    <cellStyle name="20% - Accent1 3 2 2 3 4" xfId="6996" xr:uid="{00000000-0005-0000-0000-00001D020000}"/>
    <cellStyle name="20% - Accent1 3 2 2 3 4 2" xfId="18297" xr:uid="{00000000-0005-0000-0000-00001E020000}"/>
    <cellStyle name="20% - Accent1 3 2 2 3 4 2 2" xfId="40899" xr:uid="{00000000-0005-0000-0000-00001F020000}"/>
    <cellStyle name="20% - Accent1 3 2 2 3 4 3" xfId="29598" xr:uid="{00000000-0005-0000-0000-000020020000}"/>
    <cellStyle name="20% - Accent1 3 2 2 3 5" xfId="12647" xr:uid="{00000000-0005-0000-0000-000021020000}"/>
    <cellStyle name="20% - Accent1 3 2 2 3 5 2" xfId="35249" xr:uid="{00000000-0005-0000-0000-000022020000}"/>
    <cellStyle name="20% - Accent1 3 2 2 3 6" xfId="23948" xr:uid="{00000000-0005-0000-0000-000023020000}"/>
    <cellStyle name="20% - Accent1 3 2 2 4" xfId="1544" xr:uid="{00000000-0005-0000-0000-000024020000}"/>
    <cellStyle name="20% - Accent1 3 2 2 4 2" xfId="2350" xr:uid="{00000000-0005-0000-0000-000025020000}"/>
    <cellStyle name="20% - Accent1 3 2 2 4 2 2" xfId="8186" xr:uid="{00000000-0005-0000-0000-000026020000}"/>
    <cellStyle name="20% - Accent1 3 2 2 4 2 2 2" xfId="19487" xr:uid="{00000000-0005-0000-0000-000027020000}"/>
    <cellStyle name="20% - Accent1 3 2 2 4 2 2 2 2" xfId="42089" xr:uid="{00000000-0005-0000-0000-000028020000}"/>
    <cellStyle name="20% - Accent1 3 2 2 4 2 2 3" xfId="30788" xr:uid="{00000000-0005-0000-0000-000029020000}"/>
    <cellStyle name="20% - Accent1 3 2 2 4 2 3" xfId="13837" xr:uid="{00000000-0005-0000-0000-00002A020000}"/>
    <cellStyle name="20% - Accent1 3 2 2 4 2 3 2" xfId="36439" xr:uid="{00000000-0005-0000-0000-00002B020000}"/>
    <cellStyle name="20% - Accent1 3 2 2 4 2 4" xfId="25138" xr:uid="{00000000-0005-0000-0000-00002C020000}"/>
    <cellStyle name="20% - Accent1 3 2 2 4 3" xfId="5419" xr:uid="{00000000-0005-0000-0000-00002D020000}"/>
    <cellStyle name="20% - Accent1 3 2 2 4 3 2" xfId="11069" xr:uid="{00000000-0005-0000-0000-00002E020000}"/>
    <cellStyle name="20% - Accent1 3 2 2 4 3 2 2" xfId="22370" xr:uid="{00000000-0005-0000-0000-00002F020000}"/>
    <cellStyle name="20% - Accent1 3 2 2 4 3 2 2 2" xfId="44972" xr:uid="{00000000-0005-0000-0000-000030020000}"/>
    <cellStyle name="20% - Accent1 3 2 2 4 3 2 3" xfId="33671" xr:uid="{00000000-0005-0000-0000-000031020000}"/>
    <cellStyle name="20% - Accent1 3 2 2 4 3 3" xfId="16720" xr:uid="{00000000-0005-0000-0000-000032020000}"/>
    <cellStyle name="20% - Accent1 3 2 2 4 3 3 2" xfId="39322" xr:uid="{00000000-0005-0000-0000-000033020000}"/>
    <cellStyle name="20% - Accent1 3 2 2 4 3 4" xfId="28021" xr:uid="{00000000-0005-0000-0000-000034020000}"/>
    <cellStyle name="20% - Accent1 3 2 2 4 4" xfId="7400" xr:uid="{00000000-0005-0000-0000-000035020000}"/>
    <cellStyle name="20% - Accent1 3 2 2 4 4 2" xfId="18701" xr:uid="{00000000-0005-0000-0000-000036020000}"/>
    <cellStyle name="20% - Accent1 3 2 2 4 4 2 2" xfId="41303" xr:uid="{00000000-0005-0000-0000-000037020000}"/>
    <cellStyle name="20% - Accent1 3 2 2 4 4 3" xfId="30002" xr:uid="{00000000-0005-0000-0000-000038020000}"/>
    <cellStyle name="20% - Accent1 3 2 2 4 5" xfId="13051" xr:uid="{00000000-0005-0000-0000-000039020000}"/>
    <cellStyle name="20% - Accent1 3 2 2 4 5 2" xfId="35653" xr:uid="{00000000-0005-0000-0000-00003A020000}"/>
    <cellStyle name="20% - Accent1 3 2 2 4 6" xfId="24352" xr:uid="{00000000-0005-0000-0000-00003B020000}"/>
    <cellStyle name="20% - Accent1 3 2 2 5" xfId="2400" xr:uid="{00000000-0005-0000-0000-00003C020000}"/>
    <cellStyle name="20% - Accent1 3 2 2 5 2" xfId="8236" xr:uid="{00000000-0005-0000-0000-00003D020000}"/>
    <cellStyle name="20% - Accent1 3 2 2 5 2 2" xfId="19537" xr:uid="{00000000-0005-0000-0000-00003E020000}"/>
    <cellStyle name="20% - Accent1 3 2 2 5 2 2 2" xfId="42139" xr:uid="{00000000-0005-0000-0000-00003F020000}"/>
    <cellStyle name="20% - Accent1 3 2 2 5 2 3" xfId="30838" xr:uid="{00000000-0005-0000-0000-000040020000}"/>
    <cellStyle name="20% - Accent1 3 2 2 5 3" xfId="13887" xr:uid="{00000000-0005-0000-0000-000041020000}"/>
    <cellStyle name="20% - Accent1 3 2 2 5 3 2" xfId="36489" xr:uid="{00000000-0005-0000-0000-000042020000}"/>
    <cellStyle name="20% - Accent1 3 2 2 5 4" xfId="25188" xr:uid="{00000000-0005-0000-0000-000043020000}"/>
    <cellStyle name="20% - Accent1 3 2 2 6" xfId="4185" xr:uid="{00000000-0005-0000-0000-000044020000}"/>
    <cellStyle name="20% - Accent1 3 2 2 6 2" xfId="9835" xr:uid="{00000000-0005-0000-0000-000045020000}"/>
    <cellStyle name="20% - Accent1 3 2 2 6 2 2" xfId="21136" xr:uid="{00000000-0005-0000-0000-000046020000}"/>
    <cellStyle name="20% - Accent1 3 2 2 6 2 2 2" xfId="43738" xr:uid="{00000000-0005-0000-0000-000047020000}"/>
    <cellStyle name="20% - Accent1 3 2 2 6 2 3" xfId="32437" xr:uid="{00000000-0005-0000-0000-000048020000}"/>
    <cellStyle name="20% - Accent1 3 2 2 6 3" xfId="15486" xr:uid="{00000000-0005-0000-0000-000049020000}"/>
    <cellStyle name="20% - Accent1 3 2 2 6 3 2" xfId="38088" xr:uid="{00000000-0005-0000-0000-00004A020000}"/>
    <cellStyle name="20% - Accent1 3 2 2 6 4" xfId="26787" xr:uid="{00000000-0005-0000-0000-00004B020000}"/>
    <cellStyle name="20% - Accent1 3 2 2 7" xfId="6665" xr:uid="{00000000-0005-0000-0000-00004C020000}"/>
    <cellStyle name="20% - Accent1 3 2 2 7 2" xfId="17966" xr:uid="{00000000-0005-0000-0000-00004D020000}"/>
    <cellStyle name="20% - Accent1 3 2 2 7 2 2" xfId="40568" xr:uid="{00000000-0005-0000-0000-00004E020000}"/>
    <cellStyle name="20% - Accent1 3 2 2 7 3" xfId="29267" xr:uid="{00000000-0005-0000-0000-00004F020000}"/>
    <cellStyle name="20% - Accent1 3 2 2 8" xfId="12316" xr:uid="{00000000-0005-0000-0000-000050020000}"/>
    <cellStyle name="20% - Accent1 3 2 2 8 2" xfId="34918" xr:uid="{00000000-0005-0000-0000-000051020000}"/>
    <cellStyle name="20% - Accent1 3 2 2 9" xfId="23617" xr:uid="{00000000-0005-0000-0000-000052020000}"/>
    <cellStyle name="20% - Accent1 3 2 3" xfId="1172" xr:uid="{00000000-0005-0000-0000-000053020000}"/>
    <cellStyle name="20% - Accent1 3 2 3 2" xfId="1546" xr:uid="{00000000-0005-0000-0000-000054020000}"/>
    <cellStyle name="20% - Accent1 3 2 3 2 2" xfId="3240" xr:uid="{00000000-0005-0000-0000-000055020000}"/>
    <cellStyle name="20% - Accent1 3 2 3 2 2 2" xfId="6212" xr:uid="{00000000-0005-0000-0000-000056020000}"/>
    <cellStyle name="20% - Accent1 3 2 3 2 2 2 2" xfId="11862" xr:uid="{00000000-0005-0000-0000-000057020000}"/>
    <cellStyle name="20% - Accent1 3 2 3 2 2 2 2 2" xfId="23163" xr:uid="{00000000-0005-0000-0000-000058020000}"/>
    <cellStyle name="20% - Accent1 3 2 3 2 2 2 2 2 2" xfId="45765" xr:uid="{00000000-0005-0000-0000-000059020000}"/>
    <cellStyle name="20% - Accent1 3 2 3 2 2 2 2 3" xfId="34464" xr:uid="{00000000-0005-0000-0000-00005A020000}"/>
    <cellStyle name="20% - Accent1 3 2 3 2 2 2 3" xfId="17513" xr:uid="{00000000-0005-0000-0000-00005B020000}"/>
    <cellStyle name="20% - Accent1 3 2 3 2 2 2 3 2" xfId="40115" xr:uid="{00000000-0005-0000-0000-00005C020000}"/>
    <cellStyle name="20% - Accent1 3 2 3 2 2 2 4" xfId="28814" xr:uid="{00000000-0005-0000-0000-00005D020000}"/>
    <cellStyle name="20% - Accent1 3 2 3 2 2 3" xfId="9030" xr:uid="{00000000-0005-0000-0000-00005E020000}"/>
    <cellStyle name="20% - Accent1 3 2 3 2 2 3 2" xfId="20331" xr:uid="{00000000-0005-0000-0000-00005F020000}"/>
    <cellStyle name="20% - Accent1 3 2 3 2 2 3 2 2" xfId="42933" xr:uid="{00000000-0005-0000-0000-000060020000}"/>
    <cellStyle name="20% - Accent1 3 2 3 2 2 3 3" xfId="31632" xr:uid="{00000000-0005-0000-0000-000061020000}"/>
    <cellStyle name="20% - Accent1 3 2 3 2 2 4" xfId="14681" xr:uid="{00000000-0005-0000-0000-000062020000}"/>
    <cellStyle name="20% - Accent1 3 2 3 2 2 4 2" xfId="37283" xr:uid="{00000000-0005-0000-0000-000063020000}"/>
    <cellStyle name="20% - Accent1 3 2 3 2 2 5" xfId="25982" xr:uid="{00000000-0005-0000-0000-000064020000}"/>
    <cellStyle name="20% - Accent1 3 2 3 2 3" xfId="4978" xr:uid="{00000000-0005-0000-0000-000065020000}"/>
    <cellStyle name="20% - Accent1 3 2 3 2 3 2" xfId="10628" xr:uid="{00000000-0005-0000-0000-000066020000}"/>
    <cellStyle name="20% - Accent1 3 2 3 2 3 2 2" xfId="21929" xr:uid="{00000000-0005-0000-0000-000067020000}"/>
    <cellStyle name="20% - Accent1 3 2 3 2 3 2 2 2" xfId="44531" xr:uid="{00000000-0005-0000-0000-000068020000}"/>
    <cellStyle name="20% - Accent1 3 2 3 2 3 2 3" xfId="33230" xr:uid="{00000000-0005-0000-0000-000069020000}"/>
    <cellStyle name="20% - Accent1 3 2 3 2 3 3" xfId="16279" xr:uid="{00000000-0005-0000-0000-00006A020000}"/>
    <cellStyle name="20% - Accent1 3 2 3 2 3 3 2" xfId="38881" xr:uid="{00000000-0005-0000-0000-00006B020000}"/>
    <cellStyle name="20% - Accent1 3 2 3 2 3 4" xfId="27580" xr:uid="{00000000-0005-0000-0000-00006C020000}"/>
    <cellStyle name="20% - Accent1 3 2 3 2 4" xfId="7402" xr:uid="{00000000-0005-0000-0000-00006D020000}"/>
    <cellStyle name="20% - Accent1 3 2 3 2 4 2" xfId="18703" xr:uid="{00000000-0005-0000-0000-00006E020000}"/>
    <cellStyle name="20% - Accent1 3 2 3 2 4 2 2" xfId="41305" xr:uid="{00000000-0005-0000-0000-00006F020000}"/>
    <cellStyle name="20% - Accent1 3 2 3 2 4 3" xfId="30004" xr:uid="{00000000-0005-0000-0000-000070020000}"/>
    <cellStyle name="20% - Accent1 3 2 3 2 5" xfId="13053" xr:uid="{00000000-0005-0000-0000-000071020000}"/>
    <cellStyle name="20% - Accent1 3 2 3 2 5 2" xfId="35655" xr:uid="{00000000-0005-0000-0000-000072020000}"/>
    <cellStyle name="20% - Accent1 3 2 3 2 6" xfId="24354" xr:uid="{00000000-0005-0000-0000-000073020000}"/>
    <cellStyle name="20% - Accent1 3 2 3 3" xfId="2569" xr:uid="{00000000-0005-0000-0000-000074020000}"/>
    <cellStyle name="20% - Accent1 3 2 3 3 2" xfId="5588" xr:uid="{00000000-0005-0000-0000-000075020000}"/>
    <cellStyle name="20% - Accent1 3 2 3 3 2 2" xfId="11238" xr:uid="{00000000-0005-0000-0000-000076020000}"/>
    <cellStyle name="20% - Accent1 3 2 3 3 2 2 2" xfId="22539" xr:uid="{00000000-0005-0000-0000-000077020000}"/>
    <cellStyle name="20% - Accent1 3 2 3 3 2 2 2 2" xfId="45141" xr:uid="{00000000-0005-0000-0000-000078020000}"/>
    <cellStyle name="20% - Accent1 3 2 3 3 2 2 3" xfId="33840" xr:uid="{00000000-0005-0000-0000-000079020000}"/>
    <cellStyle name="20% - Accent1 3 2 3 3 2 3" xfId="16889" xr:uid="{00000000-0005-0000-0000-00007A020000}"/>
    <cellStyle name="20% - Accent1 3 2 3 3 2 3 2" xfId="39491" xr:uid="{00000000-0005-0000-0000-00007B020000}"/>
    <cellStyle name="20% - Accent1 3 2 3 3 2 4" xfId="28190" xr:uid="{00000000-0005-0000-0000-00007C020000}"/>
    <cellStyle name="20% - Accent1 3 2 3 3 3" xfId="8405" xr:uid="{00000000-0005-0000-0000-00007D020000}"/>
    <cellStyle name="20% - Accent1 3 2 3 3 3 2" xfId="19706" xr:uid="{00000000-0005-0000-0000-00007E020000}"/>
    <cellStyle name="20% - Accent1 3 2 3 3 3 2 2" xfId="42308" xr:uid="{00000000-0005-0000-0000-00007F020000}"/>
    <cellStyle name="20% - Accent1 3 2 3 3 3 3" xfId="31007" xr:uid="{00000000-0005-0000-0000-000080020000}"/>
    <cellStyle name="20% - Accent1 3 2 3 3 4" xfId="14056" xr:uid="{00000000-0005-0000-0000-000081020000}"/>
    <cellStyle name="20% - Accent1 3 2 3 3 4 2" xfId="36658" xr:uid="{00000000-0005-0000-0000-000082020000}"/>
    <cellStyle name="20% - Accent1 3 2 3 3 5" xfId="25357" xr:uid="{00000000-0005-0000-0000-000083020000}"/>
    <cellStyle name="20% - Accent1 3 2 3 4" xfId="4354" xr:uid="{00000000-0005-0000-0000-000084020000}"/>
    <cellStyle name="20% - Accent1 3 2 3 4 2" xfId="10004" xr:uid="{00000000-0005-0000-0000-000085020000}"/>
    <cellStyle name="20% - Accent1 3 2 3 4 2 2" xfId="21305" xr:uid="{00000000-0005-0000-0000-000086020000}"/>
    <cellStyle name="20% - Accent1 3 2 3 4 2 2 2" xfId="43907" xr:uid="{00000000-0005-0000-0000-000087020000}"/>
    <cellStyle name="20% - Accent1 3 2 3 4 2 3" xfId="32606" xr:uid="{00000000-0005-0000-0000-000088020000}"/>
    <cellStyle name="20% - Accent1 3 2 3 4 3" xfId="15655" xr:uid="{00000000-0005-0000-0000-000089020000}"/>
    <cellStyle name="20% - Accent1 3 2 3 4 3 2" xfId="38257" xr:uid="{00000000-0005-0000-0000-00008A020000}"/>
    <cellStyle name="20% - Accent1 3 2 3 4 4" xfId="26956" xr:uid="{00000000-0005-0000-0000-00008B020000}"/>
    <cellStyle name="20% - Accent1 3 2 3 5" xfId="7151" xr:uid="{00000000-0005-0000-0000-00008C020000}"/>
    <cellStyle name="20% - Accent1 3 2 3 5 2" xfId="18452" xr:uid="{00000000-0005-0000-0000-00008D020000}"/>
    <cellStyle name="20% - Accent1 3 2 3 5 2 2" xfId="41054" xr:uid="{00000000-0005-0000-0000-00008E020000}"/>
    <cellStyle name="20% - Accent1 3 2 3 5 3" xfId="29753" xr:uid="{00000000-0005-0000-0000-00008F020000}"/>
    <cellStyle name="20% - Accent1 3 2 3 6" xfId="12802" xr:uid="{00000000-0005-0000-0000-000090020000}"/>
    <cellStyle name="20% - Accent1 3 2 3 6 2" xfId="35404" xr:uid="{00000000-0005-0000-0000-000091020000}"/>
    <cellStyle name="20% - Accent1 3 2 3 7" xfId="24103" xr:uid="{00000000-0005-0000-0000-000092020000}"/>
    <cellStyle name="20% - Accent1 3 2 4" xfId="861" xr:uid="{00000000-0005-0000-0000-000093020000}"/>
    <cellStyle name="20% - Accent1 3 2 4 2" xfId="2933" xr:uid="{00000000-0005-0000-0000-000094020000}"/>
    <cellStyle name="20% - Accent1 3 2 4 2 2" xfId="5905" xr:uid="{00000000-0005-0000-0000-000095020000}"/>
    <cellStyle name="20% - Accent1 3 2 4 2 2 2" xfId="11555" xr:uid="{00000000-0005-0000-0000-000096020000}"/>
    <cellStyle name="20% - Accent1 3 2 4 2 2 2 2" xfId="22856" xr:uid="{00000000-0005-0000-0000-000097020000}"/>
    <cellStyle name="20% - Accent1 3 2 4 2 2 2 2 2" xfId="45458" xr:uid="{00000000-0005-0000-0000-000098020000}"/>
    <cellStyle name="20% - Accent1 3 2 4 2 2 2 3" xfId="34157" xr:uid="{00000000-0005-0000-0000-000099020000}"/>
    <cellStyle name="20% - Accent1 3 2 4 2 2 3" xfId="17206" xr:uid="{00000000-0005-0000-0000-00009A020000}"/>
    <cellStyle name="20% - Accent1 3 2 4 2 2 3 2" xfId="39808" xr:uid="{00000000-0005-0000-0000-00009B020000}"/>
    <cellStyle name="20% - Accent1 3 2 4 2 2 4" xfId="28507" xr:uid="{00000000-0005-0000-0000-00009C020000}"/>
    <cellStyle name="20% - Accent1 3 2 4 2 3" xfId="8723" xr:uid="{00000000-0005-0000-0000-00009D020000}"/>
    <cellStyle name="20% - Accent1 3 2 4 2 3 2" xfId="20024" xr:uid="{00000000-0005-0000-0000-00009E020000}"/>
    <cellStyle name="20% - Accent1 3 2 4 2 3 2 2" xfId="42626" xr:uid="{00000000-0005-0000-0000-00009F020000}"/>
    <cellStyle name="20% - Accent1 3 2 4 2 3 3" xfId="31325" xr:uid="{00000000-0005-0000-0000-0000A0020000}"/>
    <cellStyle name="20% - Accent1 3 2 4 2 4" xfId="14374" xr:uid="{00000000-0005-0000-0000-0000A1020000}"/>
    <cellStyle name="20% - Accent1 3 2 4 2 4 2" xfId="36976" xr:uid="{00000000-0005-0000-0000-0000A2020000}"/>
    <cellStyle name="20% - Accent1 3 2 4 2 5" xfId="25675" xr:uid="{00000000-0005-0000-0000-0000A3020000}"/>
    <cellStyle name="20% - Accent1 3 2 4 3" xfId="4671" xr:uid="{00000000-0005-0000-0000-0000A4020000}"/>
    <cellStyle name="20% - Accent1 3 2 4 3 2" xfId="10321" xr:uid="{00000000-0005-0000-0000-0000A5020000}"/>
    <cellStyle name="20% - Accent1 3 2 4 3 2 2" xfId="21622" xr:uid="{00000000-0005-0000-0000-0000A6020000}"/>
    <cellStyle name="20% - Accent1 3 2 4 3 2 2 2" xfId="44224" xr:uid="{00000000-0005-0000-0000-0000A7020000}"/>
    <cellStyle name="20% - Accent1 3 2 4 3 2 3" xfId="32923" xr:uid="{00000000-0005-0000-0000-0000A8020000}"/>
    <cellStyle name="20% - Accent1 3 2 4 3 3" xfId="15972" xr:uid="{00000000-0005-0000-0000-0000A9020000}"/>
    <cellStyle name="20% - Accent1 3 2 4 3 3 2" xfId="38574" xr:uid="{00000000-0005-0000-0000-0000AA020000}"/>
    <cellStyle name="20% - Accent1 3 2 4 3 4" xfId="27273" xr:uid="{00000000-0005-0000-0000-0000AB020000}"/>
    <cellStyle name="20% - Accent1 3 2 4 4" xfId="6858" xr:uid="{00000000-0005-0000-0000-0000AC020000}"/>
    <cellStyle name="20% - Accent1 3 2 4 4 2" xfId="18159" xr:uid="{00000000-0005-0000-0000-0000AD020000}"/>
    <cellStyle name="20% - Accent1 3 2 4 4 2 2" xfId="40761" xr:uid="{00000000-0005-0000-0000-0000AE020000}"/>
    <cellStyle name="20% - Accent1 3 2 4 4 3" xfId="29460" xr:uid="{00000000-0005-0000-0000-0000AF020000}"/>
    <cellStyle name="20% - Accent1 3 2 4 5" xfId="12509" xr:uid="{00000000-0005-0000-0000-0000B0020000}"/>
    <cellStyle name="20% - Accent1 3 2 4 5 2" xfId="35111" xr:uid="{00000000-0005-0000-0000-0000B1020000}"/>
    <cellStyle name="20% - Accent1 3 2 4 6" xfId="23810" xr:uid="{00000000-0005-0000-0000-0000B2020000}"/>
    <cellStyle name="20% - Accent1 3 2 5" xfId="1543" xr:uid="{00000000-0005-0000-0000-0000B3020000}"/>
    <cellStyle name="20% - Accent1 3 2 5 2" xfId="3502" xr:uid="{00000000-0005-0000-0000-0000B4020000}"/>
    <cellStyle name="20% - Accent1 3 2 5 2 2" xfId="9271" xr:uid="{00000000-0005-0000-0000-0000B5020000}"/>
    <cellStyle name="20% - Accent1 3 2 5 2 2 2" xfId="20572" xr:uid="{00000000-0005-0000-0000-0000B6020000}"/>
    <cellStyle name="20% - Accent1 3 2 5 2 2 2 2" xfId="43174" xr:uid="{00000000-0005-0000-0000-0000B7020000}"/>
    <cellStyle name="20% - Accent1 3 2 5 2 2 3" xfId="31873" xr:uid="{00000000-0005-0000-0000-0000B8020000}"/>
    <cellStyle name="20% - Accent1 3 2 5 2 3" xfId="14922" xr:uid="{00000000-0005-0000-0000-0000B9020000}"/>
    <cellStyle name="20% - Accent1 3 2 5 2 3 2" xfId="37524" xr:uid="{00000000-0005-0000-0000-0000BA020000}"/>
    <cellStyle name="20% - Accent1 3 2 5 2 4" xfId="26223" xr:uid="{00000000-0005-0000-0000-0000BB020000}"/>
    <cellStyle name="20% - Accent1 3 2 5 3" xfId="5281" xr:uid="{00000000-0005-0000-0000-0000BC020000}"/>
    <cellStyle name="20% - Accent1 3 2 5 3 2" xfId="10931" xr:uid="{00000000-0005-0000-0000-0000BD020000}"/>
    <cellStyle name="20% - Accent1 3 2 5 3 2 2" xfId="22232" xr:uid="{00000000-0005-0000-0000-0000BE020000}"/>
    <cellStyle name="20% - Accent1 3 2 5 3 2 2 2" xfId="44834" xr:uid="{00000000-0005-0000-0000-0000BF020000}"/>
    <cellStyle name="20% - Accent1 3 2 5 3 2 3" xfId="33533" xr:uid="{00000000-0005-0000-0000-0000C0020000}"/>
    <cellStyle name="20% - Accent1 3 2 5 3 3" xfId="16582" xr:uid="{00000000-0005-0000-0000-0000C1020000}"/>
    <cellStyle name="20% - Accent1 3 2 5 3 3 2" xfId="39184" xr:uid="{00000000-0005-0000-0000-0000C2020000}"/>
    <cellStyle name="20% - Accent1 3 2 5 3 4" xfId="27883" xr:uid="{00000000-0005-0000-0000-0000C3020000}"/>
    <cellStyle name="20% - Accent1 3 2 5 4" xfId="7399" xr:uid="{00000000-0005-0000-0000-0000C4020000}"/>
    <cellStyle name="20% - Accent1 3 2 5 4 2" xfId="18700" xr:uid="{00000000-0005-0000-0000-0000C5020000}"/>
    <cellStyle name="20% - Accent1 3 2 5 4 2 2" xfId="41302" xr:uid="{00000000-0005-0000-0000-0000C6020000}"/>
    <cellStyle name="20% - Accent1 3 2 5 4 3" xfId="30001" xr:uid="{00000000-0005-0000-0000-0000C7020000}"/>
    <cellStyle name="20% - Accent1 3 2 5 5" xfId="13050" xr:uid="{00000000-0005-0000-0000-0000C8020000}"/>
    <cellStyle name="20% - Accent1 3 2 5 5 2" xfId="35652" xr:uid="{00000000-0005-0000-0000-0000C9020000}"/>
    <cellStyle name="20% - Accent1 3 2 5 6" xfId="24351" xr:uid="{00000000-0005-0000-0000-0000CA020000}"/>
    <cellStyle name="20% - Accent1 3 2 6" xfId="2259" xr:uid="{00000000-0005-0000-0000-0000CB020000}"/>
    <cellStyle name="20% - Accent1 3 2 6 2" xfId="8095" xr:uid="{00000000-0005-0000-0000-0000CC020000}"/>
    <cellStyle name="20% - Accent1 3 2 6 2 2" xfId="19396" xr:uid="{00000000-0005-0000-0000-0000CD020000}"/>
    <cellStyle name="20% - Accent1 3 2 6 2 2 2" xfId="41998" xr:uid="{00000000-0005-0000-0000-0000CE020000}"/>
    <cellStyle name="20% - Accent1 3 2 6 2 3" xfId="30697" xr:uid="{00000000-0005-0000-0000-0000CF020000}"/>
    <cellStyle name="20% - Accent1 3 2 6 3" xfId="13746" xr:uid="{00000000-0005-0000-0000-0000D0020000}"/>
    <cellStyle name="20% - Accent1 3 2 6 3 2" xfId="36348" xr:uid="{00000000-0005-0000-0000-0000D1020000}"/>
    <cellStyle name="20% - Accent1 3 2 6 4" xfId="25047" xr:uid="{00000000-0005-0000-0000-0000D2020000}"/>
    <cellStyle name="20% - Accent1 3 2 7" xfId="4047" xr:uid="{00000000-0005-0000-0000-0000D3020000}"/>
    <cellStyle name="20% - Accent1 3 2 7 2" xfId="9697" xr:uid="{00000000-0005-0000-0000-0000D4020000}"/>
    <cellStyle name="20% - Accent1 3 2 7 2 2" xfId="20998" xr:uid="{00000000-0005-0000-0000-0000D5020000}"/>
    <cellStyle name="20% - Accent1 3 2 7 2 2 2" xfId="43600" xr:uid="{00000000-0005-0000-0000-0000D6020000}"/>
    <cellStyle name="20% - Accent1 3 2 7 2 3" xfId="32299" xr:uid="{00000000-0005-0000-0000-0000D7020000}"/>
    <cellStyle name="20% - Accent1 3 2 7 3" xfId="15348" xr:uid="{00000000-0005-0000-0000-0000D8020000}"/>
    <cellStyle name="20% - Accent1 3 2 7 3 2" xfId="37950" xr:uid="{00000000-0005-0000-0000-0000D9020000}"/>
    <cellStyle name="20% - Accent1 3 2 7 4" xfId="26649" xr:uid="{00000000-0005-0000-0000-0000DA020000}"/>
    <cellStyle name="20% - Accent1 3 2 8" xfId="6498" xr:uid="{00000000-0005-0000-0000-0000DB020000}"/>
    <cellStyle name="20% - Accent1 3 2 8 2" xfId="17799" xr:uid="{00000000-0005-0000-0000-0000DC020000}"/>
    <cellStyle name="20% - Accent1 3 2 8 2 2" xfId="40401" xr:uid="{00000000-0005-0000-0000-0000DD020000}"/>
    <cellStyle name="20% - Accent1 3 2 8 3" xfId="29100" xr:uid="{00000000-0005-0000-0000-0000DE020000}"/>
    <cellStyle name="20% - Accent1 3 2 9" xfId="12149" xr:uid="{00000000-0005-0000-0000-0000DF020000}"/>
    <cellStyle name="20% - Accent1 3 2 9 2" xfId="34751" xr:uid="{00000000-0005-0000-0000-0000E0020000}"/>
    <cellStyle name="20% - Accent1 3 3" xfId="404" xr:uid="{00000000-0005-0000-0000-0000E1020000}"/>
    <cellStyle name="20% - Accent1 3 3 10" xfId="23499" xr:uid="{00000000-0005-0000-0000-0000E2020000}"/>
    <cellStyle name="20% - Accent1 3 3 2" xfId="649" xr:uid="{00000000-0005-0000-0000-0000E3020000}"/>
    <cellStyle name="20% - Accent1 3 3 2 2" xfId="1359" xr:uid="{00000000-0005-0000-0000-0000E4020000}"/>
    <cellStyle name="20% - Accent1 3 3 2 2 2" xfId="1549" xr:uid="{00000000-0005-0000-0000-0000E5020000}"/>
    <cellStyle name="20% - Accent1 3 3 2 2 2 2" xfId="3428" xr:uid="{00000000-0005-0000-0000-0000E6020000}"/>
    <cellStyle name="20% - Accent1 3 3 2 2 2 2 2" xfId="6400" xr:uid="{00000000-0005-0000-0000-0000E7020000}"/>
    <cellStyle name="20% - Accent1 3 3 2 2 2 2 2 2" xfId="12050" xr:uid="{00000000-0005-0000-0000-0000E8020000}"/>
    <cellStyle name="20% - Accent1 3 3 2 2 2 2 2 2 2" xfId="23351" xr:uid="{00000000-0005-0000-0000-0000E9020000}"/>
    <cellStyle name="20% - Accent1 3 3 2 2 2 2 2 2 2 2" xfId="45953" xr:uid="{00000000-0005-0000-0000-0000EA020000}"/>
    <cellStyle name="20% - Accent1 3 3 2 2 2 2 2 2 3" xfId="34652" xr:uid="{00000000-0005-0000-0000-0000EB020000}"/>
    <cellStyle name="20% - Accent1 3 3 2 2 2 2 2 3" xfId="17701" xr:uid="{00000000-0005-0000-0000-0000EC020000}"/>
    <cellStyle name="20% - Accent1 3 3 2 2 2 2 2 3 2" xfId="40303" xr:uid="{00000000-0005-0000-0000-0000ED020000}"/>
    <cellStyle name="20% - Accent1 3 3 2 2 2 2 2 4" xfId="29002" xr:uid="{00000000-0005-0000-0000-0000EE020000}"/>
    <cellStyle name="20% - Accent1 3 3 2 2 2 2 3" xfId="9218" xr:uid="{00000000-0005-0000-0000-0000EF020000}"/>
    <cellStyle name="20% - Accent1 3 3 2 2 2 2 3 2" xfId="20519" xr:uid="{00000000-0005-0000-0000-0000F0020000}"/>
    <cellStyle name="20% - Accent1 3 3 2 2 2 2 3 2 2" xfId="43121" xr:uid="{00000000-0005-0000-0000-0000F1020000}"/>
    <cellStyle name="20% - Accent1 3 3 2 2 2 2 3 3" xfId="31820" xr:uid="{00000000-0005-0000-0000-0000F2020000}"/>
    <cellStyle name="20% - Accent1 3 3 2 2 2 2 4" xfId="14869" xr:uid="{00000000-0005-0000-0000-0000F3020000}"/>
    <cellStyle name="20% - Accent1 3 3 2 2 2 2 4 2" xfId="37471" xr:uid="{00000000-0005-0000-0000-0000F4020000}"/>
    <cellStyle name="20% - Accent1 3 3 2 2 2 2 5" xfId="26170" xr:uid="{00000000-0005-0000-0000-0000F5020000}"/>
    <cellStyle name="20% - Accent1 3 3 2 2 2 3" xfId="5166" xr:uid="{00000000-0005-0000-0000-0000F6020000}"/>
    <cellStyle name="20% - Accent1 3 3 2 2 2 3 2" xfId="10816" xr:uid="{00000000-0005-0000-0000-0000F7020000}"/>
    <cellStyle name="20% - Accent1 3 3 2 2 2 3 2 2" xfId="22117" xr:uid="{00000000-0005-0000-0000-0000F8020000}"/>
    <cellStyle name="20% - Accent1 3 3 2 2 2 3 2 2 2" xfId="44719" xr:uid="{00000000-0005-0000-0000-0000F9020000}"/>
    <cellStyle name="20% - Accent1 3 3 2 2 2 3 2 3" xfId="33418" xr:uid="{00000000-0005-0000-0000-0000FA020000}"/>
    <cellStyle name="20% - Accent1 3 3 2 2 2 3 3" xfId="16467" xr:uid="{00000000-0005-0000-0000-0000FB020000}"/>
    <cellStyle name="20% - Accent1 3 3 2 2 2 3 3 2" xfId="39069" xr:uid="{00000000-0005-0000-0000-0000FC020000}"/>
    <cellStyle name="20% - Accent1 3 3 2 2 2 3 4" xfId="27768" xr:uid="{00000000-0005-0000-0000-0000FD020000}"/>
    <cellStyle name="20% - Accent1 3 3 2 2 2 4" xfId="7405" xr:uid="{00000000-0005-0000-0000-0000FE020000}"/>
    <cellStyle name="20% - Accent1 3 3 2 2 2 4 2" xfId="18706" xr:uid="{00000000-0005-0000-0000-0000FF020000}"/>
    <cellStyle name="20% - Accent1 3 3 2 2 2 4 2 2" xfId="41308" xr:uid="{00000000-0005-0000-0000-000000030000}"/>
    <cellStyle name="20% - Accent1 3 3 2 2 2 4 3" xfId="30007" xr:uid="{00000000-0005-0000-0000-000001030000}"/>
    <cellStyle name="20% - Accent1 3 3 2 2 2 5" xfId="13056" xr:uid="{00000000-0005-0000-0000-000002030000}"/>
    <cellStyle name="20% - Accent1 3 3 2 2 2 5 2" xfId="35658" xr:uid="{00000000-0005-0000-0000-000003030000}"/>
    <cellStyle name="20% - Accent1 3 3 2 2 2 6" xfId="24357" xr:uid="{00000000-0005-0000-0000-000004030000}"/>
    <cellStyle name="20% - Accent1 3 3 2 2 3" xfId="2757" xr:uid="{00000000-0005-0000-0000-000005030000}"/>
    <cellStyle name="20% - Accent1 3 3 2 2 3 2" xfId="5776" xr:uid="{00000000-0005-0000-0000-000006030000}"/>
    <cellStyle name="20% - Accent1 3 3 2 2 3 2 2" xfId="11426" xr:uid="{00000000-0005-0000-0000-000007030000}"/>
    <cellStyle name="20% - Accent1 3 3 2 2 3 2 2 2" xfId="22727" xr:uid="{00000000-0005-0000-0000-000008030000}"/>
    <cellStyle name="20% - Accent1 3 3 2 2 3 2 2 2 2" xfId="45329" xr:uid="{00000000-0005-0000-0000-000009030000}"/>
    <cellStyle name="20% - Accent1 3 3 2 2 3 2 2 3" xfId="34028" xr:uid="{00000000-0005-0000-0000-00000A030000}"/>
    <cellStyle name="20% - Accent1 3 3 2 2 3 2 3" xfId="17077" xr:uid="{00000000-0005-0000-0000-00000B030000}"/>
    <cellStyle name="20% - Accent1 3 3 2 2 3 2 3 2" xfId="39679" xr:uid="{00000000-0005-0000-0000-00000C030000}"/>
    <cellStyle name="20% - Accent1 3 3 2 2 3 2 4" xfId="28378" xr:uid="{00000000-0005-0000-0000-00000D030000}"/>
    <cellStyle name="20% - Accent1 3 3 2 2 3 3" xfId="8593" xr:uid="{00000000-0005-0000-0000-00000E030000}"/>
    <cellStyle name="20% - Accent1 3 3 2 2 3 3 2" xfId="19894" xr:uid="{00000000-0005-0000-0000-00000F030000}"/>
    <cellStyle name="20% - Accent1 3 3 2 2 3 3 2 2" xfId="42496" xr:uid="{00000000-0005-0000-0000-000010030000}"/>
    <cellStyle name="20% - Accent1 3 3 2 2 3 3 3" xfId="31195" xr:uid="{00000000-0005-0000-0000-000011030000}"/>
    <cellStyle name="20% - Accent1 3 3 2 2 3 4" xfId="14244" xr:uid="{00000000-0005-0000-0000-000012030000}"/>
    <cellStyle name="20% - Accent1 3 3 2 2 3 4 2" xfId="36846" xr:uid="{00000000-0005-0000-0000-000013030000}"/>
    <cellStyle name="20% - Accent1 3 3 2 2 3 5" xfId="25545" xr:uid="{00000000-0005-0000-0000-000014030000}"/>
    <cellStyle name="20% - Accent1 3 3 2 2 4" xfId="4542" xr:uid="{00000000-0005-0000-0000-000015030000}"/>
    <cellStyle name="20% - Accent1 3 3 2 2 4 2" xfId="10192" xr:uid="{00000000-0005-0000-0000-000016030000}"/>
    <cellStyle name="20% - Accent1 3 3 2 2 4 2 2" xfId="21493" xr:uid="{00000000-0005-0000-0000-000017030000}"/>
    <cellStyle name="20% - Accent1 3 3 2 2 4 2 2 2" xfId="44095" xr:uid="{00000000-0005-0000-0000-000018030000}"/>
    <cellStyle name="20% - Accent1 3 3 2 2 4 2 3" xfId="32794" xr:uid="{00000000-0005-0000-0000-000019030000}"/>
    <cellStyle name="20% - Accent1 3 3 2 2 4 3" xfId="15843" xr:uid="{00000000-0005-0000-0000-00001A030000}"/>
    <cellStyle name="20% - Accent1 3 3 2 2 4 3 2" xfId="38445" xr:uid="{00000000-0005-0000-0000-00001B030000}"/>
    <cellStyle name="20% - Accent1 3 3 2 2 4 4" xfId="27144" xr:uid="{00000000-0005-0000-0000-00001C030000}"/>
    <cellStyle name="20% - Accent1 3 3 2 2 5" xfId="7338" xr:uid="{00000000-0005-0000-0000-00001D030000}"/>
    <cellStyle name="20% - Accent1 3 3 2 2 5 2" xfId="18639" xr:uid="{00000000-0005-0000-0000-00001E030000}"/>
    <cellStyle name="20% - Accent1 3 3 2 2 5 2 2" xfId="41241" xr:uid="{00000000-0005-0000-0000-00001F030000}"/>
    <cellStyle name="20% - Accent1 3 3 2 2 5 3" xfId="29940" xr:uid="{00000000-0005-0000-0000-000020030000}"/>
    <cellStyle name="20% - Accent1 3 3 2 2 6" xfId="12989" xr:uid="{00000000-0005-0000-0000-000021030000}"/>
    <cellStyle name="20% - Accent1 3 3 2 2 6 2" xfId="35591" xr:uid="{00000000-0005-0000-0000-000022030000}"/>
    <cellStyle name="20% - Accent1 3 3 2 2 7" xfId="24290" xr:uid="{00000000-0005-0000-0000-000023030000}"/>
    <cellStyle name="20% - Accent1 3 3 2 3" xfId="1057" xr:uid="{00000000-0005-0000-0000-000024030000}"/>
    <cellStyle name="20% - Accent1 3 3 2 3 2" xfId="3120" xr:uid="{00000000-0005-0000-0000-000025030000}"/>
    <cellStyle name="20% - Accent1 3 3 2 3 2 2" xfId="6092" xr:uid="{00000000-0005-0000-0000-000026030000}"/>
    <cellStyle name="20% - Accent1 3 3 2 3 2 2 2" xfId="11742" xr:uid="{00000000-0005-0000-0000-000027030000}"/>
    <cellStyle name="20% - Accent1 3 3 2 3 2 2 2 2" xfId="23043" xr:uid="{00000000-0005-0000-0000-000028030000}"/>
    <cellStyle name="20% - Accent1 3 3 2 3 2 2 2 2 2" xfId="45645" xr:uid="{00000000-0005-0000-0000-000029030000}"/>
    <cellStyle name="20% - Accent1 3 3 2 3 2 2 2 3" xfId="34344" xr:uid="{00000000-0005-0000-0000-00002A030000}"/>
    <cellStyle name="20% - Accent1 3 3 2 3 2 2 3" xfId="17393" xr:uid="{00000000-0005-0000-0000-00002B030000}"/>
    <cellStyle name="20% - Accent1 3 3 2 3 2 2 3 2" xfId="39995" xr:uid="{00000000-0005-0000-0000-00002C030000}"/>
    <cellStyle name="20% - Accent1 3 3 2 3 2 2 4" xfId="28694" xr:uid="{00000000-0005-0000-0000-00002D030000}"/>
    <cellStyle name="20% - Accent1 3 3 2 3 2 3" xfId="8910" xr:uid="{00000000-0005-0000-0000-00002E030000}"/>
    <cellStyle name="20% - Accent1 3 3 2 3 2 3 2" xfId="20211" xr:uid="{00000000-0005-0000-0000-00002F030000}"/>
    <cellStyle name="20% - Accent1 3 3 2 3 2 3 2 2" xfId="42813" xr:uid="{00000000-0005-0000-0000-000030030000}"/>
    <cellStyle name="20% - Accent1 3 3 2 3 2 3 3" xfId="31512" xr:uid="{00000000-0005-0000-0000-000031030000}"/>
    <cellStyle name="20% - Accent1 3 3 2 3 2 4" xfId="14561" xr:uid="{00000000-0005-0000-0000-000032030000}"/>
    <cellStyle name="20% - Accent1 3 3 2 3 2 4 2" xfId="37163" xr:uid="{00000000-0005-0000-0000-000033030000}"/>
    <cellStyle name="20% - Accent1 3 3 2 3 2 5" xfId="25862" xr:uid="{00000000-0005-0000-0000-000034030000}"/>
    <cellStyle name="20% - Accent1 3 3 2 3 3" xfId="4858" xr:uid="{00000000-0005-0000-0000-000035030000}"/>
    <cellStyle name="20% - Accent1 3 3 2 3 3 2" xfId="10508" xr:uid="{00000000-0005-0000-0000-000036030000}"/>
    <cellStyle name="20% - Accent1 3 3 2 3 3 2 2" xfId="21809" xr:uid="{00000000-0005-0000-0000-000037030000}"/>
    <cellStyle name="20% - Accent1 3 3 2 3 3 2 2 2" xfId="44411" xr:uid="{00000000-0005-0000-0000-000038030000}"/>
    <cellStyle name="20% - Accent1 3 3 2 3 3 2 3" xfId="33110" xr:uid="{00000000-0005-0000-0000-000039030000}"/>
    <cellStyle name="20% - Accent1 3 3 2 3 3 3" xfId="16159" xr:uid="{00000000-0005-0000-0000-00003A030000}"/>
    <cellStyle name="20% - Accent1 3 3 2 3 3 3 2" xfId="38761" xr:uid="{00000000-0005-0000-0000-00003B030000}"/>
    <cellStyle name="20% - Accent1 3 3 2 3 3 4" xfId="27460" xr:uid="{00000000-0005-0000-0000-00003C030000}"/>
    <cellStyle name="20% - Accent1 3 3 2 3 4" xfId="7045" xr:uid="{00000000-0005-0000-0000-00003D030000}"/>
    <cellStyle name="20% - Accent1 3 3 2 3 4 2" xfId="18346" xr:uid="{00000000-0005-0000-0000-00003E030000}"/>
    <cellStyle name="20% - Accent1 3 3 2 3 4 2 2" xfId="40948" xr:uid="{00000000-0005-0000-0000-00003F030000}"/>
    <cellStyle name="20% - Accent1 3 3 2 3 4 3" xfId="29647" xr:uid="{00000000-0005-0000-0000-000040030000}"/>
    <cellStyle name="20% - Accent1 3 3 2 3 5" xfId="12696" xr:uid="{00000000-0005-0000-0000-000041030000}"/>
    <cellStyle name="20% - Accent1 3 3 2 3 5 2" xfId="35298" xr:uid="{00000000-0005-0000-0000-000042030000}"/>
    <cellStyle name="20% - Accent1 3 3 2 3 6" xfId="23997" xr:uid="{00000000-0005-0000-0000-000043030000}"/>
    <cellStyle name="20% - Accent1 3 3 2 4" xfId="1548" xr:uid="{00000000-0005-0000-0000-000044030000}"/>
    <cellStyle name="20% - Accent1 3 3 2 4 2" xfId="3571" xr:uid="{00000000-0005-0000-0000-000045030000}"/>
    <cellStyle name="20% - Accent1 3 3 2 4 2 2" xfId="9300" xr:uid="{00000000-0005-0000-0000-000046030000}"/>
    <cellStyle name="20% - Accent1 3 3 2 4 2 2 2" xfId="20601" xr:uid="{00000000-0005-0000-0000-000047030000}"/>
    <cellStyle name="20% - Accent1 3 3 2 4 2 2 2 2" xfId="43203" xr:uid="{00000000-0005-0000-0000-000048030000}"/>
    <cellStyle name="20% - Accent1 3 3 2 4 2 2 3" xfId="31902" xr:uid="{00000000-0005-0000-0000-000049030000}"/>
    <cellStyle name="20% - Accent1 3 3 2 4 2 3" xfId="14951" xr:uid="{00000000-0005-0000-0000-00004A030000}"/>
    <cellStyle name="20% - Accent1 3 3 2 4 2 3 2" xfId="37553" xr:uid="{00000000-0005-0000-0000-00004B030000}"/>
    <cellStyle name="20% - Accent1 3 3 2 4 2 4" xfId="26252" xr:uid="{00000000-0005-0000-0000-00004C030000}"/>
    <cellStyle name="20% - Accent1 3 3 2 4 3" xfId="5468" xr:uid="{00000000-0005-0000-0000-00004D030000}"/>
    <cellStyle name="20% - Accent1 3 3 2 4 3 2" xfId="11118" xr:uid="{00000000-0005-0000-0000-00004E030000}"/>
    <cellStyle name="20% - Accent1 3 3 2 4 3 2 2" xfId="22419" xr:uid="{00000000-0005-0000-0000-00004F030000}"/>
    <cellStyle name="20% - Accent1 3 3 2 4 3 2 2 2" xfId="45021" xr:uid="{00000000-0005-0000-0000-000050030000}"/>
    <cellStyle name="20% - Accent1 3 3 2 4 3 2 3" xfId="33720" xr:uid="{00000000-0005-0000-0000-000051030000}"/>
    <cellStyle name="20% - Accent1 3 3 2 4 3 3" xfId="16769" xr:uid="{00000000-0005-0000-0000-000052030000}"/>
    <cellStyle name="20% - Accent1 3 3 2 4 3 3 2" xfId="39371" xr:uid="{00000000-0005-0000-0000-000053030000}"/>
    <cellStyle name="20% - Accent1 3 3 2 4 3 4" xfId="28070" xr:uid="{00000000-0005-0000-0000-000054030000}"/>
    <cellStyle name="20% - Accent1 3 3 2 4 4" xfId="7404" xr:uid="{00000000-0005-0000-0000-000055030000}"/>
    <cellStyle name="20% - Accent1 3 3 2 4 4 2" xfId="18705" xr:uid="{00000000-0005-0000-0000-000056030000}"/>
    <cellStyle name="20% - Accent1 3 3 2 4 4 2 2" xfId="41307" xr:uid="{00000000-0005-0000-0000-000057030000}"/>
    <cellStyle name="20% - Accent1 3 3 2 4 4 3" xfId="30006" xr:uid="{00000000-0005-0000-0000-000058030000}"/>
    <cellStyle name="20% - Accent1 3 3 2 4 5" xfId="13055" xr:uid="{00000000-0005-0000-0000-000059030000}"/>
    <cellStyle name="20% - Accent1 3 3 2 4 5 2" xfId="35657" xr:uid="{00000000-0005-0000-0000-00005A030000}"/>
    <cellStyle name="20% - Accent1 3 3 2 4 6" xfId="24356" xr:uid="{00000000-0005-0000-0000-00005B030000}"/>
    <cellStyle name="20% - Accent1 3 3 2 5" xfId="2449" xr:uid="{00000000-0005-0000-0000-00005C030000}"/>
    <cellStyle name="20% - Accent1 3 3 2 5 2" xfId="8285" xr:uid="{00000000-0005-0000-0000-00005D030000}"/>
    <cellStyle name="20% - Accent1 3 3 2 5 2 2" xfId="19586" xr:uid="{00000000-0005-0000-0000-00005E030000}"/>
    <cellStyle name="20% - Accent1 3 3 2 5 2 2 2" xfId="42188" xr:uid="{00000000-0005-0000-0000-00005F030000}"/>
    <cellStyle name="20% - Accent1 3 3 2 5 2 3" xfId="30887" xr:uid="{00000000-0005-0000-0000-000060030000}"/>
    <cellStyle name="20% - Accent1 3 3 2 5 3" xfId="13936" xr:uid="{00000000-0005-0000-0000-000061030000}"/>
    <cellStyle name="20% - Accent1 3 3 2 5 3 2" xfId="36538" xr:uid="{00000000-0005-0000-0000-000062030000}"/>
    <cellStyle name="20% - Accent1 3 3 2 5 4" xfId="25237" xr:uid="{00000000-0005-0000-0000-000063030000}"/>
    <cellStyle name="20% - Accent1 3 3 2 6" xfId="4234" xr:uid="{00000000-0005-0000-0000-000064030000}"/>
    <cellStyle name="20% - Accent1 3 3 2 6 2" xfId="9884" xr:uid="{00000000-0005-0000-0000-000065030000}"/>
    <cellStyle name="20% - Accent1 3 3 2 6 2 2" xfId="21185" xr:uid="{00000000-0005-0000-0000-000066030000}"/>
    <cellStyle name="20% - Accent1 3 3 2 6 2 2 2" xfId="43787" xr:uid="{00000000-0005-0000-0000-000067030000}"/>
    <cellStyle name="20% - Accent1 3 3 2 6 2 3" xfId="32486" xr:uid="{00000000-0005-0000-0000-000068030000}"/>
    <cellStyle name="20% - Accent1 3 3 2 6 3" xfId="15535" xr:uid="{00000000-0005-0000-0000-000069030000}"/>
    <cellStyle name="20% - Accent1 3 3 2 6 3 2" xfId="38137" xr:uid="{00000000-0005-0000-0000-00006A030000}"/>
    <cellStyle name="20% - Accent1 3 3 2 6 4" xfId="26836" xr:uid="{00000000-0005-0000-0000-00006B030000}"/>
    <cellStyle name="20% - Accent1 3 3 2 7" xfId="6714" xr:uid="{00000000-0005-0000-0000-00006C030000}"/>
    <cellStyle name="20% - Accent1 3 3 2 7 2" xfId="18015" xr:uid="{00000000-0005-0000-0000-00006D030000}"/>
    <cellStyle name="20% - Accent1 3 3 2 7 2 2" xfId="40617" xr:uid="{00000000-0005-0000-0000-00006E030000}"/>
    <cellStyle name="20% - Accent1 3 3 2 7 3" xfId="29316" xr:uid="{00000000-0005-0000-0000-00006F030000}"/>
    <cellStyle name="20% - Accent1 3 3 2 8" xfId="12365" xr:uid="{00000000-0005-0000-0000-000070030000}"/>
    <cellStyle name="20% - Accent1 3 3 2 8 2" xfId="34967" xr:uid="{00000000-0005-0000-0000-000071030000}"/>
    <cellStyle name="20% - Accent1 3 3 2 9" xfId="23666" xr:uid="{00000000-0005-0000-0000-000072030000}"/>
    <cellStyle name="20% - Accent1 3 3 3" xfId="1221" xr:uid="{00000000-0005-0000-0000-000073030000}"/>
    <cellStyle name="20% - Accent1 3 3 3 2" xfId="1550" xr:uid="{00000000-0005-0000-0000-000074030000}"/>
    <cellStyle name="20% - Accent1 3 3 3 2 2" xfId="3289" xr:uid="{00000000-0005-0000-0000-000075030000}"/>
    <cellStyle name="20% - Accent1 3 3 3 2 2 2" xfId="6261" xr:uid="{00000000-0005-0000-0000-000076030000}"/>
    <cellStyle name="20% - Accent1 3 3 3 2 2 2 2" xfId="11911" xr:uid="{00000000-0005-0000-0000-000077030000}"/>
    <cellStyle name="20% - Accent1 3 3 3 2 2 2 2 2" xfId="23212" xr:uid="{00000000-0005-0000-0000-000078030000}"/>
    <cellStyle name="20% - Accent1 3 3 3 2 2 2 2 2 2" xfId="45814" xr:uid="{00000000-0005-0000-0000-000079030000}"/>
    <cellStyle name="20% - Accent1 3 3 3 2 2 2 2 3" xfId="34513" xr:uid="{00000000-0005-0000-0000-00007A030000}"/>
    <cellStyle name="20% - Accent1 3 3 3 2 2 2 3" xfId="17562" xr:uid="{00000000-0005-0000-0000-00007B030000}"/>
    <cellStyle name="20% - Accent1 3 3 3 2 2 2 3 2" xfId="40164" xr:uid="{00000000-0005-0000-0000-00007C030000}"/>
    <cellStyle name="20% - Accent1 3 3 3 2 2 2 4" xfId="28863" xr:uid="{00000000-0005-0000-0000-00007D030000}"/>
    <cellStyle name="20% - Accent1 3 3 3 2 2 3" xfId="9079" xr:uid="{00000000-0005-0000-0000-00007E030000}"/>
    <cellStyle name="20% - Accent1 3 3 3 2 2 3 2" xfId="20380" xr:uid="{00000000-0005-0000-0000-00007F030000}"/>
    <cellStyle name="20% - Accent1 3 3 3 2 2 3 2 2" xfId="42982" xr:uid="{00000000-0005-0000-0000-000080030000}"/>
    <cellStyle name="20% - Accent1 3 3 3 2 2 3 3" xfId="31681" xr:uid="{00000000-0005-0000-0000-000081030000}"/>
    <cellStyle name="20% - Accent1 3 3 3 2 2 4" xfId="14730" xr:uid="{00000000-0005-0000-0000-000082030000}"/>
    <cellStyle name="20% - Accent1 3 3 3 2 2 4 2" xfId="37332" xr:uid="{00000000-0005-0000-0000-000083030000}"/>
    <cellStyle name="20% - Accent1 3 3 3 2 2 5" xfId="26031" xr:uid="{00000000-0005-0000-0000-000084030000}"/>
    <cellStyle name="20% - Accent1 3 3 3 2 3" xfId="5027" xr:uid="{00000000-0005-0000-0000-000085030000}"/>
    <cellStyle name="20% - Accent1 3 3 3 2 3 2" xfId="10677" xr:uid="{00000000-0005-0000-0000-000086030000}"/>
    <cellStyle name="20% - Accent1 3 3 3 2 3 2 2" xfId="21978" xr:uid="{00000000-0005-0000-0000-000087030000}"/>
    <cellStyle name="20% - Accent1 3 3 3 2 3 2 2 2" xfId="44580" xr:uid="{00000000-0005-0000-0000-000088030000}"/>
    <cellStyle name="20% - Accent1 3 3 3 2 3 2 3" xfId="33279" xr:uid="{00000000-0005-0000-0000-000089030000}"/>
    <cellStyle name="20% - Accent1 3 3 3 2 3 3" xfId="16328" xr:uid="{00000000-0005-0000-0000-00008A030000}"/>
    <cellStyle name="20% - Accent1 3 3 3 2 3 3 2" xfId="38930" xr:uid="{00000000-0005-0000-0000-00008B030000}"/>
    <cellStyle name="20% - Accent1 3 3 3 2 3 4" xfId="27629" xr:uid="{00000000-0005-0000-0000-00008C030000}"/>
    <cellStyle name="20% - Accent1 3 3 3 2 4" xfId="7406" xr:uid="{00000000-0005-0000-0000-00008D030000}"/>
    <cellStyle name="20% - Accent1 3 3 3 2 4 2" xfId="18707" xr:uid="{00000000-0005-0000-0000-00008E030000}"/>
    <cellStyle name="20% - Accent1 3 3 3 2 4 2 2" xfId="41309" xr:uid="{00000000-0005-0000-0000-00008F030000}"/>
    <cellStyle name="20% - Accent1 3 3 3 2 4 3" xfId="30008" xr:uid="{00000000-0005-0000-0000-000090030000}"/>
    <cellStyle name="20% - Accent1 3 3 3 2 5" xfId="13057" xr:uid="{00000000-0005-0000-0000-000091030000}"/>
    <cellStyle name="20% - Accent1 3 3 3 2 5 2" xfId="35659" xr:uid="{00000000-0005-0000-0000-000092030000}"/>
    <cellStyle name="20% - Accent1 3 3 3 2 6" xfId="24358" xr:uid="{00000000-0005-0000-0000-000093030000}"/>
    <cellStyle name="20% - Accent1 3 3 3 3" xfId="2618" xr:uid="{00000000-0005-0000-0000-000094030000}"/>
    <cellStyle name="20% - Accent1 3 3 3 3 2" xfId="5637" xr:uid="{00000000-0005-0000-0000-000095030000}"/>
    <cellStyle name="20% - Accent1 3 3 3 3 2 2" xfId="11287" xr:uid="{00000000-0005-0000-0000-000096030000}"/>
    <cellStyle name="20% - Accent1 3 3 3 3 2 2 2" xfId="22588" xr:uid="{00000000-0005-0000-0000-000097030000}"/>
    <cellStyle name="20% - Accent1 3 3 3 3 2 2 2 2" xfId="45190" xr:uid="{00000000-0005-0000-0000-000098030000}"/>
    <cellStyle name="20% - Accent1 3 3 3 3 2 2 3" xfId="33889" xr:uid="{00000000-0005-0000-0000-000099030000}"/>
    <cellStyle name="20% - Accent1 3 3 3 3 2 3" xfId="16938" xr:uid="{00000000-0005-0000-0000-00009A030000}"/>
    <cellStyle name="20% - Accent1 3 3 3 3 2 3 2" xfId="39540" xr:uid="{00000000-0005-0000-0000-00009B030000}"/>
    <cellStyle name="20% - Accent1 3 3 3 3 2 4" xfId="28239" xr:uid="{00000000-0005-0000-0000-00009C030000}"/>
    <cellStyle name="20% - Accent1 3 3 3 3 3" xfId="8454" xr:uid="{00000000-0005-0000-0000-00009D030000}"/>
    <cellStyle name="20% - Accent1 3 3 3 3 3 2" xfId="19755" xr:uid="{00000000-0005-0000-0000-00009E030000}"/>
    <cellStyle name="20% - Accent1 3 3 3 3 3 2 2" xfId="42357" xr:uid="{00000000-0005-0000-0000-00009F030000}"/>
    <cellStyle name="20% - Accent1 3 3 3 3 3 3" xfId="31056" xr:uid="{00000000-0005-0000-0000-0000A0030000}"/>
    <cellStyle name="20% - Accent1 3 3 3 3 4" xfId="14105" xr:uid="{00000000-0005-0000-0000-0000A1030000}"/>
    <cellStyle name="20% - Accent1 3 3 3 3 4 2" xfId="36707" xr:uid="{00000000-0005-0000-0000-0000A2030000}"/>
    <cellStyle name="20% - Accent1 3 3 3 3 5" xfId="25406" xr:uid="{00000000-0005-0000-0000-0000A3030000}"/>
    <cellStyle name="20% - Accent1 3 3 3 4" xfId="4403" xr:uid="{00000000-0005-0000-0000-0000A4030000}"/>
    <cellStyle name="20% - Accent1 3 3 3 4 2" xfId="10053" xr:uid="{00000000-0005-0000-0000-0000A5030000}"/>
    <cellStyle name="20% - Accent1 3 3 3 4 2 2" xfId="21354" xr:uid="{00000000-0005-0000-0000-0000A6030000}"/>
    <cellStyle name="20% - Accent1 3 3 3 4 2 2 2" xfId="43956" xr:uid="{00000000-0005-0000-0000-0000A7030000}"/>
    <cellStyle name="20% - Accent1 3 3 3 4 2 3" xfId="32655" xr:uid="{00000000-0005-0000-0000-0000A8030000}"/>
    <cellStyle name="20% - Accent1 3 3 3 4 3" xfId="15704" xr:uid="{00000000-0005-0000-0000-0000A9030000}"/>
    <cellStyle name="20% - Accent1 3 3 3 4 3 2" xfId="38306" xr:uid="{00000000-0005-0000-0000-0000AA030000}"/>
    <cellStyle name="20% - Accent1 3 3 3 4 4" xfId="27005" xr:uid="{00000000-0005-0000-0000-0000AB030000}"/>
    <cellStyle name="20% - Accent1 3 3 3 5" xfId="7200" xr:uid="{00000000-0005-0000-0000-0000AC030000}"/>
    <cellStyle name="20% - Accent1 3 3 3 5 2" xfId="18501" xr:uid="{00000000-0005-0000-0000-0000AD030000}"/>
    <cellStyle name="20% - Accent1 3 3 3 5 2 2" xfId="41103" xr:uid="{00000000-0005-0000-0000-0000AE030000}"/>
    <cellStyle name="20% - Accent1 3 3 3 5 3" xfId="29802" xr:uid="{00000000-0005-0000-0000-0000AF030000}"/>
    <cellStyle name="20% - Accent1 3 3 3 6" xfId="12851" xr:uid="{00000000-0005-0000-0000-0000B0030000}"/>
    <cellStyle name="20% - Accent1 3 3 3 6 2" xfId="35453" xr:uid="{00000000-0005-0000-0000-0000B1030000}"/>
    <cellStyle name="20% - Accent1 3 3 3 7" xfId="24152" xr:uid="{00000000-0005-0000-0000-0000B2030000}"/>
    <cellStyle name="20% - Accent1 3 3 4" xfId="912" xr:uid="{00000000-0005-0000-0000-0000B3030000}"/>
    <cellStyle name="20% - Accent1 3 3 4 2" xfId="2982" xr:uid="{00000000-0005-0000-0000-0000B4030000}"/>
    <cellStyle name="20% - Accent1 3 3 4 2 2" xfId="5954" xr:uid="{00000000-0005-0000-0000-0000B5030000}"/>
    <cellStyle name="20% - Accent1 3 3 4 2 2 2" xfId="11604" xr:uid="{00000000-0005-0000-0000-0000B6030000}"/>
    <cellStyle name="20% - Accent1 3 3 4 2 2 2 2" xfId="22905" xr:uid="{00000000-0005-0000-0000-0000B7030000}"/>
    <cellStyle name="20% - Accent1 3 3 4 2 2 2 2 2" xfId="45507" xr:uid="{00000000-0005-0000-0000-0000B8030000}"/>
    <cellStyle name="20% - Accent1 3 3 4 2 2 2 3" xfId="34206" xr:uid="{00000000-0005-0000-0000-0000B9030000}"/>
    <cellStyle name="20% - Accent1 3 3 4 2 2 3" xfId="17255" xr:uid="{00000000-0005-0000-0000-0000BA030000}"/>
    <cellStyle name="20% - Accent1 3 3 4 2 2 3 2" xfId="39857" xr:uid="{00000000-0005-0000-0000-0000BB030000}"/>
    <cellStyle name="20% - Accent1 3 3 4 2 2 4" xfId="28556" xr:uid="{00000000-0005-0000-0000-0000BC030000}"/>
    <cellStyle name="20% - Accent1 3 3 4 2 3" xfId="8772" xr:uid="{00000000-0005-0000-0000-0000BD030000}"/>
    <cellStyle name="20% - Accent1 3 3 4 2 3 2" xfId="20073" xr:uid="{00000000-0005-0000-0000-0000BE030000}"/>
    <cellStyle name="20% - Accent1 3 3 4 2 3 2 2" xfId="42675" xr:uid="{00000000-0005-0000-0000-0000BF030000}"/>
    <cellStyle name="20% - Accent1 3 3 4 2 3 3" xfId="31374" xr:uid="{00000000-0005-0000-0000-0000C0030000}"/>
    <cellStyle name="20% - Accent1 3 3 4 2 4" xfId="14423" xr:uid="{00000000-0005-0000-0000-0000C1030000}"/>
    <cellStyle name="20% - Accent1 3 3 4 2 4 2" xfId="37025" xr:uid="{00000000-0005-0000-0000-0000C2030000}"/>
    <cellStyle name="20% - Accent1 3 3 4 2 5" xfId="25724" xr:uid="{00000000-0005-0000-0000-0000C3030000}"/>
    <cellStyle name="20% - Accent1 3 3 4 3" xfId="4720" xr:uid="{00000000-0005-0000-0000-0000C4030000}"/>
    <cellStyle name="20% - Accent1 3 3 4 3 2" xfId="10370" xr:uid="{00000000-0005-0000-0000-0000C5030000}"/>
    <cellStyle name="20% - Accent1 3 3 4 3 2 2" xfId="21671" xr:uid="{00000000-0005-0000-0000-0000C6030000}"/>
    <cellStyle name="20% - Accent1 3 3 4 3 2 2 2" xfId="44273" xr:uid="{00000000-0005-0000-0000-0000C7030000}"/>
    <cellStyle name="20% - Accent1 3 3 4 3 2 3" xfId="32972" xr:uid="{00000000-0005-0000-0000-0000C8030000}"/>
    <cellStyle name="20% - Accent1 3 3 4 3 3" xfId="16021" xr:uid="{00000000-0005-0000-0000-0000C9030000}"/>
    <cellStyle name="20% - Accent1 3 3 4 3 3 2" xfId="38623" xr:uid="{00000000-0005-0000-0000-0000CA030000}"/>
    <cellStyle name="20% - Accent1 3 3 4 3 4" xfId="27322" xr:uid="{00000000-0005-0000-0000-0000CB030000}"/>
    <cellStyle name="20% - Accent1 3 3 4 4" xfId="6907" xr:uid="{00000000-0005-0000-0000-0000CC030000}"/>
    <cellStyle name="20% - Accent1 3 3 4 4 2" xfId="18208" xr:uid="{00000000-0005-0000-0000-0000CD030000}"/>
    <cellStyle name="20% - Accent1 3 3 4 4 2 2" xfId="40810" xr:uid="{00000000-0005-0000-0000-0000CE030000}"/>
    <cellStyle name="20% - Accent1 3 3 4 4 3" xfId="29509" xr:uid="{00000000-0005-0000-0000-0000CF030000}"/>
    <cellStyle name="20% - Accent1 3 3 4 5" xfId="12558" xr:uid="{00000000-0005-0000-0000-0000D0030000}"/>
    <cellStyle name="20% - Accent1 3 3 4 5 2" xfId="35160" xr:uid="{00000000-0005-0000-0000-0000D1030000}"/>
    <cellStyle name="20% - Accent1 3 3 4 6" xfId="23859" xr:uid="{00000000-0005-0000-0000-0000D2030000}"/>
    <cellStyle name="20% - Accent1 3 3 5" xfId="1547" xr:uid="{00000000-0005-0000-0000-0000D3030000}"/>
    <cellStyle name="20% - Accent1 3 3 5 2" xfId="2269" xr:uid="{00000000-0005-0000-0000-0000D4030000}"/>
    <cellStyle name="20% - Accent1 3 3 5 2 2" xfId="8105" xr:uid="{00000000-0005-0000-0000-0000D5030000}"/>
    <cellStyle name="20% - Accent1 3 3 5 2 2 2" xfId="19406" xr:uid="{00000000-0005-0000-0000-0000D6030000}"/>
    <cellStyle name="20% - Accent1 3 3 5 2 2 2 2" xfId="42008" xr:uid="{00000000-0005-0000-0000-0000D7030000}"/>
    <cellStyle name="20% - Accent1 3 3 5 2 2 3" xfId="30707" xr:uid="{00000000-0005-0000-0000-0000D8030000}"/>
    <cellStyle name="20% - Accent1 3 3 5 2 3" xfId="13756" xr:uid="{00000000-0005-0000-0000-0000D9030000}"/>
    <cellStyle name="20% - Accent1 3 3 5 2 3 2" xfId="36358" xr:uid="{00000000-0005-0000-0000-0000DA030000}"/>
    <cellStyle name="20% - Accent1 3 3 5 2 4" xfId="25057" xr:uid="{00000000-0005-0000-0000-0000DB030000}"/>
    <cellStyle name="20% - Accent1 3 3 5 3" xfId="5330" xr:uid="{00000000-0005-0000-0000-0000DC030000}"/>
    <cellStyle name="20% - Accent1 3 3 5 3 2" xfId="10980" xr:uid="{00000000-0005-0000-0000-0000DD030000}"/>
    <cellStyle name="20% - Accent1 3 3 5 3 2 2" xfId="22281" xr:uid="{00000000-0005-0000-0000-0000DE030000}"/>
    <cellStyle name="20% - Accent1 3 3 5 3 2 2 2" xfId="44883" xr:uid="{00000000-0005-0000-0000-0000DF030000}"/>
    <cellStyle name="20% - Accent1 3 3 5 3 2 3" xfId="33582" xr:uid="{00000000-0005-0000-0000-0000E0030000}"/>
    <cellStyle name="20% - Accent1 3 3 5 3 3" xfId="16631" xr:uid="{00000000-0005-0000-0000-0000E1030000}"/>
    <cellStyle name="20% - Accent1 3 3 5 3 3 2" xfId="39233" xr:uid="{00000000-0005-0000-0000-0000E2030000}"/>
    <cellStyle name="20% - Accent1 3 3 5 3 4" xfId="27932" xr:uid="{00000000-0005-0000-0000-0000E3030000}"/>
    <cellStyle name="20% - Accent1 3 3 5 4" xfId="7403" xr:uid="{00000000-0005-0000-0000-0000E4030000}"/>
    <cellStyle name="20% - Accent1 3 3 5 4 2" xfId="18704" xr:uid="{00000000-0005-0000-0000-0000E5030000}"/>
    <cellStyle name="20% - Accent1 3 3 5 4 2 2" xfId="41306" xr:uid="{00000000-0005-0000-0000-0000E6030000}"/>
    <cellStyle name="20% - Accent1 3 3 5 4 3" xfId="30005" xr:uid="{00000000-0005-0000-0000-0000E7030000}"/>
    <cellStyle name="20% - Accent1 3 3 5 5" xfId="13054" xr:uid="{00000000-0005-0000-0000-0000E8030000}"/>
    <cellStyle name="20% - Accent1 3 3 5 5 2" xfId="35656" xr:uid="{00000000-0005-0000-0000-0000E9030000}"/>
    <cellStyle name="20% - Accent1 3 3 5 6" xfId="24355" xr:uid="{00000000-0005-0000-0000-0000EA030000}"/>
    <cellStyle name="20% - Accent1 3 3 6" xfId="2309" xr:uid="{00000000-0005-0000-0000-0000EB030000}"/>
    <cellStyle name="20% - Accent1 3 3 6 2" xfId="8145" xr:uid="{00000000-0005-0000-0000-0000EC030000}"/>
    <cellStyle name="20% - Accent1 3 3 6 2 2" xfId="19446" xr:uid="{00000000-0005-0000-0000-0000ED030000}"/>
    <cellStyle name="20% - Accent1 3 3 6 2 2 2" xfId="42048" xr:uid="{00000000-0005-0000-0000-0000EE030000}"/>
    <cellStyle name="20% - Accent1 3 3 6 2 3" xfId="30747" xr:uid="{00000000-0005-0000-0000-0000EF030000}"/>
    <cellStyle name="20% - Accent1 3 3 6 3" xfId="13796" xr:uid="{00000000-0005-0000-0000-0000F0030000}"/>
    <cellStyle name="20% - Accent1 3 3 6 3 2" xfId="36398" xr:uid="{00000000-0005-0000-0000-0000F1030000}"/>
    <cellStyle name="20% - Accent1 3 3 6 4" xfId="25097" xr:uid="{00000000-0005-0000-0000-0000F2030000}"/>
    <cellStyle name="20% - Accent1 3 3 7" xfId="4096" xr:uid="{00000000-0005-0000-0000-0000F3030000}"/>
    <cellStyle name="20% - Accent1 3 3 7 2" xfId="9746" xr:uid="{00000000-0005-0000-0000-0000F4030000}"/>
    <cellStyle name="20% - Accent1 3 3 7 2 2" xfId="21047" xr:uid="{00000000-0005-0000-0000-0000F5030000}"/>
    <cellStyle name="20% - Accent1 3 3 7 2 2 2" xfId="43649" xr:uid="{00000000-0005-0000-0000-0000F6030000}"/>
    <cellStyle name="20% - Accent1 3 3 7 2 3" xfId="32348" xr:uid="{00000000-0005-0000-0000-0000F7030000}"/>
    <cellStyle name="20% - Accent1 3 3 7 3" xfId="15397" xr:uid="{00000000-0005-0000-0000-0000F8030000}"/>
    <cellStyle name="20% - Accent1 3 3 7 3 2" xfId="37999" xr:uid="{00000000-0005-0000-0000-0000F9030000}"/>
    <cellStyle name="20% - Accent1 3 3 7 4" xfId="26698" xr:uid="{00000000-0005-0000-0000-0000FA030000}"/>
    <cellStyle name="20% - Accent1 3 3 8" xfId="6547" xr:uid="{00000000-0005-0000-0000-0000FB030000}"/>
    <cellStyle name="20% - Accent1 3 3 8 2" xfId="17848" xr:uid="{00000000-0005-0000-0000-0000FC030000}"/>
    <cellStyle name="20% - Accent1 3 3 8 2 2" xfId="40450" xr:uid="{00000000-0005-0000-0000-0000FD030000}"/>
    <cellStyle name="20% - Accent1 3 3 8 3" xfId="29149" xr:uid="{00000000-0005-0000-0000-0000FE030000}"/>
    <cellStyle name="20% - Accent1 3 3 9" xfId="12198" xr:uid="{00000000-0005-0000-0000-0000FF030000}"/>
    <cellStyle name="20% - Accent1 3 3 9 2" xfId="34800" xr:uid="{00000000-0005-0000-0000-000000040000}"/>
    <cellStyle name="20% - Accent1 3 4" xfId="540" xr:uid="{00000000-0005-0000-0000-000001040000}"/>
    <cellStyle name="20% - Accent1 3 4 2" xfId="1125" xr:uid="{00000000-0005-0000-0000-000002040000}"/>
    <cellStyle name="20% - Accent1 3 4 2 2" xfId="1552" xr:uid="{00000000-0005-0000-0000-000003040000}"/>
    <cellStyle name="20% - Accent1 3 4 2 2 2" xfId="3192" xr:uid="{00000000-0005-0000-0000-000004040000}"/>
    <cellStyle name="20% - Accent1 3 4 2 2 2 2" xfId="6164" xr:uid="{00000000-0005-0000-0000-000005040000}"/>
    <cellStyle name="20% - Accent1 3 4 2 2 2 2 2" xfId="11814" xr:uid="{00000000-0005-0000-0000-000006040000}"/>
    <cellStyle name="20% - Accent1 3 4 2 2 2 2 2 2" xfId="23115" xr:uid="{00000000-0005-0000-0000-000007040000}"/>
    <cellStyle name="20% - Accent1 3 4 2 2 2 2 2 2 2" xfId="45717" xr:uid="{00000000-0005-0000-0000-000008040000}"/>
    <cellStyle name="20% - Accent1 3 4 2 2 2 2 2 3" xfId="34416" xr:uid="{00000000-0005-0000-0000-000009040000}"/>
    <cellStyle name="20% - Accent1 3 4 2 2 2 2 3" xfId="17465" xr:uid="{00000000-0005-0000-0000-00000A040000}"/>
    <cellStyle name="20% - Accent1 3 4 2 2 2 2 3 2" xfId="40067" xr:uid="{00000000-0005-0000-0000-00000B040000}"/>
    <cellStyle name="20% - Accent1 3 4 2 2 2 2 4" xfId="28766" xr:uid="{00000000-0005-0000-0000-00000C040000}"/>
    <cellStyle name="20% - Accent1 3 4 2 2 2 3" xfId="8982" xr:uid="{00000000-0005-0000-0000-00000D040000}"/>
    <cellStyle name="20% - Accent1 3 4 2 2 2 3 2" xfId="20283" xr:uid="{00000000-0005-0000-0000-00000E040000}"/>
    <cellStyle name="20% - Accent1 3 4 2 2 2 3 2 2" xfId="42885" xr:uid="{00000000-0005-0000-0000-00000F040000}"/>
    <cellStyle name="20% - Accent1 3 4 2 2 2 3 3" xfId="31584" xr:uid="{00000000-0005-0000-0000-000010040000}"/>
    <cellStyle name="20% - Accent1 3 4 2 2 2 4" xfId="14633" xr:uid="{00000000-0005-0000-0000-000011040000}"/>
    <cellStyle name="20% - Accent1 3 4 2 2 2 4 2" xfId="37235" xr:uid="{00000000-0005-0000-0000-000012040000}"/>
    <cellStyle name="20% - Accent1 3 4 2 2 2 5" xfId="25934" xr:uid="{00000000-0005-0000-0000-000013040000}"/>
    <cellStyle name="20% - Accent1 3 4 2 2 3" xfId="4930" xr:uid="{00000000-0005-0000-0000-000014040000}"/>
    <cellStyle name="20% - Accent1 3 4 2 2 3 2" xfId="10580" xr:uid="{00000000-0005-0000-0000-000015040000}"/>
    <cellStyle name="20% - Accent1 3 4 2 2 3 2 2" xfId="21881" xr:uid="{00000000-0005-0000-0000-000016040000}"/>
    <cellStyle name="20% - Accent1 3 4 2 2 3 2 2 2" xfId="44483" xr:uid="{00000000-0005-0000-0000-000017040000}"/>
    <cellStyle name="20% - Accent1 3 4 2 2 3 2 3" xfId="33182" xr:uid="{00000000-0005-0000-0000-000018040000}"/>
    <cellStyle name="20% - Accent1 3 4 2 2 3 3" xfId="16231" xr:uid="{00000000-0005-0000-0000-000019040000}"/>
    <cellStyle name="20% - Accent1 3 4 2 2 3 3 2" xfId="38833" xr:uid="{00000000-0005-0000-0000-00001A040000}"/>
    <cellStyle name="20% - Accent1 3 4 2 2 3 4" xfId="27532" xr:uid="{00000000-0005-0000-0000-00001B040000}"/>
    <cellStyle name="20% - Accent1 3 4 2 2 4" xfId="7408" xr:uid="{00000000-0005-0000-0000-00001C040000}"/>
    <cellStyle name="20% - Accent1 3 4 2 2 4 2" xfId="18709" xr:uid="{00000000-0005-0000-0000-00001D040000}"/>
    <cellStyle name="20% - Accent1 3 4 2 2 4 2 2" xfId="41311" xr:uid="{00000000-0005-0000-0000-00001E040000}"/>
    <cellStyle name="20% - Accent1 3 4 2 2 4 3" xfId="30010" xr:uid="{00000000-0005-0000-0000-00001F040000}"/>
    <cellStyle name="20% - Accent1 3 4 2 2 5" xfId="13059" xr:uid="{00000000-0005-0000-0000-000020040000}"/>
    <cellStyle name="20% - Accent1 3 4 2 2 5 2" xfId="35661" xr:uid="{00000000-0005-0000-0000-000021040000}"/>
    <cellStyle name="20% - Accent1 3 4 2 2 6" xfId="24360" xr:uid="{00000000-0005-0000-0000-000022040000}"/>
    <cellStyle name="20% - Accent1 3 4 2 3" xfId="2521" xr:uid="{00000000-0005-0000-0000-000023040000}"/>
    <cellStyle name="20% - Accent1 3 4 2 3 2" xfId="5540" xr:uid="{00000000-0005-0000-0000-000024040000}"/>
    <cellStyle name="20% - Accent1 3 4 2 3 2 2" xfId="11190" xr:uid="{00000000-0005-0000-0000-000025040000}"/>
    <cellStyle name="20% - Accent1 3 4 2 3 2 2 2" xfId="22491" xr:uid="{00000000-0005-0000-0000-000026040000}"/>
    <cellStyle name="20% - Accent1 3 4 2 3 2 2 2 2" xfId="45093" xr:uid="{00000000-0005-0000-0000-000027040000}"/>
    <cellStyle name="20% - Accent1 3 4 2 3 2 2 3" xfId="33792" xr:uid="{00000000-0005-0000-0000-000028040000}"/>
    <cellStyle name="20% - Accent1 3 4 2 3 2 3" xfId="16841" xr:uid="{00000000-0005-0000-0000-000029040000}"/>
    <cellStyle name="20% - Accent1 3 4 2 3 2 3 2" xfId="39443" xr:uid="{00000000-0005-0000-0000-00002A040000}"/>
    <cellStyle name="20% - Accent1 3 4 2 3 2 4" xfId="28142" xr:uid="{00000000-0005-0000-0000-00002B040000}"/>
    <cellStyle name="20% - Accent1 3 4 2 3 3" xfId="8357" xr:uid="{00000000-0005-0000-0000-00002C040000}"/>
    <cellStyle name="20% - Accent1 3 4 2 3 3 2" xfId="19658" xr:uid="{00000000-0005-0000-0000-00002D040000}"/>
    <cellStyle name="20% - Accent1 3 4 2 3 3 2 2" xfId="42260" xr:uid="{00000000-0005-0000-0000-00002E040000}"/>
    <cellStyle name="20% - Accent1 3 4 2 3 3 3" xfId="30959" xr:uid="{00000000-0005-0000-0000-00002F040000}"/>
    <cellStyle name="20% - Accent1 3 4 2 3 4" xfId="14008" xr:uid="{00000000-0005-0000-0000-000030040000}"/>
    <cellStyle name="20% - Accent1 3 4 2 3 4 2" xfId="36610" xr:uid="{00000000-0005-0000-0000-000031040000}"/>
    <cellStyle name="20% - Accent1 3 4 2 3 5" xfId="25309" xr:uid="{00000000-0005-0000-0000-000032040000}"/>
    <cellStyle name="20% - Accent1 3 4 2 4" xfId="4306" xr:uid="{00000000-0005-0000-0000-000033040000}"/>
    <cellStyle name="20% - Accent1 3 4 2 4 2" xfId="9956" xr:uid="{00000000-0005-0000-0000-000034040000}"/>
    <cellStyle name="20% - Accent1 3 4 2 4 2 2" xfId="21257" xr:uid="{00000000-0005-0000-0000-000035040000}"/>
    <cellStyle name="20% - Accent1 3 4 2 4 2 2 2" xfId="43859" xr:uid="{00000000-0005-0000-0000-000036040000}"/>
    <cellStyle name="20% - Accent1 3 4 2 4 2 3" xfId="32558" xr:uid="{00000000-0005-0000-0000-000037040000}"/>
    <cellStyle name="20% - Accent1 3 4 2 4 3" xfId="15607" xr:uid="{00000000-0005-0000-0000-000038040000}"/>
    <cellStyle name="20% - Accent1 3 4 2 4 3 2" xfId="38209" xr:uid="{00000000-0005-0000-0000-000039040000}"/>
    <cellStyle name="20% - Accent1 3 4 2 4 4" xfId="26908" xr:uid="{00000000-0005-0000-0000-00003A040000}"/>
    <cellStyle name="20% - Accent1 3 4 2 5" xfId="7104" xr:uid="{00000000-0005-0000-0000-00003B040000}"/>
    <cellStyle name="20% - Accent1 3 4 2 5 2" xfId="18405" xr:uid="{00000000-0005-0000-0000-00003C040000}"/>
    <cellStyle name="20% - Accent1 3 4 2 5 2 2" xfId="41007" xr:uid="{00000000-0005-0000-0000-00003D040000}"/>
    <cellStyle name="20% - Accent1 3 4 2 5 3" xfId="29706" xr:uid="{00000000-0005-0000-0000-00003E040000}"/>
    <cellStyle name="20% - Accent1 3 4 2 6" xfId="12755" xr:uid="{00000000-0005-0000-0000-00003F040000}"/>
    <cellStyle name="20% - Accent1 3 4 2 6 2" xfId="35357" xr:uid="{00000000-0005-0000-0000-000040040000}"/>
    <cellStyle name="20% - Accent1 3 4 2 7" xfId="24056" xr:uid="{00000000-0005-0000-0000-000041040000}"/>
    <cellStyle name="20% - Accent1 3 4 3" xfId="796" xr:uid="{00000000-0005-0000-0000-000042040000}"/>
    <cellStyle name="20% - Accent1 3 4 3 2" xfId="2886" xr:uid="{00000000-0005-0000-0000-000043040000}"/>
    <cellStyle name="20% - Accent1 3 4 3 2 2" xfId="5858" xr:uid="{00000000-0005-0000-0000-000044040000}"/>
    <cellStyle name="20% - Accent1 3 4 3 2 2 2" xfId="11508" xr:uid="{00000000-0005-0000-0000-000045040000}"/>
    <cellStyle name="20% - Accent1 3 4 3 2 2 2 2" xfId="22809" xr:uid="{00000000-0005-0000-0000-000046040000}"/>
    <cellStyle name="20% - Accent1 3 4 3 2 2 2 2 2" xfId="45411" xr:uid="{00000000-0005-0000-0000-000047040000}"/>
    <cellStyle name="20% - Accent1 3 4 3 2 2 2 3" xfId="34110" xr:uid="{00000000-0005-0000-0000-000048040000}"/>
    <cellStyle name="20% - Accent1 3 4 3 2 2 3" xfId="17159" xr:uid="{00000000-0005-0000-0000-000049040000}"/>
    <cellStyle name="20% - Accent1 3 4 3 2 2 3 2" xfId="39761" xr:uid="{00000000-0005-0000-0000-00004A040000}"/>
    <cellStyle name="20% - Accent1 3 4 3 2 2 4" xfId="28460" xr:uid="{00000000-0005-0000-0000-00004B040000}"/>
    <cellStyle name="20% - Accent1 3 4 3 2 3" xfId="8676" xr:uid="{00000000-0005-0000-0000-00004C040000}"/>
    <cellStyle name="20% - Accent1 3 4 3 2 3 2" xfId="19977" xr:uid="{00000000-0005-0000-0000-00004D040000}"/>
    <cellStyle name="20% - Accent1 3 4 3 2 3 2 2" xfId="42579" xr:uid="{00000000-0005-0000-0000-00004E040000}"/>
    <cellStyle name="20% - Accent1 3 4 3 2 3 3" xfId="31278" xr:uid="{00000000-0005-0000-0000-00004F040000}"/>
    <cellStyle name="20% - Accent1 3 4 3 2 4" xfId="14327" xr:uid="{00000000-0005-0000-0000-000050040000}"/>
    <cellStyle name="20% - Accent1 3 4 3 2 4 2" xfId="36929" xr:uid="{00000000-0005-0000-0000-000051040000}"/>
    <cellStyle name="20% - Accent1 3 4 3 2 5" xfId="25628" xr:uid="{00000000-0005-0000-0000-000052040000}"/>
    <cellStyle name="20% - Accent1 3 4 3 3" xfId="4624" xr:uid="{00000000-0005-0000-0000-000053040000}"/>
    <cellStyle name="20% - Accent1 3 4 3 3 2" xfId="10274" xr:uid="{00000000-0005-0000-0000-000054040000}"/>
    <cellStyle name="20% - Accent1 3 4 3 3 2 2" xfId="21575" xr:uid="{00000000-0005-0000-0000-000055040000}"/>
    <cellStyle name="20% - Accent1 3 4 3 3 2 2 2" xfId="44177" xr:uid="{00000000-0005-0000-0000-000056040000}"/>
    <cellStyle name="20% - Accent1 3 4 3 3 2 3" xfId="32876" xr:uid="{00000000-0005-0000-0000-000057040000}"/>
    <cellStyle name="20% - Accent1 3 4 3 3 3" xfId="15925" xr:uid="{00000000-0005-0000-0000-000058040000}"/>
    <cellStyle name="20% - Accent1 3 4 3 3 3 2" xfId="38527" xr:uid="{00000000-0005-0000-0000-000059040000}"/>
    <cellStyle name="20% - Accent1 3 4 3 3 4" xfId="27226" xr:uid="{00000000-0005-0000-0000-00005A040000}"/>
    <cellStyle name="20% - Accent1 3 4 3 4" xfId="6807" xr:uid="{00000000-0005-0000-0000-00005B040000}"/>
    <cellStyle name="20% - Accent1 3 4 3 4 2" xfId="18108" xr:uid="{00000000-0005-0000-0000-00005C040000}"/>
    <cellStyle name="20% - Accent1 3 4 3 4 2 2" xfId="40710" xr:uid="{00000000-0005-0000-0000-00005D040000}"/>
    <cellStyle name="20% - Accent1 3 4 3 4 3" xfId="29409" xr:uid="{00000000-0005-0000-0000-00005E040000}"/>
    <cellStyle name="20% - Accent1 3 4 3 5" xfId="12458" xr:uid="{00000000-0005-0000-0000-00005F040000}"/>
    <cellStyle name="20% - Accent1 3 4 3 5 2" xfId="35060" xr:uid="{00000000-0005-0000-0000-000060040000}"/>
    <cellStyle name="20% - Accent1 3 4 3 6" xfId="23759" xr:uid="{00000000-0005-0000-0000-000061040000}"/>
    <cellStyle name="20% - Accent1 3 4 4" xfId="1551" xr:uid="{00000000-0005-0000-0000-000062040000}"/>
    <cellStyle name="20% - Accent1 3 4 4 2" xfId="3556" xr:uid="{00000000-0005-0000-0000-000063040000}"/>
    <cellStyle name="20% - Accent1 3 4 4 2 2" xfId="9295" xr:uid="{00000000-0005-0000-0000-000064040000}"/>
    <cellStyle name="20% - Accent1 3 4 4 2 2 2" xfId="20596" xr:uid="{00000000-0005-0000-0000-000065040000}"/>
    <cellStyle name="20% - Accent1 3 4 4 2 2 2 2" xfId="43198" xr:uid="{00000000-0005-0000-0000-000066040000}"/>
    <cellStyle name="20% - Accent1 3 4 4 2 2 3" xfId="31897" xr:uid="{00000000-0005-0000-0000-000067040000}"/>
    <cellStyle name="20% - Accent1 3 4 4 2 3" xfId="14946" xr:uid="{00000000-0005-0000-0000-000068040000}"/>
    <cellStyle name="20% - Accent1 3 4 4 2 3 2" xfId="37548" xr:uid="{00000000-0005-0000-0000-000069040000}"/>
    <cellStyle name="20% - Accent1 3 4 4 2 4" xfId="26247" xr:uid="{00000000-0005-0000-0000-00006A040000}"/>
    <cellStyle name="20% - Accent1 3 4 4 3" xfId="5234" xr:uid="{00000000-0005-0000-0000-00006B040000}"/>
    <cellStyle name="20% - Accent1 3 4 4 3 2" xfId="10884" xr:uid="{00000000-0005-0000-0000-00006C040000}"/>
    <cellStyle name="20% - Accent1 3 4 4 3 2 2" xfId="22185" xr:uid="{00000000-0005-0000-0000-00006D040000}"/>
    <cellStyle name="20% - Accent1 3 4 4 3 2 2 2" xfId="44787" xr:uid="{00000000-0005-0000-0000-00006E040000}"/>
    <cellStyle name="20% - Accent1 3 4 4 3 2 3" xfId="33486" xr:uid="{00000000-0005-0000-0000-00006F040000}"/>
    <cellStyle name="20% - Accent1 3 4 4 3 3" xfId="16535" xr:uid="{00000000-0005-0000-0000-000070040000}"/>
    <cellStyle name="20% - Accent1 3 4 4 3 3 2" xfId="39137" xr:uid="{00000000-0005-0000-0000-000071040000}"/>
    <cellStyle name="20% - Accent1 3 4 4 3 4" xfId="27836" xr:uid="{00000000-0005-0000-0000-000072040000}"/>
    <cellStyle name="20% - Accent1 3 4 4 4" xfId="7407" xr:uid="{00000000-0005-0000-0000-000073040000}"/>
    <cellStyle name="20% - Accent1 3 4 4 4 2" xfId="18708" xr:uid="{00000000-0005-0000-0000-000074040000}"/>
    <cellStyle name="20% - Accent1 3 4 4 4 2 2" xfId="41310" xr:uid="{00000000-0005-0000-0000-000075040000}"/>
    <cellStyle name="20% - Accent1 3 4 4 4 3" xfId="30009" xr:uid="{00000000-0005-0000-0000-000076040000}"/>
    <cellStyle name="20% - Accent1 3 4 4 5" xfId="13058" xr:uid="{00000000-0005-0000-0000-000077040000}"/>
    <cellStyle name="20% - Accent1 3 4 4 5 2" xfId="35660" xr:uid="{00000000-0005-0000-0000-000078040000}"/>
    <cellStyle name="20% - Accent1 3 4 4 6" xfId="24359" xr:uid="{00000000-0005-0000-0000-000079040000}"/>
    <cellStyle name="20% - Accent1 3 4 5" xfId="2206" xr:uid="{00000000-0005-0000-0000-00007A040000}"/>
    <cellStyle name="20% - Accent1 3 4 5 2" xfId="8048" xr:uid="{00000000-0005-0000-0000-00007B040000}"/>
    <cellStyle name="20% - Accent1 3 4 5 2 2" xfId="19349" xr:uid="{00000000-0005-0000-0000-00007C040000}"/>
    <cellStyle name="20% - Accent1 3 4 5 2 2 2" xfId="41951" xr:uid="{00000000-0005-0000-0000-00007D040000}"/>
    <cellStyle name="20% - Accent1 3 4 5 2 3" xfId="30650" xr:uid="{00000000-0005-0000-0000-00007E040000}"/>
    <cellStyle name="20% - Accent1 3 4 5 3" xfId="13699" xr:uid="{00000000-0005-0000-0000-00007F040000}"/>
    <cellStyle name="20% - Accent1 3 4 5 3 2" xfId="36301" xr:uid="{00000000-0005-0000-0000-000080040000}"/>
    <cellStyle name="20% - Accent1 3 4 5 4" xfId="25000" xr:uid="{00000000-0005-0000-0000-000081040000}"/>
    <cellStyle name="20% - Accent1 3 4 6" xfId="4000" xr:uid="{00000000-0005-0000-0000-000082040000}"/>
    <cellStyle name="20% - Accent1 3 4 6 2" xfId="9650" xr:uid="{00000000-0005-0000-0000-000083040000}"/>
    <cellStyle name="20% - Accent1 3 4 6 2 2" xfId="20951" xr:uid="{00000000-0005-0000-0000-000084040000}"/>
    <cellStyle name="20% - Accent1 3 4 6 2 2 2" xfId="43553" xr:uid="{00000000-0005-0000-0000-000085040000}"/>
    <cellStyle name="20% - Accent1 3 4 6 2 3" xfId="32252" xr:uid="{00000000-0005-0000-0000-000086040000}"/>
    <cellStyle name="20% - Accent1 3 4 6 3" xfId="15301" xr:uid="{00000000-0005-0000-0000-000087040000}"/>
    <cellStyle name="20% - Accent1 3 4 6 3 2" xfId="37903" xr:uid="{00000000-0005-0000-0000-000088040000}"/>
    <cellStyle name="20% - Accent1 3 4 6 4" xfId="26602" xr:uid="{00000000-0005-0000-0000-000089040000}"/>
    <cellStyle name="20% - Accent1 3 4 7" xfId="6618" xr:uid="{00000000-0005-0000-0000-00008A040000}"/>
    <cellStyle name="20% - Accent1 3 4 7 2" xfId="17919" xr:uid="{00000000-0005-0000-0000-00008B040000}"/>
    <cellStyle name="20% - Accent1 3 4 7 2 2" xfId="40521" xr:uid="{00000000-0005-0000-0000-00008C040000}"/>
    <cellStyle name="20% - Accent1 3 4 7 3" xfId="29220" xr:uid="{00000000-0005-0000-0000-00008D040000}"/>
    <cellStyle name="20% - Accent1 3 4 8" xfId="12269" xr:uid="{00000000-0005-0000-0000-00008E040000}"/>
    <cellStyle name="20% - Accent1 3 4 8 2" xfId="34871" xr:uid="{00000000-0005-0000-0000-00008F040000}"/>
    <cellStyle name="20% - Accent1 3 4 9" xfId="23570" xr:uid="{00000000-0005-0000-0000-000090040000}"/>
    <cellStyle name="20% - Accent1 3 5" xfId="446" xr:uid="{00000000-0005-0000-0000-000091040000}"/>
    <cellStyle name="20% - Accent1 3 6" xfId="1477" xr:uid="{00000000-0005-0000-0000-000092040000}"/>
    <cellStyle name="20% - Accent1 3 7" xfId="6451" xr:uid="{00000000-0005-0000-0000-000093040000}"/>
    <cellStyle name="20% - Accent1 3 7 2" xfId="17752" xr:uid="{00000000-0005-0000-0000-000094040000}"/>
    <cellStyle name="20% - Accent1 3 7 2 2" xfId="40354" xr:uid="{00000000-0005-0000-0000-000095040000}"/>
    <cellStyle name="20% - Accent1 3 7 3" xfId="29053" xr:uid="{00000000-0005-0000-0000-000096040000}"/>
    <cellStyle name="20% - Accent1 3 8" xfId="12102" xr:uid="{00000000-0005-0000-0000-000097040000}"/>
    <cellStyle name="20% - Accent1 3 8 2" xfId="34704" xr:uid="{00000000-0005-0000-0000-000098040000}"/>
    <cellStyle name="20% - Accent1 3 9" xfId="23403" xr:uid="{00000000-0005-0000-0000-000099040000}"/>
    <cellStyle name="20% - Accent1 4" xfId="233" xr:uid="{00000000-0005-0000-0000-00009A040000}"/>
    <cellStyle name="20% - Accent1 4 10" xfId="3986" xr:uid="{00000000-0005-0000-0000-00009B040000}"/>
    <cellStyle name="20% - Accent1 4 10 2" xfId="9636" xr:uid="{00000000-0005-0000-0000-00009C040000}"/>
    <cellStyle name="20% - Accent1 4 10 2 2" xfId="20937" xr:uid="{00000000-0005-0000-0000-00009D040000}"/>
    <cellStyle name="20% - Accent1 4 10 2 2 2" xfId="43539" xr:uid="{00000000-0005-0000-0000-00009E040000}"/>
    <cellStyle name="20% - Accent1 4 10 2 3" xfId="32238" xr:uid="{00000000-0005-0000-0000-00009F040000}"/>
    <cellStyle name="20% - Accent1 4 10 3" xfId="15287" xr:uid="{00000000-0005-0000-0000-0000A0040000}"/>
    <cellStyle name="20% - Accent1 4 10 3 2" xfId="37889" xr:uid="{00000000-0005-0000-0000-0000A1040000}"/>
    <cellStyle name="20% - Accent1 4 10 4" xfId="26588" xr:uid="{00000000-0005-0000-0000-0000A2040000}"/>
    <cellStyle name="20% - Accent1 4 11" xfId="6465" xr:uid="{00000000-0005-0000-0000-0000A3040000}"/>
    <cellStyle name="20% - Accent1 4 11 2" xfId="17766" xr:uid="{00000000-0005-0000-0000-0000A4040000}"/>
    <cellStyle name="20% - Accent1 4 11 2 2" xfId="40368" xr:uid="{00000000-0005-0000-0000-0000A5040000}"/>
    <cellStyle name="20% - Accent1 4 11 3" xfId="29067" xr:uid="{00000000-0005-0000-0000-0000A6040000}"/>
    <cellStyle name="20% - Accent1 4 12" xfId="12116" xr:uid="{00000000-0005-0000-0000-0000A7040000}"/>
    <cellStyle name="20% - Accent1 4 12 2" xfId="34718" xr:uid="{00000000-0005-0000-0000-0000A8040000}"/>
    <cellStyle name="20% - Accent1 4 13" xfId="23417" xr:uid="{00000000-0005-0000-0000-0000A9040000}"/>
    <cellStyle name="20% - Accent1 4 2" xfId="356" xr:uid="{00000000-0005-0000-0000-0000AA040000}"/>
    <cellStyle name="20% - Accent1 4 2 10" xfId="23464" xr:uid="{00000000-0005-0000-0000-0000AB040000}"/>
    <cellStyle name="20% - Accent1 4 2 2" xfId="614" xr:uid="{00000000-0005-0000-0000-0000AC040000}"/>
    <cellStyle name="20% - Accent1 4 2 2 2" xfId="1324" xr:uid="{00000000-0005-0000-0000-0000AD040000}"/>
    <cellStyle name="20% - Accent1 4 2 2 2 2" xfId="1556" xr:uid="{00000000-0005-0000-0000-0000AE040000}"/>
    <cellStyle name="20% - Accent1 4 2 2 2 2 2" xfId="3393" xr:uid="{00000000-0005-0000-0000-0000AF040000}"/>
    <cellStyle name="20% - Accent1 4 2 2 2 2 2 2" xfId="6365" xr:uid="{00000000-0005-0000-0000-0000B0040000}"/>
    <cellStyle name="20% - Accent1 4 2 2 2 2 2 2 2" xfId="12015" xr:uid="{00000000-0005-0000-0000-0000B1040000}"/>
    <cellStyle name="20% - Accent1 4 2 2 2 2 2 2 2 2" xfId="23316" xr:uid="{00000000-0005-0000-0000-0000B2040000}"/>
    <cellStyle name="20% - Accent1 4 2 2 2 2 2 2 2 2 2" xfId="45918" xr:uid="{00000000-0005-0000-0000-0000B3040000}"/>
    <cellStyle name="20% - Accent1 4 2 2 2 2 2 2 2 3" xfId="34617" xr:uid="{00000000-0005-0000-0000-0000B4040000}"/>
    <cellStyle name="20% - Accent1 4 2 2 2 2 2 2 3" xfId="17666" xr:uid="{00000000-0005-0000-0000-0000B5040000}"/>
    <cellStyle name="20% - Accent1 4 2 2 2 2 2 2 3 2" xfId="40268" xr:uid="{00000000-0005-0000-0000-0000B6040000}"/>
    <cellStyle name="20% - Accent1 4 2 2 2 2 2 2 4" xfId="28967" xr:uid="{00000000-0005-0000-0000-0000B7040000}"/>
    <cellStyle name="20% - Accent1 4 2 2 2 2 2 3" xfId="9183" xr:uid="{00000000-0005-0000-0000-0000B8040000}"/>
    <cellStyle name="20% - Accent1 4 2 2 2 2 2 3 2" xfId="20484" xr:uid="{00000000-0005-0000-0000-0000B9040000}"/>
    <cellStyle name="20% - Accent1 4 2 2 2 2 2 3 2 2" xfId="43086" xr:uid="{00000000-0005-0000-0000-0000BA040000}"/>
    <cellStyle name="20% - Accent1 4 2 2 2 2 2 3 3" xfId="31785" xr:uid="{00000000-0005-0000-0000-0000BB040000}"/>
    <cellStyle name="20% - Accent1 4 2 2 2 2 2 4" xfId="14834" xr:uid="{00000000-0005-0000-0000-0000BC040000}"/>
    <cellStyle name="20% - Accent1 4 2 2 2 2 2 4 2" xfId="37436" xr:uid="{00000000-0005-0000-0000-0000BD040000}"/>
    <cellStyle name="20% - Accent1 4 2 2 2 2 2 5" xfId="26135" xr:uid="{00000000-0005-0000-0000-0000BE040000}"/>
    <cellStyle name="20% - Accent1 4 2 2 2 2 3" xfId="5131" xr:uid="{00000000-0005-0000-0000-0000BF040000}"/>
    <cellStyle name="20% - Accent1 4 2 2 2 2 3 2" xfId="10781" xr:uid="{00000000-0005-0000-0000-0000C0040000}"/>
    <cellStyle name="20% - Accent1 4 2 2 2 2 3 2 2" xfId="22082" xr:uid="{00000000-0005-0000-0000-0000C1040000}"/>
    <cellStyle name="20% - Accent1 4 2 2 2 2 3 2 2 2" xfId="44684" xr:uid="{00000000-0005-0000-0000-0000C2040000}"/>
    <cellStyle name="20% - Accent1 4 2 2 2 2 3 2 3" xfId="33383" xr:uid="{00000000-0005-0000-0000-0000C3040000}"/>
    <cellStyle name="20% - Accent1 4 2 2 2 2 3 3" xfId="16432" xr:uid="{00000000-0005-0000-0000-0000C4040000}"/>
    <cellStyle name="20% - Accent1 4 2 2 2 2 3 3 2" xfId="39034" xr:uid="{00000000-0005-0000-0000-0000C5040000}"/>
    <cellStyle name="20% - Accent1 4 2 2 2 2 3 4" xfId="27733" xr:uid="{00000000-0005-0000-0000-0000C6040000}"/>
    <cellStyle name="20% - Accent1 4 2 2 2 2 4" xfId="7412" xr:uid="{00000000-0005-0000-0000-0000C7040000}"/>
    <cellStyle name="20% - Accent1 4 2 2 2 2 4 2" xfId="18713" xr:uid="{00000000-0005-0000-0000-0000C8040000}"/>
    <cellStyle name="20% - Accent1 4 2 2 2 2 4 2 2" xfId="41315" xr:uid="{00000000-0005-0000-0000-0000C9040000}"/>
    <cellStyle name="20% - Accent1 4 2 2 2 2 4 3" xfId="30014" xr:uid="{00000000-0005-0000-0000-0000CA040000}"/>
    <cellStyle name="20% - Accent1 4 2 2 2 2 5" xfId="13063" xr:uid="{00000000-0005-0000-0000-0000CB040000}"/>
    <cellStyle name="20% - Accent1 4 2 2 2 2 5 2" xfId="35665" xr:uid="{00000000-0005-0000-0000-0000CC040000}"/>
    <cellStyle name="20% - Accent1 4 2 2 2 2 6" xfId="24364" xr:uid="{00000000-0005-0000-0000-0000CD040000}"/>
    <cellStyle name="20% - Accent1 4 2 2 2 3" xfId="2722" xr:uid="{00000000-0005-0000-0000-0000CE040000}"/>
    <cellStyle name="20% - Accent1 4 2 2 2 3 2" xfId="5741" xr:uid="{00000000-0005-0000-0000-0000CF040000}"/>
    <cellStyle name="20% - Accent1 4 2 2 2 3 2 2" xfId="11391" xr:uid="{00000000-0005-0000-0000-0000D0040000}"/>
    <cellStyle name="20% - Accent1 4 2 2 2 3 2 2 2" xfId="22692" xr:uid="{00000000-0005-0000-0000-0000D1040000}"/>
    <cellStyle name="20% - Accent1 4 2 2 2 3 2 2 2 2" xfId="45294" xr:uid="{00000000-0005-0000-0000-0000D2040000}"/>
    <cellStyle name="20% - Accent1 4 2 2 2 3 2 2 3" xfId="33993" xr:uid="{00000000-0005-0000-0000-0000D3040000}"/>
    <cellStyle name="20% - Accent1 4 2 2 2 3 2 3" xfId="17042" xr:uid="{00000000-0005-0000-0000-0000D4040000}"/>
    <cellStyle name="20% - Accent1 4 2 2 2 3 2 3 2" xfId="39644" xr:uid="{00000000-0005-0000-0000-0000D5040000}"/>
    <cellStyle name="20% - Accent1 4 2 2 2 3 2 4" xfId="28343" xr:uid="{00000000-0005-0000-0000-0000D6040000}"/>
    <cellStyle name="20% - Accent1 4 2 2 2 3 3" xfId="8558" xr:uid="{00000000-0005-0000-0000-0000D7040000}"/>
    <cellStyle name="20% - Accent1 4 2 2 2 3 3 2" xfId="19859" xr:uid="{00000000-0005-0000-0000-0000D8040000}"/>
    <cellStyle name="20% - Accent1 4 2 2 2 3 3 2 2" xfId="42461" xr:uid="{00000000-0005-0000-0000-0000D9040000}"/>
    <cellStyle name="20% - Accent1 4 2 2 2 3 3 3" xfId="31160" xr:uid="{00000000-0005-0000-0000-0000DA040000}"/>
    <cellStyle name="20% - Accent1 4 2 2 2 3 4" xfId="14209" xr:uid="{00000000-0005-0000-0000-0000DB040000}"/>
    <cellStyle name="20% - Accent1 4 2 2 2 3 4 2" xfId="36811" xr:uid="{00000000-0005-0000-0000-0000DC040000}"/>
    <cellStyle name="20% - Accent1 4 2 2 2 3 5" xfId="25510" xr:uid="{00000000-0005-0000-0000-0000DD040000}"/>
    <cellStyle name="20% - Accent1 4 2 2 2 4" xfId="4507" xr:uid="{00000000-0005-0000-0000-0000DE040000}"/>
    <cellStyle name="20% - Accent1 4 2 2 2 4 2" xfId="10157" xr:uid="{00000000-0005-0000-0000-0000DF040000}"/>
    <cellStyle name="20% - Accent1 4 2 2 2 4 2 2" xfId="21458" xr:uid="{00000000-0005-0000-0000-0000E0040000}"/>
    <cellStyle name="20% - Accent1 4 2 2 2 4 2 2 2" xfId="44060" xr:uid="{00000000-0005-0000-0000-0000E1040000}"/>
    <cellStyle name="20% - Accent1 4 2 2 2 4 2 3" xfId="32759" xr:uid="{00000000-0005-0000-0000-0000E2040000}"/>
    <cellStyle name="20% - Accent1 4 2 2 2 4 3" xfId="15808" xr:uid="{00000000-0005-0000-0000-0000E3040000}"/>
    <cellStyle name="20% - Accent1 4 2 2 2 4 3 2" xfId="38410" xr:uid="{00000000-0005-0000-0000-0000E4040000}"/>
    <cellStyle name="20% - Accent1 4 2 2 2 4 4" xfId="27109" xr:uid="{00000000-0005-0000-0000-0000E5040000}"/>
    <cellStyle name="20% - Accent1 4 2 2 2 5" xfId="7303" xr:uid="{00000000-0005-0000-0000-0000E6040000}"/>
    <cellStyle name="20% - Accent1 4 2 2 2 5 2" xfId="18604" xr:uid="{00000000-0005-0000-0000-0000E7040000}"/>
    <cellStyle name="20% - Accent1 4 2 2 2 5 2 2" xfId="41206" xr:uid="{00000000-0005-0000-0000-0000E8040000}"/>
    <cellStyle name="20% - Accent1 4 2 2 2 5 3" xfId="29905" xr:uid="{00000000-0005-0000-0000-0000E9040000}"/>
    <cellStyle name="20% - Accent1 4 2 2 2 6" xfId="12954" xr:uid="{00000000-0005-0000-0000-0000EA040000}"/>
    <cellStyle name="20% - Accent1 4 2 2 2 6 2" xfId="35556" xr:uid="{00000000-0005-0000-0000-0000EB040000}"/>
    <cellStyle name="20% - Accent1 4 2 2 2 7" xfId="24255" xr:uid="{00000000-0005-0000-0000-0000EC040000}"/>
    <cellStyle name="20% - Accent1 4 2 2 3" xfId="1022" xr:uid="{00000000-0005-0000-0000-0000ED040000}"/>
    <cellStyle name="20% - Accent1 4 2 2 3 2" xfId="3085" xr:uid="{00000000-0005-0000-0000-0000EE040000}"/>
    <cellStyle name="20% - Accent1 4 2 2 3 2 2" xfId="6057" xr:uid="{00000000-0005-0000-0000-0000EF040000}"/>
    <cellStyle name="20% - Accent1 4 2 2 3 2 2 2" xfId="11707" xr:uid="{00000000-0005-0000-0000-0000F0040000}"/>
    <cellStyle name="20% - Accent1 4 2 2 3 2 2 2 2" xfId="23008" xr:uid="{00000000-0005-0000-0000-0000F1040000}"/>
    <cellStyle name="20% - Accent1 4 2 2 3 2 2 2 2 2" xfId="45610" xr:uid="{00000000-0005-0000-0000-0000F2040000}"/>
    <cellStyle name="20% - Accent1 4 2 2 3 2 2 2 3" xfId="34309" xr:uid="{00000000-0005-0000-0000-0000F3040000}"/>
    <cellStyle name="20% - Accent1 4 2 2 3 2 2 3" xfId="17358" xr:uid="{00000000-0005-0000-0000-0000F4040000}"/>
    <cellStyle name="20% - Accent1 4 2 2 3 2 2 3 2" xfId="39960" xr:uid="{00000000-0005-0000-0000-0000F5040000}"/>
    <cellStyle name="20% - Accent1 4 2 2 3 2 2 4" xfId="28659" xr:uid="{00000000-0005-0000-0000-0000F6040000}"/>
    <cellStyle name="20% - Accent1 4 2 2 3 2 3" xfId="8875" xr:uid="{00000000-0005-0000-0000-0000F7040000}"/>
    <cellStyle name="20% - Accent1 4 2 2 3 2 3 2" xfId="20176" xr:uid="{00000000-0005-0000-0000-0000F8040000}"/>
    <cellStyle name="20% - Accent1 4 2 2 3 2 3 2 2" xfId="42778" xr:uid="{00000000-0005-0000-0000-0000F9040000}"/>
    <cellStyle name="20% - Accent1 4 2 2 3 2 3 3" xfId="31477" xr:uid="{00000000-0005-0000-0000-0000FA040000}"/>
    <cellStyle name="20% - Accent1 4 2 2 3 2 4" xfId="14526" xr:uid="{00000000-0005-0000-0000-0000FB040000}"/>
    <cellStyle name="20% - Accent1 4 2 2 3 2 4 2" xfId="37128" xr:uid="{00000000-0005-0000-0000-0000FC040000}"/>
    <cellStyle name="20% - Accent1 4 2 2 3 2 5" xfId="25827" xr:uid="{00000000-0005-0000-0000-0000FD040000}"/>
    <cellStyle name="20% - Accent1 4 2 2 3 3" xfId="4823" xr:uid="{00000000-0005-0000-0000-0000FE040000}"/>
    <cellStyle name="20% - Accent1 4 2 2 3 3 2" xfId="10473" xr:uid="{00000000-0005-0000-0000-0000FF040000}"/>
    <cellStyle name="20% - Accent1 4 2 2 3 3 2 2" xfId="21774" xr:uid="{00000000-0005-0000-0000-000000050000}"/>
    <cellStyle name="20% - Accent1 4 2 2 3 3 2 2 2" xfId="44376" xr:uid="{00000000-0005-0000-0000-000001050000}"/>
    <cellStyle name="20% - Accent1 4 2 2 3 3 2 3" xfId="33075" xr:uid="{00000000-0005-0000-0000-000002050000}"/>
    <cellStyle name="20% - Accent1 4 2 2 3 3 3" xfId="16124" xr:uid="{00000000-0005-0000-0000-000003050000}"/>
    <cellStyle name="20% - Accent1 4 2 2 3 3 3 2" xfId="38726" xr:uid="{00000000-0005-0000-0000-000004050000}"/>
    <cellStyle name="20% - Accent1 4 2 2 3 3 4" xfId="27425" xr:uid="{00000000-0005-0000-0000-000005050000}"/>
    <cellStyle name="20% - Accent1 4 2 2 3 4" xfId="7010" xr:uid="{00000000-0005-0000-0000-000006050000}"/>
    <cellStyle name="20% - Accent1 4 2 2 3 4 2" xfId="18311" xr:uid="{00000000-0005-0000-0000-000007050000}"/>
    <cellStyle name="20% - Accent1 4 2 2 3 4 2 2" xfId="40913" xr:uid="{00000000-0005-0000-0000-000008050000}"/>
    <cellStyle name="20% - Accent1 4 2 2 3 4 3" xfId="29612" xr:uid="{00000000-0005-0000-0000-000009050000}"/>
    <cellStyle name="20% - Accent1 4 2 2 3 5" xfId="12661" xr:uid="{00000000-0005-0000-0000-00000A050000}"/>
    <cellStyle name="20% - Accent1 4 2 2 3 5 2" xfId="35263" xr:uid="{00000000-0005-0000-0000-00000B050000}"/>
    <cellStyle name="20% - Accent1 4 2 2 3 6" xfId="23962" xr:uid="{00000000-0005-0000-0000-00000C050000}"/>
    <cellStyle name="20% - Accent1 4 2 2 4" xfId="1555" xr:uid="{00000000-0005-0000-0000-00000D050000}"/>
    <cellStyle name="20% - Accent1 4 2 2 4 2" xfId="3529" xr:uid="{00000000-0005-0000-0000-00000E050000}"/>
    <cellStyle name="20% - Accent1 4 2 2 4 2 2" xfId="9282" xr:uid="{00000000-0005-0000-0000-00000F050000}"/>
    <cellStyle name="20% - Accent1 4 2 2 4 2 2 2" xfId="20583" xr:uid="{00000000-0005-0000-0000-000010050000}"/>
    <cellStyle name="20% - Accent1 4 2 2 4 2 2 2 2" xfId="43185" xr:uid="{00000000-0005-0000-0000-000011050000}"/>
    <cellStyle name="20% - Accent1 4 2 2 4 2 2 3" xfId="31884" xr:uid="{00000000-0005-0000-0000-000012050000}"/>
    <cellStyle name="20% - Accent1 4 2 2 4 2 3" xfId="14933" xr:uid="{00000000-0005-0000-0000-000013050000}"/>
    <cellStyle name="20% - Accent1 4 2 2 4 2 3 2" xfId="37535" xr:uid="{00000000-0005-0000-0000-000014050000}"/>
    <cellStyle name="20% - Accent1 4 2 2 4 2 4" xfId="26234" xr:uid="{00000000-0005-0000-0000-000015050000}"/>
    <cellStyle name="20% - Accent1 4 2 2 4 3" xfId="5433" xr:uid="{00000000-0005-0000-0000-000016050000}"/>
    <cellStyle name="20% - Accent1 4 2 2 4 3 2" xfId="11083" xr:uid="{00000000-0005-0000-0000-000017050000}"/>
    <cellStyle name="20% - Accent1 4 2 2 4 3 2 2" xfId="22384" xr:uid="{00000000-0005-0000-0000-000018050000}"/>
    <cellStyle name="20% - Accent1 4 2 2 4 3 2 2 2" xfId="44986" xr:uid="{00000000-0005-0000-0000-000019050000}"/>
    <cellStyle name="20% - Accent1 4 2 2 4 3 2 3" xfId="33685" xr:uid="{00000000-0005-0000-0000-00001A050000}"/>
    <cellStyle name="20% - Accent1 4 2 2 4 3 3" xfId="16734" xr:uid="{00000000-0005-0000-0000-00001B050000}"/>
    <cellStyle name="20% - Accent1 4 2 2 4 3 3 2" xfId="39336" xr:uid="{00000000-0005-0000-0000-00001C050000}"/>
    <cellStyle name="20% - Accent1 4 2 2 4 3 4" xfId="28035" xr:uid="{00000000-0005-0000-0000-00001D050000}"/>
    <cellStyle name="20% - Accent1 4 2 2 4 4" xfId="7411" xr:uid="{00000000-0005-0000-0000-00001E050000}"/>
    <cellStyle name="20% - Accent1 4 2 2 4 4 2" xfId="18712" xr:uid="{00000000-0005-0000-0000-00001F050000}"/>
    <cellStyle name="20% - Accent1 4 2 2 4 4 2 2" xfId="41314" xr:uid="{00000000-0005-0000-0000-000020050000}"/>
    <cellStyle name="20% - Accent1 4 2 2 4 4 3" xfId="30013" xr:uid="{00000000-0005-0000-0000-000021050000}"/>
    <cellStyle name="20% - Accent1 4 2 2 4 5" xfId="13062" xr:uid="{00000000-0005-0000-0000-000022050000}"/>
    <cellStyle name="20% - Accent1 4 2 2 4 5 2" xfId="35664" xr:uid="{00000000-0005-0000-0000-000023050000}"/>
    <cellStyle name="20% - Accent1 4 2 2 4 6" xfId="24363" xr:uid="{00000000-0005-0000-0000-000024050000}"/>
    <cellStyle name="20% - Accent1 4 2 2 5" xfId="2414" xr:uid="{00000000-0005-0000-0000-000025050000}"/>
    <cellStyle name="20% - Accent1 4 2 2 5 2" xfId="8250" xr:uid="{00000000-0005-0000-0000-000026050000}"/>
    <cellStyle name="20% - Accent1 4 2 2 5 2 2" xfId="19551" xr:uid="{00000000-0005-0000-0000-000027050000}"/>
    <cellStyle name="20% - Accent1 4 2 2 5 2 2 2" xfId="42153" xr:uid="{00000000-0005-0000-0000-000028050000}"/>
    <cellStyle name="20% - Accent1 4 2 2 5 2 3" xfId="30852" xr:uid="{00000000-0005-0000-0000-000029050000}"/>
    <cellStyle name="20% - Accent1 4 2 2 5 3" xfId="13901" xr:uid="{00000000-0005-0000-0000-00002A050000}"/>
    <cellStyle name="20% - Accent1 4 2 2 5 3 2" xfId="36503" xr:uid="{00000000-0005-0000-0000-00002B050000}"/>
    <cellStyle name="20% - Accent1 4 2 2 5 4" xfId="25202" xr:uid="{00000000-0005-0000-0000-00002C050000}"/>
    <cellStyle name="20% - Accent1 4 2 2 6" xfId="4199" xr:uid="{00000000-0005-0000-0000-00002D050000}"/>
    <cellStyle name="20% - Accent1 4 2 2 6 2" xfId="9849" xr:uid="{00000000-0005-0000-0000-00002E050000}"/>
    <cellStyle name="20% - Accent1 4 2 2 6 2 2" xfId="21150" xr:uid="{00000000-0005-0000-0000-00002F050000}"/>
    <cellStyle name="20% - Accent1 4 2 2 6 2 2 2" xfId="43752" xr:uid="{00000000-0005-0000-0000-000030050000}"/>
    <cellStyle name="20% - Accent1 4 2 2 6 2 3" xfId="32451" xr:uid="{00000000-0005-0000-0000-000031050000}"/>
    <cellStyle name="20% - Accent1 4 2 2 6 3" xfId="15500" xr:uid="{00000000-0005-0000-0000-000032050000}"/>
    <cellStyle name="20% - Accent1 4 2 2 6 3 2" xfId="38102" xr:uid="{00000000-0005-0000-0000-000033050000}"/>
    <cellStyle name="20% - Accent1 4 2 2 6 4" xfId="26801" xr:uid="{00000000-0005-0000-0000-000034050000}"/>
    <cellStyle name="20% - Accent1 4 2 2 7" xfId="6679" xr:uid="{00000000-0005-0000-0000-000035050000}"/>
    <cellStyle name="20% - Accent1 4 2 2 7 2" xfId="17980" xr:uid="{00000000-0005-0000-0000-000036050000}"/>
    <cellStyle name="20% - Accent1 4 2 2 7 2 2" xfId="40582" xr:uid="{00000000-0005-0000-0000-000037050000}"/>
    <cellStyle name="20% - Accent1 4 2 2 7 3" xfId="29281" xr:uid="{00000000-0005-0000-0000-000038050000}"/>
    <cellStyle name="20% - Accent1 4 2 2 8" xfId="12330" xr:uid="{00000000-0005-0000-0000-000039050000}"/>
    <cellStyle name="20% - Accent1 4 2 2 8 2" xfId="34932" xr:uid="{00000000-0005-0000-0000-00003A050000}"/>
    <cellStyle name="20% - Accent1 4 2 2 9" xfId="23631" xr:uid="{00000000-0005-0000-0000-00003B050000}"/>
    <cellStyle name="20% - Accent1 4 2 3" xfId="1186" xr:uid="{00000000-0005-0000-0000-00003C050000}"/>
    <cellStyle name="20% - Accent1 4 2 3 2" xfId="1557" xr:uid="{00000000-0005-0000-0000-00003D050000}"/>
    <cellStyle name="20% - Accent1 4 2 3 2 2" xfId="3254" xr:uid="{00000000-0005-0000-0000-00003E050000}"/>
    <cellStyle name="20% - Accent1 4 2 3 2 2 2" xfId="6226" xr:uid="{00000000-0005-0000-0000-00003F050000}"/>
    <cellStyle name="20% - Accent1 4 2 3 2 2 2 2" xfId="11876" xr:uid="{00000000-0005-0000-0000-000040050000}"/>
    <cellStyle name="20% - Accent1 4 2 3 2 2 2 2 2" xfId="23177" xr:uid="{00000000-0005-0000-0000-000041050000}"/>
    <cellStyle name="20% - Accent1 4 2 3 2 2 2 2 2 2" xfId="45779" xr:uid="{00000000-0005-0000-0000-000042050000}"/>
    <cellStyle name="20% - Accent1 4 2 3 2 2 2 2 3" xfId="34478" xr:uid="{00000000-0005-0000-0000-000043050000}"/>
    <cellStyle name="20% - Accent1 4 2 3 2 2 2 3" xfId="17527" xr:uid="{00000000-0005-0000-0000-000044050000}"/>
    <cellStyle name="20% - Accent1 4 2 3 2 2 2 3 2" xfId="40129" xr:uid="{00000000-0005-0000-0000-000045050000}"/>
    <cellStyle name="20% - Accent1 4 2 3 2 2 2 4" xfId="28828" xr:uid="{00000000-0005-0000-0000-000046050000}"/>
    <cellStyle name="20% - Accent1 4 2 3 2 2 3" xfId="9044" xr:uid="{00000000-0005-0000-0000-000047050000}"/>
    <cellStyle name="20% - Accent1 4 2 3 2 2 3 2" xfId="20345" xr:uid="{00000000-0005-0000-0000-000048050000}"/>
    <cellStyle name="20% - Accent1 4 2 3 2 2 3 2 2" xfId="42947" xr:uid="{00000000-0005-0000-0000-000049050000}"/>
    <cellStyle name="20% - Accent1 4 2 3 2 2 3 3" xfId="31646" xr:uid="{00000000-0005-0000-0000-00004A050000}"/>
    <cellStyle name="20% - Accent1 4 2 3 2 2 4" xfId="14695" xr:uid="{00000000-0005-0000-0000-00004B050000}"/>
    <cellStyle name="20% - Accent1 4 2 3 2 2 4 2" xfId="37297" xr:uid="{00000000-0005-0000-0000-00004C050000}"/>
    <cellStyle name="20% - Accent1 4 2 3 2 2 5" xfId="25996" xr:uid="{00000000-0005-0000-0000-00004D050000}"/>
    <cellStyle name="20% - Accent1 4 2 3 2 3" xfId="4992" xr:uid="{00000000-0005-0000-0000-00004E050000}"/>
    <cellStyle name="20% - Accent1 4 2 3 2 3 2" xfId="10642" xr:uid="{00000000-0005-0000-0000-00004F050000}"/>
    <cellStyle name="20% - Accent1 4 2 3 2 3 2 2" xfId="21943" xr:uid="{00000000-0005-0000-0000-000050050000}"/>
    <cellStyle name="20% - Accent1 4 2 3 2 3 2 2 2" xfId="44545" xr:uid="{00000000-0005-0000-0000-000051050000}"/>
    <cellStyle name="20% - Accent1 4 2 3 2 3 2 3" xfId="33244" xr:uid="{00000000-0005-0000-0000-000052050000}"/>
    <cellStyle name="20% - Accent1 4 2 3 2 3 3" xfId="16293" xr:uid="{00000000-0005-0000-0000-000053050000}"/>
    <cellStyle name="20% - Accent1 4 2 3 2 3 3 2" xfId="38895" xr:uid="{00000000-0005-0000-0000-000054050000}"/>
    <cellStyle name="20% - Accent1 4 2 3 2 3 4" xfId="27594" xr:uid="{00000000-0005-0000-0000-000055050000}"/>
    <cellStyle name="20% - Accent1 4 2 3 2 4" xfId="7413" xr:uid="{00000000-0005-0000-0000-000056050000}"/>
    <cellStyle name="20% - Accent1 4 2 3 2 4 2" xfId="18714" xr:uid="{00000000-0005-0000-0000-000057050000}"/>
    <cellStyle name="20% - Accent1 4 2 3 2 4 2 2" xfId="41316" xr:uid="{00000000-0005-0000-0000-000058050000}"/>
    <cellStyle name="20% - Accent1 4 2 3 2 4 3" xfId="30015" xr:uid="{00000000-0005-0000-0000-000059050000}"/>
    <cellStyle name="20% - Accent1 4 2 3 2 5" xfId="13064" xr:uid="{00000000-0005-0000-0000-00005A050000}"/>
    <cellStyle name="20% - Accent1 4 2 3 2 5 2" xfId="35666" xr:uid="{00000000-0005-0000-0000-00005B050000}"/>
    <cellStyle name="20% - Accent1 4 2 3 2 6" xfId="24365" xr:uid="{00000000-0005-0000-0000-00005C050000}"/>
    <cellStyle name="20% - Accent1 4 2 3 3" xfId="2583" xr:uid="{00000000-0005-0000-0000-00005D050000}"/>
    <cellStyle name="20% - Accent1 4 2 3 3 2" xfId="5602" xr:uid="{00000000-0005-0000-0000-00005E050000}"/>
    <cellStyle name="20% - Accent1 4 2 3 3 2 2" xfId="11252" xr:uid="{00000000-0005-0000-0000-00005F050000}"/>
    <cellStyle name="20% - Accent1 4 2 3 3 2 2 2" xfId="22553" xr:uid="{00000000-0005-0000-0000-000060050000}"/>
    <cellStyle name="20% - Accent1 4 2 3 3 2 2 2 2" xfId="45155" xr:uid="{00000000-0005-0000-0000-000061050000}"/>
    <cellStyle name="20% - Accent1 4 2 3 3 2 2 3" xfId="33854" xr:uid="{00000000-0005-0000-0000-000062050000}"/>
    <cellStyle name="20% - Accent1 4 2 3 3 2 3" xfId="16903" xr:uid="{00000000-0005-0000-0000-000063050000}"/>
    <cellStyle name="20% - Accent1 4 2 3 3 2 3 2" xfId="39505" xr:uid="{00000000-0005-0000-0000-000064050000}"/>
    <cellStyle name="20% - Accent1 4 2 3 3 2 4" xfId="28204" xr:uid="{00000000-0005-0000-0000-000065050000}"/>
    <cellStyle name="20% - Accent1 4 2 3 3 3" xfId="8419" xr:uid="{00000000-0005-0000-0000-000066050000}"/>
    <cellStyle name="20% - Accent1 4 2 3 3 3 2" xfId="19720" xr:uid="{00000000-0005-0000-0000-000067050000}"/>
    <cellStyle name="20% - Accent1 4 2 3 3 3 2 2" xfId="42322" xr:uid="{00000000-0005-0000-0000-000068050000}"/>
    <cellStyle name="20% - Accent1 4 2 3 3 3 3" xfId="31021" xr:uid="{00000000-0005-0000-0000-000069050000}"/>
    <cellStyle name="20% - Accent1 4 2 3 3 4" xfId="14070" xr:uid="{00000000-0005-0000-0000-00006A050000}"/>
    <cellStyle name="20% - Accent1 4 2 3 3 4 2" xfId="36672" xr:uid="{00000000-0005-0000-0000-00006B050000}"/>
    <cellStyle name="20% - Accent1 4 2 3 3 5" xfId="25371" xr:uid="{00000000-0005-0000-0000-00006C050000}"/>
    <cellStyle name="20% - Accent1 4 2 3 4" xfId="4368" xr:uid="{00000000-0005-0000-0000-00006D050000}"/>
    <cellStyle name="20% - Accent1 4 2 3 4 2" xfId="10018" xr:uid="{00000000-0005-0000-0000-00006E050000}"/>
    <cellStyle name="20% - Accent1 4 2 3 4 2 2" xfId="21319" xr:uid="{00000000-0005-0000-0000-00006F050000}"/>
    <cellStyle name="20% - Accent1 4 2 3 4 2 2 2" xfId="43921" xr:uid="{00000000-0005-0000-0000-000070050000}"/>
    <cellStyle name="20% - Accent1 4 2 3 4 2 3" xfId="32620" xr:uid="{00000000-0005-0000-0000-000071050000}"/>
    <cellStyle name="20% - Accent1 4 2 3 4 3" xfId="15669" xr:uid="{00000000-0005-0000-0000-000072050000}"/>
    <cellStyle name="20% - Accent1 4 2 3 4 3 2" xfId="38271" xr:uid="{00000000-0005-0000-0000-000073050000}"/>
    <cellStyle name="20% - Accent1 4 2 3 4 4" xfId="26970" xr:uid="{00000000-0005-0000-0000-000074050000}"/>
    <cellStyle name="20% - Accent1 4 2 3 5" xfId="7165" xr:uid="{00000000-0005-0000-0000-000075050000}"/>
    <cellStyle name="20% - Accent1 4 2 3 5 2" xfId="18466" xr:uid="{00000000-0005-0000-0000-000076050000}"/>
    <cellStyle name="20% - Accent1 4 2 3 5 2 2" xfId="41068" xr:uid="{00000000-0005-0000-0000-000077050000}"/>
    <cellStyle name="20% - Accent1 4 2 3 5 3" xfId="29767" xr:uid="{00000000-0005-0000-0000-000078050000}"/>
    <cellStyle name="20% - Accent1 4 2 3 6" xfId="12816" xr:uid="{00000000-0005-0000-0000-000079050000}"/>
    <cellStyle name="20% - Accent1 4 2 3 6 2" xfId="35418" xr:uid="{00000000-0005-0000-0000-00007A050000}"/>
    <cellStyle name="20% - Accent1 4 2 3 7" xfId="24117" xr:uid="{00000000-0005-0000-0000-00007B050000}"/>
    <cellStyle name="20% - Accent1 4 2 4" xfId="876" xr:uid="{00000000-0005-0000-0000-00007C050000}"/>
    <cellStyle name="20% - Accent1 4 2 4 2" xfId="2947" xr:uid="{00000000-0005-0000-0000-00007D050000}"/>
    <cellStyle name="20% - Accent1 4 2 4 2 2" xfId="5919" xr:uid="{00000000-0005-0000-0000-00007E050000}"/>
    <cellStyle name="20% - Accent1 4 2 4 2 2 2" xfId="11569" xr:uid="{00000000-0005-0000-0000-00007F050000}"/>
    <cellStyle name="20% - Accent1 4 2 4 2 2 2 2" xfId="22870" xr:uid="{00000000-0005-0000-0000-000080050000}"/>
    <cellStyle name="20% - Accent1 4 2 4 2 2 2 2 2" xfId="45472" xr:uid="{00000000-0005-0000-0000-000081050000}"/>
    <cellStyle name="20% - Accent1 4 2 4 2 2 2 3" xfId="34171" xr:uid="{00000000-0005-0000-0000-000082050000}"/>
    <cellStyle name="20% - Accent1 4 2 4 2 2 3" xfId="17220" xr:uid="{00000000-0005-0000-0000-000083050000}"/>
    <cellStyle name="20% - Accent1 4 2 4 2 2 3 2" xfId="39822" xr:uid="{00000000-0005-0000-0000-000084050000}"/>
    <cellStyle name="20% - Accent1 4 2 4 2 2 4" xfId="28521" xr:uid="{00000000-0005-0000-0000-000085050000}"/>
    <cellStyle name="20% - Accent1 4 2 4 2 3" xfId="8737" xr:uid="{00000000-0005-0000-0000-000086050000}"/>
    <cellStyle name="20% - Accent1 4 2 4 2 3 2" xfId="20038" xr:uid="{00000000-0005-0000-0000-000087050000}"/>
    <cellStyle name="20% - Accent1 4 2 4 2 3 2 2" xfId="42640" xr:uid="{00000000-0005-0000-0000-000088050000}"/>
    <cellStyle name="20% - Accent1 4 2 4 2 3 3" xfId="31339" xr:uid="{00000000-0005-0000-0000-000089050000}"/>
    <cellStyle name="20% - Accent1 4 2 4 2 4" xfId="14388" xr:uid="{00000000-0005-0000-0000-00008A050000}"/>
    <cellStyle name="20% - Accent1 4 2 4 2 4 2" xfId="36990" xr:uid="{00000000-0005-0000-0000-00008B050000}"/>
    <cellStyle name="20% - Accent1 4 2 4 2 5" xfId="25689" xr:uid="{00000000-0005-0000-0000-00008C050000}"/>
    <cellStyle name="20% - Accent1 4 2 4 3" xfId="4685" xr:uid="{00000000-0005-0000-0000-00008D050000}"/>
    <cellStyle name="20% - Accent1 4 2 4 3 2" xfId="10335" xr:uid="{00000000-0005-0000-0000-00008E050000}"/>
    <cellStyle name="20% - Accent1 4 2 4 3 2 2" xfId="21636" xr:uid="{00000000-0005-0000-0000-00008F050000}"/>
    <cellStyle name="20% - Accent1 4 2 4 3 2 2 2" xfId="44238" xr:uid="{00000000-0005-0000-0000-000090050000}"/>
    <cellStyle name="20% - Accent1 4 2 4 3 2 3" xfId="32937" xr:uid="{00000000-0005-0000-0000-000091050000}"/>
    <cellStyle name="20% - Accent1 4 2 4 3 3" xfId="15986" xr:uid="{00000000-0005-0000-0000-000092050000}"/>
    <cellStyle name="20% - Accent1 4 2 4 3 3 2" xfId="38588" xr:uid="{00000000-0005-0000-0000-000093050000}"/>
    <cellStyle name="20% - Accent1 4 2 4 3 4" xfId="27287" xr:uid="{00000000-0005-0000-0000-000094050000}"/>
    <cellStyle name="20% - Accent1 4 2 4 4" xfId="6872" xr:uid="{00000000-0005-0000-0000-000095050000}"/>
    <cellStyle name="20% - Accent1 4 2 4 4 2" xfId="18173" xr:uid="{00000000-0005-0000-0000-000096050000}"/>
    <cellStyle name="20% - Accent1 4 2 4 4 2 2" xfId="40775" xr:uid="{00000000-0005-0000-0000-000097050000}"/>
    <cellStyle name="20% - Accent1 4 2 4 4 3" xfId="29474" xr:uid="{00000000-0005-0000-0000-000098050000}"/>
    <cellStyle name="20% - Accent1 4 2 4 5" xfId="12523" xr:uid="{00000000-0005-0000-0000-000099050000}"/>
    <cellStyle name="20% - Accent1 4 2 4 5 2" xfId="35125" xr:uid="{00000000-0005-0000-0000-00009A050000}"/>
    <cellStyle name="20% - Accent1 4 2 4 6" xfId="23824" xr:uid="{00000000-0005-0000-0000-00009B050000}"/>
    <cellStyle name="20% - Accent1 4 2 5" xfId="1554" xr:uid="{00000000-0005-0000-0000-00009C050000}"/>
    <cellStyle name="20% - Accent1 4 2 5 2" xfId="2171" xr:uid="{00000000-0005-0000-0000-00009D050000}"/>
    <cellStyle name="20% - Accent1 4 2 5 2 2" xfId="8016" xr:uid="{00000000-0005-0000-0000-00009E050000}"/>
    <cellStyle name="20% - Accent1 4 2 5 2 2 2" xfId="19317" xr:uid="{00000000-0005-0000-0000-00009F050000}"/>
    <cellStyle name="20% - Accent1 4 2 5 2 2 2 2" xfId="41919" xr:uid="{00000000-0005-0000-0000-0000A0050000}"/>
    <cellStyle name="20% - Accent1 4 2 5 2 2 3" xfId="30618" xr:uid="{00000000-0005-0000-0000-0000A1050000}"/>
    <cellStyle name="20% - Accent1 4 2 5 2 3" xfId="13667" xr:uid="{00000000-0005-0000-0000-0000A2050000}"/>
    <cellStyle name="20% - Accent1 4 2 5 2 3 2" xfId="36269" xr:uid="{00000000-0005-0000-0000-0000A3050000}"/>
    <cellStyle name="20% - Accent1 4 2 5 2 4" xfId="24968" xr:uid="{00000000-0005-0000-0000-0000A4050000}"/>
    <cellStyle name="20% - Accent1 4 2 5 3" xfId="5295" xr:uid="{00000000-0005-0000-0000-0000A5050000}"/>
    <cellStyle name="20% - Accent1 4 2 5 3 2" xfId="10945" xr:uid="{00000000-0005-0000-0000-0000A6050000}"/>
    <cellStyle name="20% - Accent1 4 2 5 3 2 2" xfId="22246" xr:uid="{00000000-0005-0000-0000-0000A7050000}"/>
    <cellStyle name="20% - Accent1 4 2 5 3 2 2 2" xfId="44848" xr:uid="{00000000-0005-0000-0000-0000A8050000}"/>
    <cellStyle name="20% - Accent1 4 2 5 3 2 3" xfId="33547" xr:uid="{00000000-0005-0000-0000-0000A9050000}"/>
    <cellStyle name="20% - Accent1 4 2 5 3 3" xfId="16596" xr:uid="{00000000-0005-0000-0000-0000AA050000}"/>
    <cellStyle name="20% - Accent1 4 2 5 3 3 2" xfId="39198" xr:uid="{00000000-0005-0000-0000-0000AB050000}"/>
    <cellStyle name="20% - Accent1 4 2 5 3 4" xfId="27897" xr:uid="{00000000-0005-0000-0000-0000AC050000}"/>
    <cellStyle name="20% - Accent1 4 2 5 4" xfId="7410" xr:uid="{00000000-0005-0000-0000-0000AD050000}"/>
    <cellStyle name="20% - Accent1 4 2 5 4 2" xfId="18711" xr:uid="{00000000-0005-0000-0000-0000AE050000}"/>
    <cellStyle name="20% - Accent1 4 2 5 4 2 2" xfId="41313" xr:uid="{00000000-0005-0000-0000-0000AF050000}"/>
    <cellStyle name="20% - Accent1 4 2 5 4 3" xfId="30012" xr:uid="{00000000-0005-0000-0000-0000B0050000}"/>
    <cellStyle name="20% - Accent1 4 2 5 5" xfId="13061" xr:uid="{00000000-0005-0000-0000-0000B1050000}"/>
    <cellStyle name="20% - Accent1 4 2 5 5 2" xfId="35663" xr:uid="{00000000-0005-0000-0000-0000B2050000}"/>
    <cellStyle name="20% - Accent1 4 2 5 6" xfId="24362" xr:uid="{00000000-0005-0000-0000-0000B3050000}"/>
    <cellStyle name="20% - Accent1 4 2 6" xfId="2274" xr:uid="{00000000-0005-0000-0000-0000B4050000}"/>
    <cellStyle name="20% - Accent1 4 2 6 2" xfId="8110" xr:uid="{00000000-0005-0000-0000-0000B5050000}"/>
    <cellStyle name="20% - Accent1 4 2 6 2 2" xfId="19411" xr:uid="{00000000-0005-0000-0000-0000B6050000}"/>
    <cellStyle name="20% - Accent1 4 2 6 2 2 2" xfId="42013" xr:uid="{00000000-0005-0000-0000-0000B7050000}"/>
    <cellStyle name="20% - Accent1 4 2 6 2 3" xfId="30712" xr:uid="{00000000-0005-0000-0000-0000B8050000}"/>
    <cellStyle name="20% - Accent1 4 2 6 3" xfId="13761" xr:uid="{00000000-0005-0000-0000-0000B9050000}"/>
    <cellStyle name="20% - Accent1 4 2 6 3 2" xfId="36363" xr:uid="{00000000-0005-0000-0000-0000BA050000}"/>
    <cellStyle name="20% - Accent1 4 2 6 4" xfId="25062" xr:uid="{00000000-0005-0000-0000-0000BB050000}"/>
    <cellStyle name="20% - Accent1 4 2 7" xfId="4061" xr:uid="{00000000-0005-0000-0000-0000BC050000}"/>
    <cellStyle name="20% - Accent1 4 2 7 2" xfId="9711" xr:uid="{00000000-0005-0000-0000-0000BD050000}"/>
    <cellStyle name="20% - Accent1 4 2 7 2 2" xfId="21012" xr:uid="{00000000-0005-0000-0000-0000BE050000}"/>
    <cellStyle name="20% - Accent1 4 2 7 2 2 2" xfId="43614" xr:uid="{00000000-0005-0000-0000-0000BF050000}"/>
    <cellStyle name="20% - Accent1 4 2 7 2 3" xfId="32313" xr:uid="{00000000-0005-0000-0000-0000C0050000}"/>
    <cellStyle name="20% - Accent1 4 2 7 3" xfId="15362" xr:uid="{00000000-0005-0000-0000-0000C1050000}"/>
    <cellStyle name="20% - Accent1 4 2 7 3 2" xfId="37964" xr:uid="{00000000-0005-0000-0000-0000C2050000}"/>
    <cellStyle name="20% - Accent1 4 2 7 4" xfId="26663" xr:uid="{00000000-0005-0000-0000-0000C3050000}"/>
    <cellStyle name="20% - Accent1 4 2 8" xfId="6512" xr:uid="{00000000-0005-0000-0000-0000C4050000}"/>
    <cellStyle name="20% - Accent1 4 2 8 2" xfId="17813" xr:uid="{00000000-0005-0000-0000-0000C5050000}"/>
    <cellStyle name="20% - Accent1 4 2 8 2 2" xfId="40415" xr:uid="{00000000-0005-0000-0000-0000C6050000}"/>
    <cellStyle name="20% - Accent1 4 2 8 3" xfId="29114" xr:uid="{00000000-0005-0000-0000-0000C7050000}"/>
    <cellStyle name="20% - Accent1 4 2 9" xfId="12163" xr:uid="{00000000-0005-0000-0000-0000C8050000}"/>
    <cellStyle name="20% - Accent1 4 2 9 2" xfId="34765" xr:uid="{00000000-0005-0000-0000-0000C9050000}"/>
    <cellStyle name="20% - Accent1 4 3" xfId="418" xr:uid="{00000000-0005-0000-0000-0000CA050000}"/>
    <cellStyle name="20% - Accent1 4 3 10" xfId="23513" xr:uid="{00000000-0005-0000-0000-0000CB050000}"/>
    <cellStyle name="20% - Accent1 4 3 2" xfId="663" xr:uid="{00000000-0005-0000-0000-0000CC050000}"/>
    <cellStyle name="20% - Accent1 4 3 2 2" xfId="1373" xr:uid="{00000000-0005-0000-0000-0000CD050000}"/>
    <cellStyle name="20% - Accent1 4 3 2 2 2" xfId="1560" xr:uid="{00000000-0005-0000-0000-0000CE050000}"/>
    <cellStyle name="20% - Accent1 4 3 2 2 2 2" xfId="3442" xr:uid="{00000000-0005-0000-0000-0000CF050000}"/>
    <cellStyle name="20% - Accent1 4 3 2 2 2 2 2" xfId="6414" xr:uid="{00000000-0005-0000-0000-0000D0050000}"/>
    <cellStyle name="20% - Accent1 4 3 2 2 2 2 2 2" xfId="12064" xr:uid="{00000000-0005-0000-0000-0000D1050000}"/>
    <cellStyle name="20% - Accent1 4 3 2 2 2 2 2 2 2" xfId="23365" xr:uid="{00000000-0005-0000-0000-0000D2050000}"/>
    <cellStyle name="20% - Accent1 4 3 2 2 2 2 2 2 2 2" xfId="45967" xr:uid="{00000000-0005-0000-0000-0000D3050000}"/>
    <cellStyle name="20% - Accent1 4 3 2 2 2 2 2 2 3" xfId="34666" xr:uid="{00000000-0005-0000-0000-0000D4050000}"/>
    <cellStyle name="20% - Accent1 4 3 2 2 2 2 2 3" xfId="17715" xr:uid="{00000000-0005-0000-0000-0000D5050000}"/>
    <cellStyle name="20% - Accent1 4 3 2 2 2 2 2 3 2" xfId="40317" xr:uid="{00000000-0005-0000-0000-0000D6050000}"/>
    <cellStyle name="20% - Accent1 4 3 2 2 2 2 2 4" xfId="29016" xr:uid="{00000000-0005-0000-0000-0000D7050000}"/>
    <cellStyle name="20% - Accent1 4 3 2 2 2 2 3" xfId="9232" xr:uid="{00000000-0005-0000-0000-0000D8050000}"/>
    <cellStyle name="20% - Accent1 4 3 2 2 2 2 3 2" xfId="20533" xr:uid="{00000000-0005-0000-0000-0000D9050000}"/>
    <cellStyle name="20% - Accent1 4 3 2 2 2 2 3 2 2" xfId="43135" xr:uid="{00000000-0005-0000-0000-0000DA050000}"/>
    <cellStyle name="20% - Accent1 4 3 2 2 2 2 3 3" xfId="31834" xr:uid="{00000000-0005-0000-0000-0000DB050000}"/>
    <cellStyle name="20% - Accent1 4 3 2 2 2 2 4" xfId="14883" xr:uid="{00000000-0005-0000-0000-0000DC050000}"/>
    <cellStyle name="20% - Accent1 4 3 2 2 2 2 4 2" xfId="37485" xr:uid="{00000000-0005-0000-0000-0000DD050000}"/>
    <cellStyle name="20% - Accent1 4 3 2 2 2 2 5" xfId="26184" xr:uid="{00000000-0005-0000-0000-0000DE050000}"/>
    <cellStyle name="20% - Accent1 4 3 2 2 2 3" xfId="5180" xr:uid="{00000000-0005-0000-0000-0000DF050000}"/>
    <cellStyle name="20% - Accent1 4 3 2 2 2 3 2" xfId="10830" xr:uid="{00000000-0005-0000-0000-0000E0050000}"/>
    <cellStyle name="20% - Accent1 4 3 2 2 2 3 2 2" xfId="22131" xr:uid="{00000000-0005-0000-0000-0000E1050000}"/>
    <cellStyle name="20% - Accent1 4 3 2 2 2 3 2 2 2" xfId="44733" xr:uid="{00000000-0005-0000-0000-0000E2050000}"/>
    <cellStyle name="20% - Accent1 4 3 2 2 2 3 2 3" xfId="33432" xr:uid="{00000000-0005-0000-0000-0000E3050000}"/>
    <cellStyle name="20% - Accent1 4 3 2 2 2 3 3" xfId="16481" xr:uid="{00000000-0005-0000-0000-0000E4050000}"/>
    <cellStyle name="20% - Accent1 4 3 2 2 2 3 3 2" xfId="39083" xr:uid="{00000000-0005-0000-0000-0000E5050000}"/>
    <cellStyle name="20% - Accent1 4 3 2 2 2 3 4" xfId="27782" xr:uid="{00000000-0005-0000-0000-0000E6050000}"/>
    <cellStyle name="20% - Accent1 4 3 2 2 2 4" xfId="7416" xr:uid="{00000000-0005-0000-0000-0000E7050000}"/>
    <cellStyle name="20% - Accent1 4 3 2 2 2 4 2" xfId="18717" xr:uid="{00000000-0005-0000-0000-0000E8050000}"/>
    <cellStyle name="20% - Accent1 4 3 2 2 2 4 2 2" xfId="41319" xr:uid="{00000000-0005-0000-0000-0000E9050000}"/>
    <cellStyle name="20% - Accent1 4 3 2 2 2 4 3" xfId="30018" xr:uid="{00000000-0005-0000-0000-0000EA050000}"/>
    <cellStyle name="20% - Accent1 4 3 2 2 2 5" xfId="13067" xr:uid="{00000000-0005-0000-0000-0000EB050000}"/>
    <cellStyle name="20% - Accent1 4 3 2 2 2 5 2" xfId="35669" xr:uid="{00000000-0005-0000-0000-0000EC050000}"/>
    <cellStyle name="20% - Accent1 4 3 2 2 2 6" xfId="24368" xr:uid="{00000000-0005-0000-0000-0000ED050000}"/>
    <cellStyle name="20% - Accent1 4 3 2 2 3" xfId="2771" xr:uid="{00000000-0005-0000-0000-0000EE050000}"/>
    <cellStyle name="20% - Accent1 4 3 2 2 3 2" xfId="5790" xr:uid="{00000000-0005-0000-0000-0000EF050000}"/>
    <cellStyle name="20% - Accent1 4 3 2 2 3 2 2" xfId="11440" xr:uid="{00000000-0005-0000-0000-0000F0050000}"/>
    <cellStyle name="20% - Accent1 4 3 2 2 3 2 2 2" xfId="22741" xr:uid="{00000000-0005-0000-0000-0000F1050000}"/>
    <cellStyle name="20% - Accent1 4 3 2 2 3 2 2 2 2" xfId="45343" xr:uid="{00000000-0005-0000-0000-0000F2050000}"/>
    <cellStyle name="20% - Accent1 4 3 2 2 3 2 2 3" xfId="34042" xr:uid="{00000000-0005-0000-0000-0000F3050000}"/>
    <cellStyle name="20% - Accent1 4 3 2 2 3 2 3" xfId="17091" xr:uid="{00000000-0005-0000-0000-0000F4050000}"/>
    <cellStyle name="20% - Accent1 4 3 2 2 3 2 3 2" xfId="39693" xr:uid="{00000000-0005-0000-0000-0000F5050000}"/>
    <cellStyle name="20% - Accent1 4 3 2 2 3 2 4" xfId="28392" xr:uid="{00000000-0005-0000-0000-0000F6050000}"/>
    <cellStyle name="20% - Accent1 4 3 2 2 3 3" xfId="8607" xr:uid="{00000000-0005-0000-0000-0000F7050000}"/>
    <cellStyle name="20% - Accent1 4 3 2 2 3 3 2" xfId="19908" xr:uid="{00000000-0005-0000-0000-0000F8050000}"/>
    <cellStyle name="20% - Accent1 4 3 2 2 3 3 2 2" xfId="42510" xr:uid="{00000000-0005-0000-0000-0000F9050000}"/>
    <cellStyle name="20% - Accent1 4 3 2 2 3 3 3" xfId="31209" xr:uid="{00000000-0005-0000-0000-0000FA050000}"/>
    <cellStyle name="20% - Accent1 4 3 2 2 3 4" xfId="14258" xr:uid="{00000000-0005-0000-0000-0000FB050000}"/>
    <cellStyle name="20% - Accent1 4 3 2 2 3 4 2" xfId="36860" xr:uid="{00000000-0005-0000-0000-0000FC050000}"/>
    <cellStyle name="20% - Accent1 4 3 2 2 3 5" xfId="25559" xr:uid="{00000000-0005-0000-0000-0000FD050000}"/>
    <cellStyle name="20% - Accent1 4 3 2 2 4" xfId="4556" xr:uid="{00000000-0005-0000-0000-0000FE050000}"/>
    <cellStyle name="20% - Accent1 4 3 2 2 4 2" xfId="10206" xr:uid="{00000000-0005-0000-0000-0000FF050000}"/>
    <cellStyle name="20% - Accent1 4 3 2 2 4 2 2" xfId="21507" xr:uid="{00000000-0005-0000-0000-000000060000}"/>
    <cellStyle name="20% - Accent1 4 3 2 2 4 2 2 2" xfId="44109" xr:uid="{00000000-0005-0000-0000-000001060000}"/>
    <cellStyle name="20% - Accent1 4 3 2 2 4 2 3" xfId="32808" xr:uid="{00000000-0005-0000-0000-000002060000}"/>
    <cellStyle name="20% - Accent1 4 3 2 2 4 3" xfId="15857" xr:uid="{00000000-0005-0000-0000-000003060000}"/>
    <cellStyle name="20% - Accent1 4 3 2 2 4 3 2" xfId="38459" xr:uid="{00000000-0005-0000-0000-000004060000}"/>
    <cellStyle name="20% - Accent1 4 3 2 2 4 4" xfId="27158" xr:uid="{00000000-0005-0000-0000-000005060000}"/>
    <cellStyle name="20% - Accent1 4 3 2 2 5" xfId="7352" xr:uid="{00000000-0005-0000-0000-000006060000}"/>
    <cellStyle name="20% - Accent1 4 3 2 2 5 2" xfId="18653" xr:uid="{00000000-0005-0000-0000-000007060000}"/>
    <cellStyle name="20% - Accent1 4 3 2 2 5 2 2" xfId="41255" xr:uid="{00000000-0005-0000-0000-000008060000}"/>
    <cellStyle name="20% - Accent1 4 3 2 2 5 3" xfId="29954" xr:uid="{00000000-0005-0000-0000-000009060000}"/>
    <cellStyle name="20% - Accent1 4 3 2 2 6" xfId="13003" xr:uid="{00000000-0005-0000-0000-00000A060000}"/>
    <cellStyle name="20% - Accent1 4 3 2 2 6 2" xfId="35605" xr:uid="{00000000-0005-0000-0000-00000B060000}"/>
    <cellStyle name="20% - Accent1 4 3 2 2 7" xfId="24304" xr:uid="{00000000-0005-0000-0000-00000C060000}"/>
    <cellStyle name="20% - Accent1 4 3 2 3" xfId="1071" xr:uid="{00000000-0005-0000-0000-00000D060000}"/>
    <cellStyle name="20% - Accent1 4 3 2 3 2" xfId="3134" xr:uid="{00000000-0005-0000-0000-00000E060000}"/>
    <cellStyle name="20% - Accent1 4 3 2 3 2 2" xfId="6106" xr:uid="{00000000-0005-0000-0000-00000F060000}"/>
    <cellStyle name="20% - Accent1 4 3 2 3 2 2 2" xfId="11756" xr:uid="{00000000-0005-0000-0000-000010060000}"/>
    <cellStyle name="20% - Accent1 4 3 2 3 2 2 2 2" xfId="23057" xr:uid="{00000000-0005-0000-0000-000011060000}"/>
    <cellStyle name="20% - Accent1 4 3 2 3 2 2 2 2 2" xfId="45659" xr:uid="{00000000-0005-0000-0000-000012060000}"/>
    <cellStyle name="20% - Accent1 4 3 2 3 2 2 2 3" xfId="34358" xr:uid="{00000000-0005-0000-0000-000013060000}"/>
    <cellStyle name="20% - Accent1 4 3 2 3 2 2 3" xfId="17407" xr:uid="{00000000-0005-0000-0000-000014060000}"/>
    <cellStyle name="20% - Accent1 4 3 2 3 2 2 3 2" xfId="40009" xr:uid="{00000000-0005-0000-0000-000015060000}"/>
    <cellStyle name="20% - Accent1 4 3 2 3 2 2 4" xfId="28708" xr:uid="{00000000-0005-0000-0000-000016060000}"/>
    <cellStyle name="20% - Accent1 4 3 2 3 2 3" xfId="8924" xr:uid="{00000000-0005-0000-0000-000017060000}"/>
    <cellStyle name="20% - Accent1 4 3 2 3 2 3 2" xfId="20225" xr:uid="{00000000-0005-0000-0000-000018060000}"/>
    <cellStyle name="20% - Accent1 4 3 2 3 2 3 2 2" xfId="42827" xr:uid="{00000000-0005-0000-0000-000019060000}"/>
    <cellStyle name="20% - Accent1 4 3 2 3 2 3 3" xfId="31526" xr:uid="{00000000-0005-0000-0000-00001A060000}"/>
    <cellStyle name="20% - Accent1 4 3 2 3 2 4" xfId="14575" xr:uid="{00000000-0005-0000-0000-00001B060000}"/>
    <cellStyle name="20% - Accent1 4 3 2 3 2 4 2" xfId="37177" xr:uid="{00000000-0005-0000-0000-00001C060000}"/>
    <cellStyle name="20% - Accent1 4 3 2 3 2 5" xfId="25876" xr:uid="{00000000-0005-0000-0000-00001D060000}"/>
    <cellStyle name="20% - Accent1 4 3 2 3 3" xfId="4872" xr:uid="{00000000-0005-0000-0000-00001E060000}"/>
    <cellStyle name="20% - Accent1 4 3 2 3 3 2" xfId="10522" xr:uid="{00000000-0005-0000-0000-00001F060000}"/>
    <cellStyle name="20% - Accent1 4 3 2 3 3 2 2" xfId="21823" xr:uid="{00000000-0005-0000-0000-000020060000}"/>
    <cellStyle name="20% - Accent1 4 3 2 3 3 2 2 2" xfId="44425" xr:uid="{00000000-0005-0000-0000-000021060000}"/>
    <cellStyle name="20% - Accent1 4 3 2 3 3 2 3" xfId="33124" xr:uid="{00000000-0005-0000-0000-000022060000}"/>
    <cellStyle name="20% - Accent1 4 3 2 3 3 3" xfId="16173" xr:uid="{00000000-0005-0000-0000-000023060000}"/>
    <cellStyle name="20% - Accent1 4 3 2 3 3 3 2" xfId="38775" xr:uid="{00000000-0005-0000-0000-000024060000}"/>
    <cellStyle name="20% - Accent1 4 3 2 3 3 4" xfId="27474" xr:uid="{00000000-0005-0000-0000-000025060000}"/>
    <cellStyle name="20% - Accent1 4 3 2 3 4" xfId="7059" xr:uid="{00000000-0005-0000-0000-000026060000}"/>
    <cellStyle name="20% - Accent1 4 3 2 3 4 2" xfId="18360" xr:uid="{00000000-0005-0000-0000-000027060000}"/>
    <cellStyle name="20% - Accent1 4 3 2 3 4 2 2" xfId="40962" xr:uid="{00000000-0005-0000-0000-000028060000}"/>
    <cellStyle name="20% - Accent1 4 3 2 3 4 3" xfId="29661" xr:uid="{00000000-0005-0000-0000-000029060000}"/>
    <cellStyle name="20% - Accent1 4 3 2 3 5" xfId="12710" xr:uid="{00000000-0005-0000-0000-00002A060000}"/>
    <cellStyle name="20% - Accent1 4 3 2 3 5 2" xfId="35312" xr:uid="{00000000-0005-0000-0000-00002B060000}"/>
    <cellStyle name="20% - Accent1 4 3 2 3 6" xfId="24011" xr:uid="{00000000-0005-0000-0000-00002C060000}"/>
    <cellStyle name="20% - Accent1 4 3 2 4" xfId="1559" xr:uid="{00000000-0005-0000-0000-00002D060000}"/>
    <cellStyle name="20% - Accent1 4 3 2 4 2" xfId="3575" xr:uid="{00000000-0005-0000-0000-00002E060000}"/>
    <cellStyle name="20% - Accent1 4 3 2 4 2 2" xfId="9302" xr:uid="{00000000-0005-0000-0000-00002F060000}"/>
    <cellStyle name="20% - Accent1 4 3 2 4 2 2 2" xfId="20603" xr:uid="{00000000-0005-0000-0000-000030060000}"/>
    <cellStyle name="20% - Accent1 4 3 2 4 2 2 2 2" xfId="43205" xr:uid="{00000000-0005-0000-0000-000031060000}"/>
    <cellStyle name="20% - Accent1 4 3 2 4 2 2 3" xfId="31904" xr:uid="{00000000-0005-0000-0000-000032060000}"/>
    <cellStyle name="20% - Accent1 4 3 2 4 2 3" xfId="14953" xr:uid="{00000000-0005-0000-0000-000033060000}"/>
    <cellStyle name="20% - Accent1 4 3 2 4 2 3 2" xfId="37555" xr:uid="{00000000-0005-0000-0000-000034060000}"/>
    <cellStyle name="20% - Accent1 4 3 2 4 2 4" xfId="26254" xr:uid="{00000000-0005-0000-0000-000035060000}"/>
    <cellStyle name="20% - Accent1 4 3 2 4 3" xfId="5482" xr:uid="{00000000-0005-0000-0000-000036060000}"/>
    <cellStyle name="20% - Accent1 4 3 2 4 3 2" xfId="11132" xr:uid="{00000000-0005-0000-0000-000037060000}"/>
    <cellStyle name="20% - Accent1 4 3 2 4 3 2 2" xfId="22433" xr:uid="{00000000-0005-0000-0000-000038060000}"/>
    <cellStyle name="20% - Accent1 4 3 2 4 3 2 2 2" xfId="45035" xr:uid="{00000000-0005-0000-0000-000039060000}"/>
    <cellStyle name="20% - Accent1 4 3 2 4 3 2 3" xfId="33734" xr:uid="{00000000-0005-0000-0000-00003A060000}"/>
    <cellStyle name="20% - Accent1 4 3 2 4 3 3" xfId="16783" xr:uid="{00000000-0005-0000-0000-00003B060000}"/>
    <cellStyle name="20% - Accent1 4 3 2 4 3 3 2" xfId="39385" xr:uid="{00000000-0005-0000-0000-00003C060000}"/>
    <cellStyle name="20% - Accent1 4 3 2 4 3 4" xfId="28084" xr:uid="{00000000-0005-0000-0000-00003D060000}"/>
    <cellStyle name="20% - Accent1 4 3 2 4 4" xfId="7415" xr:uid="{00000000-0005-0000-0000-00003E060000}"/>
    <cellStyle name="20% - Accent1 4 3 2 4 4 2" xfId="18716" xr:uid="{00000000-0005-0000-0000-00003F060000}"/>
    <cellStyle name="20% - Accent1 4 3 2 4 4 2 2" xfId="41318" xr:uid="{00000000-0005-0000-0000-000040060000}"/>
    <cellStyle name="20% - Accent1 4 3 2 4 4 3" xfId="30017" xr:uid="{00000000-0005-0000-0000-000041060000}"/>
    <cellStyle name="20% - Accent1 4 3 2 4 5" xfId="13066" xr:uid="{00000000-0005-0000-0000-000042060000}"/>
    <cellStyle name="20% - Accent1 4 3 2 4 5 2" xfId="35668" xr:uid="{00000000-0005-0000-0000-000043060000}"/>
    <cellStyle name="20% - Accent1 4 3 2 4 6" xfId="24367" xr:uid="{00000000-0005-0000-0000-000044060000}"/>
    <cellStyle name="20% - Accent1 4 3 2 5" xfId="2463" xr:uid="{00000000-0005-0000-0000-000045060000}"/>
    <cellStyle name="20% - Accent1 4 3 2 5 2" xfId="8299" xr:uid="{00000000-0005-0000-0000-000046060000}"/>
    <cellStyle name="20% - Accent1 4 3 2 5 2 2" xfId="19600" xr:uid="{00000000-0005-0000-0000-000047060000}"/>
    <cellStyle name="20% - Accent1 4 3 2 5 2 2 2" xfId="42202" xr:uid="{00000000-0005-0000-0000-000048060000}"/>
    <cellStyle name="20% - Accent1 4 3 2 5 2 3" xfId="30901" xr:uid="{00000000-0005-0000-0000-000049060000}"/>
    <cellStyle name="20% - Accent1 4 3 2 5 3" xfId="13950" xr:uid="{00000000-0005-0000-0000-00004A060000}"/>
    <cellStyle name="20% - Accent1 4 3 2 5 3 2" xfId="36552" xr:uid="{00000000-0005-0000-0000-00004B060000}"/>
    <cellStyle name="20% - Accent1 4 3 2 5 4" xfId="25251" xr:uid="{00000000-0005-0000-0000-00004C060000}"/>
    <cellStyle name="20% - Accent1 4 3 2 6" xfId="4248" xr:uid="{00000000-0005-0000-0000-00004D060000}"/>
    <cellStyle name="20% - Accent1 4 3 2 6 2" xfId="9898" xr:uid="{00000000-0005-0000-0000-00004E060000}"/>
    <cellStyle name="20% - Accent1 4 3 2 6 2 2" xfId="21199" xr:uid="{00000000-0005-0000-0000-00004F060000}"/>
    <cellStyle name="20% - Accent1 4 3 2 6 2 2 2" xfId="43801" xr:uid="{00000000-0005-0000-0000-000050060000}"/>
    <cellStyle name="20% - Accent1 4 3 2 6 2 3" xfId="32500" xr:uid="{00000000-0005-0000-0000-000051060000}"/>
    <cellStyle name="20% - Accent1 4 3 2 6 3" xfId="15549" xr:uid="{00000000-0005-0000-0000-000052060000}"/>
    <cellStyle name="20% - Accent1 4 3 2 6 3 2" xfId="38151" xr:uid="{00000000-0005-0000-0000-000053060000}"/>
    <cellStyle name="20% - Accent1 4 3 2 6 4" xfId="26850" xr:uid="{00000000-0005-0000-0000-000054060000}"/>
    <cellStyle name="20% - Accent1 4 3 2 7" xfId="6728" xr:uid="{00000000-0005-0000-0000-000055060000}"/>
    <cellStyle name="20% - Accent1 4 3 2 7 2" xfId="18029" xr:uid="{00000000-0005-0000-0000-000056060000}"/>
    <cellStyle name="20% - Accent1 4 3 2 7 2 2" xfId="40631" xr:uid="{00000000-0005-0000-0000-000057060000}"/>
    <cellStyle name="20% - Accent1 4 3 2 7 3" xfId="29330" xr:uid="{00000000-0005-0000-0000-000058060000}"/>
    <cellStyle name="20% - Accent1 4 3 2 8" xfId="12379" xr:uid="{00000000-0005-0000-0000-000059060000}"/>
    <cellStyle name="20% - Accent1 4 3 2 8 2" xfId="34981" xr:uid="{00000000-0005-0000-0000-00005A060000}"/>
    <cellStyle name="20% - Accent1 4 3 2 9" xfId="23680" xr:uid="{00000000-0005-0000-0000-00005B060000}"/>
    <cellStyle name="20% - Accent1 4 3 3" xfId="1235" xr:uid="{00000000-0005-0000-0000-00005C060000}"/>
    <cellStyle name="20% - Accent1 4 3 3 2" xfId="1561" xr:uid="{00000000-0005-0000-0000-00005D060000}"/>
    <cellStyle name="20% - Accent1 4 3 3 2 2" xfId="3303" xr:uid="{00000000-0005-0000-0000-00005E060000}"/>
    <cellStyle name="20% - Accent1 4 3 3 2 2 2" xfId="6275" xr:uid="{00000000-0005-0000-0000-00005F060000}"/>
    <cellStyle name="20% - Accent1 4 3 3 2 2 2 2" xfId="11925" xr:uid="{00000000-0005-0000-0000-000060060000}"/>
    <cellStyle name="20% - Accent1 4 3 3 2 2 2 2 2" xfId="23226" xr:uid="{00000000-0005-0000-0000-000061060000}"/>
    <cellStyle name="20% - Accent1 4 3 3 2 2 2 2 2 2" xfId="45828" xr:uid="{00000000-0005-0000-0000-000062060000}"/>
    <cellStyle name="20% - Accent1 4 3 3 2 2 2 2 3" xfId="34527" xr:uid="{00000000-0005-0000-0000-000063060000}"/>
    <cellStyle name="20% - Accent1 4 3 3 2 2 2 3" xfId="17576" xr:uid="{00000000-0005-0000-0000-000064060000}"/>
    <cellStyle name="20% - Accent1 4 3 3 2 2 2 3 2" xfId="40178" xr:uid="{00000000-0005-0000-0000-000065060000}"/>
    <cellStyle name="20% - Accent1 4 3 3 2 2 2 4" xfId="28877" xr:uid="{00000000-0005-0000-0000-000066060000}"/>
    <cellStyle name="20% - Accent1 4 3 3 2 2 3" xfId="9093" xr:uid="{00000000-0005-0000-0000-000067060000}"/>
    <cellStyle name="20% - Accent1 4 3 3 2 2 3 2" xfId="20394" xr:uid="{00000000-0005-0000-0000-000068060000}"/>
    <cellStyle name="20% - Accent1 4 3 3 2 2 3 2 2" xfId="42996" xr:uid="{00000000-0005-0000-0000-000069060000}"/>
    <cellStyle name="20% - Accent1 4 3 3 2 2 3 3" xfId="31695" xr:uid="{00000000-0005-0000-0000-00006A060000}"/>
    <cellStyle name="20% - Accent1 4 3 3 2 2 4" xfId="14744" xr:uid="{00000000-0005-0000-0000-00006B060000}"/>
    <cellStyle name="20% - Accent1 4 3 3 2 2 4 2" xfId="37346" xr:uid="{00000000-0005-0000-0000-00006C060000}"/>
    <cellStyle name="20% - Accent1 4 3 3 2 2 5" xfId="26045" xr:uid="{00000000-0005-0000-0000-00006D060000}"/>
    <cellStyle name="20% - Accent1 4 3 3 2 3" xfId="5041" xr:uid="{00000000-0005-0000-0000-00006E060000}"/>
    <cellStyle name="20% - Accent1 4 3 3 2 3 2" xfId="10691" xr:uid="{00000000-0005-0000-0000-00006F060000}"/>
    <cellStyle name="20% - Accent1 4 3 3 2 3 2 2" xfId="21992" xr:uid="{00000000-0005-0000-0000-000070060000}"/>
    <cellStyle name="20% - Accent1 4 3 3 2 3 2 2 2" xfId="44594" xr:uid="{00000000-0005-0000-0000-000071060000}"/>
    <cellStyle name="20% - Accent1 4 3 3 2 3 2 3" xfId="33293" xr:uid="{00000000-0005-0000-0000-000072060000}"/>
    <cellStyle name="20% - Accent1 4 3 3 2 3 3" xfId="16342" xr:uid="{00000000-0005-0000-0000-000073060000}"/>
    <cellStyle name="20% - Accent1 4 3 3 2 3 3 2" xfId="38944" xr:uid="{00000000-0005-0000-0000-000074060000}"/>
    <cellStyle name="20% - Accent1 4 3 3 2 3 4" xfId="27643" xr:uid="{00000000-0005-0000-0000-000075060000}"/>
    <cellStyle name="20% - Accent1 4 3 3 2 4" xfId="7417" xr:uid="{00000000-0005-0000-0000-000076060000}"/>
    <cellStyle name="20% - Accent1 4 3 3 2 4 2" xfId="18718" xr:uid="{00000000-0005-0000-0000-000077060000}"/>
    <cellStyle name="20% - Accent1 4 3 3 2 4 2 2" xfId="41320" xr:uid="{00000000-0005-0000-0000-000078060000}"/>
    <cellStyle name="20% - Accent1 4 3 3 2 4 3" xfId="30019" xr:uid="{00000000-0005-0000-0000-000079060000}"/>
    <cellStyle name="20% - Accent1 4 3 3 2 5" xfId="13068" xr:uid="{00000000-0005-0000-0000-00007A060000}"/>
    <cellStyle name="20% - Accent1 4 3 3 2 5 2" xfId="35670" xr:uid="{00000000-0005-0000-0000-00007B060000}"/>
    <cellStyle name="20% - Accent1 4 3 3 2 6" xfId="24369" xr:uid="{00000000-0005-0000-0000-00007C060000}"/>
    <cellStyle name="20% - Accent1 4 3 3 3" xfId="2632" xr:uid="{00000000-0005-0000-0000-00007D060000}"/>
    <cellStyle name="20% - Accent1 4 3 3 3 2" xfId="5651" xr:uid="{00000000-0005-0000-0000-00007E060000}"/>
    <cellStyle name="20% - Accent1 4 3 3 3 2 2" xfId="11301" xr:uid="{00000000-0005-0000-0000-00007F060000}"/>
    <cellStyle name="20% - Accent1 4 3 3 3 2 2 2" xfId="22602" xr:uid="{00000000-0005-0000-0000-000080060000}"/>
    <cellStyle name="20% - Accent1 4 3 3 3 2 2 2 2" xfId="45204" xr:uid="{00000000-0005-0000-0000-000081060000}"/>
    <cellStyle name="20% - Accent1 4 3 3 3 2 2 3" xfId="33903" xr:uid="{00000000-0005-0000-0000-000082060000}"/>
    <cellStyle name="20% - Accent1 4 3 3 3 2 3" xfId="16952" xr:uid="{00000000-0005-0000-0000-000083060000}"/>
    <cellStyle name="20% - Accent1 4 3 3 3 2 3 2" xfId="39554" xr:uid="{00000000-0005-0000-0000-000084060000}"/>
    <cellStyle name="20% - Accent1 4 3 3 3 2 4" xfId="28253" xr:uid="{00000000-0005-0000-0000-000085060000}"/>
    <cellStyle name="20% - Accent1 4 3 3 3 3" xfId="8468" xr:uid="{00000000-0005-0000-0000-000086060000}"/>
    <cellStyle name="20% - Accent1 4 3 3 3 3 2" xfId="19769" xr:uid="{00000000-0005-0000-0000-000087060000}"/>
    <cellStyle name="20% - Accent1 4 3 3 3 3 2 2" xfId="42371" xr:uid="{00000000-0005-0000-0000-000088060000}"/>
    <cellStyle name="20% - Accent1 4 3 3 3 3 3" xfId="31070" xr:uid="{00000000-0005-0000-0000-000089060000}"/>
    <cellStyle name="20% - Accent1 4 3 3 3 4" xfId="14119" xr:uid="{00000000-0005-0000-0000-00008A060000}"/>
    <cellStyle name="20% - Accent1 4 3 3 3 4 2" xfId="36721" xr:uid="{00000000-0005-0000-0000-00008B060000}"/>
    <cellStyle name="20% - Accent1 4 3 3 3 5" xfId="25420" xr:uid="{00000000-0005-0000-0000-00008C060000}"/>
    <cellStyle name="20% - Accent1 4 3 3 4" xfId="4417" xr:uid="{00000000-0005-0000-0000-00008D060000}"/>
    <cellStyle name="20% - Accent1 4 3 3 4 2" xfId="10067" xr:uid="{00000000-0005-0000-0000-00008E060000}"/>
    <cellStyle name="20% - Accent1 4 3 3 4 2 2" xfId="21368" xr:uid="{00000000-0005-0000-0000-00008F060000}"/>
    <cellStyle name="20% - Accent1 4 3 3 4 2 2 2" xfId="43970" xr:uid="{00000000-0005-0000-0000-000090060000}"/>
    <cellStyle name="20% - Accent1 4 3 3 4 2 3" xfId="32669" xr:uid="{00000000-0005-0000-0000-000091060000}"/>
    <cellStyle name="20% - Accent1 4 3 3 4 3" xfId="15718" xr:uid="{00000000-0005-0000-0000-000092060000}"/>
    <cellStyle name="20% - Accent1 4 3 3 4 3 2" xfId="38320" xr:uid="{00000000-0005-0000-0000-000093060000}"/>
    <cellStyle name="20% - Accent1 4 3 3 4 4" xfId="27019" xr:uid="{00000000-0005-0000-0000-000094060000}"/>
    <cellStyle name="20% - Accent1 4 3 3 5" xfId="7214" xr:uid="{00000000-0005-0000-0000-000095060000}"/>
    <cellStyle name="20% - Accent1 4 3 3 5 2" xfId="18515" xr:uid="{00000000-0005-0000-0000-000096060000}"/>
    <cellStyle name="20% - Accent1 4 3 3 5 2 2" xfId="41117" xr:uid="{00000000-0005-0000-0000-000097060000}"/>
    <cellStyle name="20% - Accent1 4 3 3 5 3" xfId="29816" xr:uid="{00000000-0005-0000-0000-000098060000}"/>
    <cellStyle name="20% - Accent1 4 3 3 6" xfId="12865" xr:uid="{00000000-0005-0000-0000-000099060000}"/>
    <cellStyle name="20% - Accent1 4 3 3 6 2" xfId="35467" xr:uid="{00000000-0005-0000-0000-00009A060000}"/>
    <cellStyle name="20% - Accent1 4 3 3 7" xfId="24166" xr:uid="{00000000-0005-0000-0000-00009B060000}"/>
    <cellStyle name="20% - Accent1 4 3 4" xfId="926" xr:uid="{00000000-0005-0000-0000-00009C060000}"/>
    <cellStyle name="20% - Accent1 4 3 4 2" xfId="2996" xr:uid="{00000000-0005-0000-0000-00009D060000}"/>
    <cellStyle name="20% - Accent1 4 3 4 2 2" xfId="5968" xr:uid="{00000000-0005-0000-0000-00009E060000}"/>
    <cellStyle name="20% - Accent1 4 3 4 2 2 2" xfId="11618" xr:uid="{00000000-0005-0000-0000-00009F060000}"/>
    <cellStyle name="20% - Accent1 4 3 4 2 2 2 2" xfId="22919" xr:uid="{00000000-0005-0000-0000-0000A0060000}"/>
    <cellStyle name="20% - Accent1 4 3 4 2 2 2 2 2" xfId="45521" xr:uid="{00000000-0005-0000-0000-0000A1060000}"/>
    <cellStyle name="20% - Accent1 4 3 4 2 2 2 3" xfId="34220" xr:uid="{00000000-0005-0000-0000-0000A2060000}"/>
    <cellStyle name="20% - Accent1 4 3 4 2 2 3" xfId="17269" xr:uid="{00000000-0005-0000-0000-0000A3060000}"/>
    <cellStyle name="20% - Accent1 4 3 4 2 2 3 2" xfId="39871" xr:uid="{00000000-0005-0000-0000-0000A4060000}"/>
    <cellStyle name="20% - Accent1 4 3 4 2 2 4" xfId="28570" xr:uid="{00000000-0005-0000-0000-0000A5060000}"/>
    <cellStyle name="20% - Accent1 4 3 4 2 3" xfId="8786" xr:uid="{00000000-0005-0000-0000-0000A6060000}"/>
    <cellStyle name="20% - Accent1 4 3 4 2 3 2" xfId="20087" xr:uid="{00000000-0005-0000-0000-0000A7060000}"/>
    <cellStyle name="20% - Accent1 4 3 4 2 3 2 2" xfId="42689" xr:uid="{00000000-0005-0000-0000-0000A8060000}"/>
    <cellStyle name="20% - Accent1 4 3 4 2 3 3" xfId="31388" xr:uid="{00000000-0005-0000-0000-0000A9060000}"/>
    <cellStyle name="20% - Accent1 4 3 4 2 4" xfId="14437" xr:uid="{00000000-0005-0000-0000-0000AA060000}"/>
    <cellStyle name="20% - Accent1 4 3 4 2 4 2" xfId="37039" xr:uid="{00000000-0005-0000-0000-0000AB060000}"/>
    <cellStyle name="20% - Accent1 4 3 4 2 5" xfId="25738" xr:uid="{00000000-0005-0000-0000-0000AC060000}"/>
    <cellStyle name="20% - Accent1 4 3 4 3" xfId="4734" xr:uid="{00000000-0005-0000-0000-0000AD060000}"/>
    <cellStyle name="20% - Accent1 4 3 4 3 2" xfId="10384" xr:uid="{00000000-0005-0000-0000-0000AE060000}"/>
    <cellStyle name="20% - Accent1 4 3 4 3 2 2" xfId="21685" xr:uid="{00000000-0005-0000-0000-0000AF060000}"/>
    <cellStyle name="20% - Accent1 4 3 4 3 2 2 2" xfId="44287" xr:uid="{00000000-0005-0000-0000-0000B0060000}"/>
    <cellStyle name="20% - Accent1 4 3 4 3 2 3" xfId="32986" xr:uid="{00000000-0005-0000-0000-0000B1060000}"/>
    <cellStyle name="20% - Accent1 4 3 4 3 3" xfId="16035" xr:uid="{00000000-0005-0000-0000-0000B2060000}"/>
    <cellStyle name="20% - Accent1 4 3 4 3 3 2" xfId="38637" xr:uid="{00000000-0005-0000-0000-0000B3060000}"/>
    <cellStyle name="20% - Accent1 4 3 4 3 4" xfId="27336" xr:uid="{00000000-0005-0000-0000-0000B4060000}"/>
    <cellStyle name="20% - Accent1 4 3 4 4" xfId="6921" xr:uid="{00000000-0005-0000-0000-0000B5060000}"/>
    <cellStyle name="20% - Accent1 4 3 4 4 2" xfId="18222" xr:uid="{00000000-0005-0000-0000-0000B6060000}"/>
    <cellStyle name="20% - Accent1 4 3 4 4 2 2" xfId="40824" xr:uid="{00000000-0005-0000-0000-0000B7060000}"/>
    <cellStyle name="20% - Accent1 4 3 4 4 3" xfId="29523" xr:uid="{00000000-0005-0000-0000-0000B8060000}"/>
    <cellStyle name="20% - Accent1 4 3 4 5" xfId="12572" xr:uid="{00000000-0005-0000-0000-0000B9060000}"/>
    <cellStyle name="20% - Accent1 4 3 4 5 2" xfId="35174" xr:uid="{00000000-0005-0000-0000-0000BA060000}"/>
    <cellStyle name="20% - Accent1 4 3 4 6" xfId="23873" xr:uid="{00000000-0005-0000-0000-0000BB060000}"/>
    <cellStyle name="20% - Accent1 4 3 5" xfId="1558" xr:uid="{00000000-0005-0000-0000-0000BC060000}"/>
    <cellStyle name="20% - Accent1 4 3 5 2" xfId="3549" xr:uid="{00000000-0005-0000-0000-0000BD060000}"/>
    <cellStyle name="20% - Accent1 4 3 5 2 2" xfId="9292" xr:uid="{00000000-0005-0000-0000-0000BE060000}"/>
    <cellStyle name="20% - Accent1 4 3 5 2 2 2" xfId="20593" xr:uid="{00000000-0005-0000-0000-0000BF060000}"/>
    <cellStyle name="20% - Accent1 4 3 5 2 2 2 2" xfId="43195" xr:uid="{00000000-0005-0000-0000-0000C0060000}"/>
    <cellStyle name="20% - Accent1 4 3 5 2 2 3" xfId="31894" xr:uid="{00000000-0005-0000-0000-0000C1060000}"/>
    <cellStyle name="20% - Accent1 4 3 5 2 3" xfId="14943" xr:uid="{00000000-0005-0000-0000-0000C2060000}"/>
    <cellStyle name="20% - Accent1 4 3 5 2 3 2" xfId="37545" xr:uid="{00000000-0005-0000-0000-0000C3060000}"/>
    <cellStyle name="20% - Accent1 4 3 5 2 4" xfId="26244" xr:uid="{00000000-0005-0000-0000-0000C4060000}"/>
    <cellStyle name="20% - Accent1 4 3 5 3" xfId="5344" xr:uid="{00000000-0005-0000-0000-0000C5060000}"/>
    <cellStyle name="20% - Accent1 4 3 5 3 2" xfId="10994" xr:uid="{00000000-0005-0000-0000-0000C6060000}"/>
    <cellStyle name="20% - Accent1 4 3 5 3 2 2" xfId="22295" xr:uid="{00000000-0005-0000-0000-0000C7060000}"/>
    <cellStyle name="20% - Accent1 4 3 5 3 2 2 2" xfId="44897" xr:uid="{00000000-0005-0000-0000-0000C8060000}"/>
    <cellStyle name="20% - Accent1 4 3 5 3 2 3" xfId="33596" xr:uid="{00000000-0005-0000-0000-0000C9060000}"/>
    <cellStyle name="20% - Accent1 4 3 5 3 3" xfId="16645" xr:uid="{00000000-0005-0000-0000-0000CA060000}"/>
    <cellStyle name="20% - Accent1 4 3 5 3 3 2" xfId="39247" xr:uid="{00000000-0005-0000-0000-0000CB060000}"/>
    <cellStyle name="20% - Accent1 4 3 5 3 4" xfId="27946" xr:uid="{00000000-0005-0000-0000-0000CC060000}"/>
    <cellStyle name="20% - Accent1 4 3 5 4" xfId="7414" xr:uid="{00000000-0005-0000-0000-0000CD060000}"/>
    <cellStyle name="20% - Accent1 4 3 5 4 2" xfId="18715" xr:uid="{00000000-0005-0000-0000-0000CE060000}"/>
    <cellStyle name="20% - Accent1 4 3 5 4 2 2" xfId="41317" xr:uid="{00000000-0005-0000-0000-0000CF060000}"/>
    <cellStyle name="20% - Accent1 4 3 5 4 3" xfId="30016" xr:uid="{00000000-0005-0000-0000-0000D0060000}"/>
    <cellStyle name="20% - Accent1 4 3 5 5" xfId="13065" xr:uid="{00000000-0005-0000-0000-0000D1060000}"/>
    <cellStyle name="20% - Accent1 4 3 5 5 2" xfId="35667" xr:uid="{00000000-0005-0000-0000-0000D2060000}"/>
    <cellStyle name="20% - Accent1 4 3 5 6" xfId="24366" xr:uid="{00000000-0005-0000-0000-0000D3060000}"/>
    <cellStyle name="20% - Accent1 4 3 6" xfId="2323" xr:uid="{00000000-0005-0000-0000-0000D4060000}"/>
    <cellStyle name="20% - Accent1 4 3 6 2" xfId="8159" xr:uid="{00000000-0005-0000-0000-0000D5060000}"/>
    <cellStyle name="20% - Accent1 4 3 6 2 2" xfId="19460" xr:uid="{00000000-0005-0000-0000-0000D6060000}"/>
    <cellStyle name="20% - Accent1 4 3 6 2 2 2" xfId="42062" xr:uid="{00000000-0005-0000-0000-0000D7060000}"/>
    <cellStyle name="20% - Accent1 4 3 6 2 3" xfId="30761" xr:uid="{00000000-0005-0000-0000-0000D8060000}"/>
    <cellStyle name="20% - Accent1 4 3 6 3" xfId="13810" xr:uid="{00000000-0005-0000-0000-0000D9060000}"/>
    <cellStyle name="20% - Accent1 4 3 6 3 2" xfId="36412" xr:uid="{00000000-0005-0000-0000-0000DA060000}"/>
    <cellStyle name="20% - Accent1 4 3 6 4" xfId="25111" xr:uid="{00000000-0005-0000-0000-0000DB060000}"/>
    <cellStyle name="20% - Accent1 4 3 7" xfId="4110" xr:uid="{00000000-0005-0000-0000-0000DC060000}"/>
    <cellStyle name="20% - Accent1 4 3 7 2" xfId="9760" xr:uid="{00000000-0005-0000-0000-0000DD060000}"/>
    <cellStyle name="20% - Accent1 4 3 7 2 2" xfId="21061" xr:uid="{00000000-0005-0000-0000-0000DE060000}"/>
    <cellStyle name="20% - Accent1 4 3 7 2 2 2" xfId="43663" xr:uid="{00000000-0005-0000-0000-0000DF060000}"/>
    <cellStyle name="20% - Accent1 4 3 7 2 3" xfId="32362" xr:uid="{00000000-0005-0000-0000-0000E0060000}"/>
    <cellStyle name="20% - Accent1 4 3 7 3" xfId="15411" xr:uid="{00000000-0005-0000-0000-0000E1060000}"/>
    <cellStyle name="20% - Accent1 4 3 7 3 2" xfId="38013" xr:uid="{00000000-0005-0000-0000-0000E2060000}"/>
    <cellStyle name="20% - Accent1 4 3 7 4" xfId="26712" xr:uid="{00000000-0005-0000-0000-0000E3060000}"/>
    <cellStyle name="20% - Accent1 4 3 8" xfId="6561" xr:uid="{00000000-0005-0000-0000-0000E4060000}"/>
    <cellStyle name="20% - Accent1 4 3 8 2" xfId="17862" xr:uid="{00000000-0005-0000-0000-0000E5060000}"/>
    <cellStyle name="20% - Accent1 4 3 8 2 2" xfId="40464" xr:uid="{00000000-0005-0000-0000-0000E6060000}"/>
    <cellStyle name="20% - Accent1 4 3 8 3" xfId="29163" xr:uid="{00000000-0005-0000-0000-0000E7060000}"/>
    <cellStyle name="20% - Accent1 4 3 9" xfId="12212" xr:uid="{00000000-0005-0000-0000-0000E8060000}"/>
    <cellStyle name="20% - Accent1 4 3 9 2" xfId="34814" xr:uid="{00000000-0005-0000-0000-0000E9060000}"/>
    <cellStyle name="20% - Accent1 4 4" xfId="565" xr:uid="{00000000-0005-0000-0000-0000EA060000}"/>
    <cellStyle name="20% - Accent1 4 4 2" xfId="1139" xr:uid="{00000000-0005-0000-0000-0000EB060000}"/>
    <cellStyle name="20% - Accent1 4 4 2 2" xfId="1563" xr:uid="{00000000-0005-0000-0000-0000EC060000}"/>
    <cellStyle name="20% - Accent1 4 4 2 2 2" xfId="3207" xr:uid="{00000000-0005-0000-0000-0000ED060000}"/>
    <cellStyle name="20% - Accent1 4 4 2 2 2 2" xfId="6179" xr:uid="{00000000-0005-0000-0000-0000EE060000}"/>
    <cellStyle name="20% - Accent1 4 4 2 2 2 2 2" xfId="11829" xr:uid="{00000000-0005-0000-0000-0000EF060000}"/>
    <cellStyle name="20% - Accent1 4 4 2 2 2 2 2 2" xfId="23130" xr:uid="{00000000-0005-0000-0000-0000F0060000}"/>
    <cellStyle name="20% - Accent1 4 4 2 2 2 2 2 2 2" xfId="45732" xr:uid="{00000000-0005-0000-0000-0000F1060000}"/>
    <cellStyle name="20% - Accent1 4 4 2 2 2 2 2 3" xfId="34431" xr:uid="{00000000-0005-0000-0000-0000F2060000}"/>
    <cellStyle name="20% - Accent1 4 4 2 2 2 2 3" xfId="17480" xr:uid="{00000000-0005-0000-0000-0000F3060000}"/>
    <cellStyle name="20% - Accent1 4 4 2 2 2 2 3 2" xfId="40082" xr:uid="{00000000-0005-0000-0000-0000F4060000}"/>
    <cellStyle name="20% - Accent1 4 4 2 2 2 2 4" xfId="28781" xr:uid="{00000000-0005-0000-0000-0000F5060000}"/>
    <cellStyle name="20% - Accent1 4 4 2 2 2 3" xfId="8997" xr:uid="{00000000-0005-0000-0000-0000F6060000}"/>
    <cellStyle name="20% - Accent1 4 4 2 2 2 3 2" xfId="20298" xr:uid="{00000000-0005-0000-0000-0000F7060000}"/>
    <cellStyle name="20% - Accent1 4 4 2 2 2 3 2 2" xfId="42900" xr:uid="{00000000-0005-0000-0000-0000F8060000}"/>
    <cellStyle name="20% - Accent1 4 4 2 2 2 3 3" xfId="31599" xr:uid="{00000000-0005-0000-0000-0000F9060000}"/>
    <cellStyle name="20% - Accent1 4 4 2 2 2 4" xfId="14648" xr:uid="{00000000-0005-0000-0000-0000FA060000}"/>
    <cellStyle name="20% - Accent1 4 4 2 2 2 4 2" xfId="37250" xr:uid="{00000000-0005-0000-0000-0000FB060000}"/>
    <cellStyle name="20% - Accent1 4 4 2 2 2 5" xfId="25949" xr:uid="{00000000-0005-0000-0000-0000FC060000}"/>
    <cellStyle name="20% - Accent1 4 4 2 2 3" xfId="4945" xr:uid="{00000000-0005-0000-0000-0000FD060000}"/>
    <cellStyle name="20% - Accent1 4 4 2 2 3 2" xfId="10595" xr:uid="{00000000-0005-0000-0000-0000FE060000}"/>
    <cellStyle name="20% - Accent1 4 4 2 2 3 2 2" xfId="21896" xr:uid="{00000000-0005-0000-0000-0000FF060000}"/>
    <cellStyle name="20% - Accent1 4 4 2 2 3 2 2 2" xfId="44498" xr:uid="{00000000-0005-0000-0000-000000070000}"/>
    <cellStyle name="20% - Accent1 4 4 2 2 3 2 3" xfId="33197" xr:uid="{00000000-0005-0000-0000-000001070000}"/>
    <cellStyle name="20% - Accent1 4 4 2 2 3 3" xfId="16246" xr:uid="{00000000-0005-0000-0000-000002070000}"/>
    <cellStyle name="20% - Accent1 4 4 2 2 3 3 2" xfId="38848" xr:uid="{00000000-0005-0000-0000-000003070000}"/>
    <cellStyle name="20% - Accent1 4 4 2 2 3 4" xfId="27547" xr:uid="{00000000-0005-0000-0000-000004070000}"/>
    <cellStyle name="20% - Accent1 4 4 2 2 4" xfId="7419" xr:uid="{00000000-0005-0000-0000-000005070000}"/>
    <cellStyle name="20% - Accent1 4 4 2 2 4 2" xfId="18720" xr:uid="{00000000-0005-0000-0000-000006070000}"/>
    <cellStyle name="20% - Accent1 4 4 2 2 4 2 2" xfId="41322" xr:uid="{00000000-0005-0000-0000-000007070000}"/>
    <cellStyle name="20% - Accent1 4 4 2 2 4 3" xfId="30021" xr:uid="{00000000-0005-0000-0000-000008070000}"/>
    <cellStyle name="20% - Accent1 4 4 2 2 5" xfId="13070" xr:uid="{00000000-0005-0000-0000-000009070000}"/>
    <cellStyle name="20% - Accent1 4 4 2 2 5 2" xfId="35672" xr:uid="{00000000-0005-0000-0000-00000A070000}"/>
    <cellStyle name="20% - Accent1 4 4 2 2 6" xfId="24371" xr:uid="{00000000-0005-0000-0000-00000B070000}"/>
    <cellStyle name="20% - Accent1 4 4 2 3" xfId="2536" xr:uid="{00000000-0005-0000-0000-00000C070000}"/>
    <cellStyle name="20% - Accent1 4 4 2 3 2" xfId="5555" xr:uid="{00000000-0005-0000-0000-00000D070000}"/>
    <cellStyle name="20% - Accent1 4 4 2 3 2 2" xfId="11205" xr:uid="{00000000-0005-0000-0000-00000E070000}"/>
    <cellStyle name="20% - Accent1 4 4 2 3 2 2 2" xfId="22506" xr:uid="{00000000-0005-0000-0000-00000F070000}"/>
    <cellStyle name="20% - Accent1 4 4 2 3 2 2 2 2" xfId="45108" xr:uid="{00000000-0005-0000-0000-000010070000}"/>
    <cellStyle name="20% - Accent1 4 4 2 3 2 2 3" xfId="33807" xr:uid="{00000000-0005-0000-0000-000011070000}"/>
    <cellStyle name="20% - Accent1 4 4 2 3 2 3" xfId="16856" xr:uid="{00000000-0005-0000-0000-000012070000}"/>
    <cellStyle name="20% - Accent1 4 4 2 3 2 3 2" xfId="39458" xr:uid="{00000000-0005-0000-0000-000013070000}"/>
    <cellStyle name="20% - Accent1 4 4 2 3 2 4" xfId="28157" xr:uid="{00000000-0005-0000-0000-000014070000}"/>
    <cellStyle name="20% - Accent1 4 4 2 3 3" xfId="8372" xr:uid="{00000000-0005-0000-0000-000015070000}"/>
    <cellStyle name="20% - Accent1 4 4 2 3 3 2" xfId="19673" xr:uid="{00000000-0005-0000-0000-000016070000}"/>
    <cellStyle name="20% - Accent1 4 4 2 3 3 2 2" xfId="42275" xr:uid="{00000000-0005-0000-0000-000017070000}"/>
    <cellStyle name="20% - Accent1 4 4 2 3 3 3" xfId="30974" xr:uid="{00000000-0005-0000-0000-000018070000}"/>
    <cellStyle name="20% - Accent1 4 4 2 3 4" xfId="14023" xr:uid="{00000000-0005-0000-0000-000019070000}"/>
    <cellStyle name="20% - Accent1 4 4 2 3 4 2" xfId="36625" xr:uid="{00000000-0005-0000-0000-00001A070000}"/>
    <cellStyle name="20% - Accent1 4 4 2 3 5" xfId="25324" xr:uid="{00000000-0005-0000-0000-00001B070000}"/>
    <cellStyle name="20% - Accent1 4 4 2 4" xfId="4321" xr:uid="{00000000-0005-0000-0000-00001C070000}"/>
    <cellStyle name="20% - Accent1 4 4 2 4 2" xfId="9971" xr:uid="{00000000-0005-0000-0000-00001D070000}"/>
    <cellStyle name="20% - Accent1 4 4 2 4 2 2" xfId="21272" xr:uid="{00000000-0005-0000-0000-00001E070000}"/>
    <cellStyle name="20% - Accent1 4 4 2 4 2 2 2" xfId="43874" xr:uid="{00000000-0005-0000-0000-00001F070000}"/>
    <cellStyle name="20% - Accent1 4 4 2 4 2 3" xfId="32573" xr:uid="{00000000-0005-0000-0000-000020070000}"/>
    <cellStyle name="20% - Accent1 4 4 2 4 3" xfId="15622" xr:uid="{00000000-0005-0000-0000-000021070000}"/>
    <cellStyle name="20% - Accent1 4 4 2 4 3 2" xfId="38224" xr:uid="{00000000-0005-0000-0000-000022070000}"/>
    <cellStyle name="20% - Accent1 4 4 2 4 4" xfId="26923" xr:uid="{00000000-0005-0000-0000-000023070000}"/>
    <cellStyle name="20% - Accent1 4 4 2 5" xfId="7118" xr:uid="{00000000-0005-0000-0000-000024070000}"/>
    <cellStyle name="20% - Accent1 4 4 2 5 2" xfId="18419" xr:uid="{00000000-0005-0000-0000-000025070000}"/>
    <cellStyle name="20% - Accent1 4 4 2 5 2 2" xfId="41021" xr:uid="{00000000-0005-0000-0000-000026070000}"/>
    <cellStyle name="20% - Accent1 4 4 2 5 3" xfId="29720" xr:uid="{00000000-0005-0000-0000-000027070000}"/>
    <cellStyle name="20% - Accent1 4 4 2 6" xfId="12769" xr:uid="{00000000-0005-0000-0000-000028070000}"/>
    <cellStyle name="20% - Accent1 4 4 2 6 2" xfId="35371" xr:uid="{00000000-0005-0000-0000-000029070000}"/>
    <cellStyle name="20% - Accent1 4 4 2 7" xfId="24070" xr:uid="{00000000-0005-0000-0000-00002A070000}"/>
    <cellStyle name="20% - Accent1 4 4 3" xfId="813" xr:uid="{00000000-0005-0000-0000-00002B070000}"/>
    <cellStyle name="20% - Accent1 4 4 3 2" xfId="2900" xr:uid="{00000000-0005-0000-0000-00002C070000}"/>
    <cellStyle name="20% - Accent1 4 4 3 2 2" xfId="5872" xr:uid="{00000000-0005-0000-0000-00002D070000}"/>
    <cellStyle name="20% - Accent1 4 4 3 2 2 2" xfId="11522" xr:uid="{00000000-0005-0000-0000-00002E070000}"/>
    <cellStyle name="20% - Accent1 4 4 3 2 2 2 2" xfId="22823" xr:uid="{00000000-0005-0000-0000-00002F070000}"/>
    <cellStyle name="20% - Accent1 4 4 3 2 2 2 2 2" xfId="45425" xr:uid="{00000000-0005-0000-0000-000030070000}"/>
    <cellStyle name="20% - Accent1 4 4 3 2 2 2 3" xfId="34124" xr:uid="{00000000-0005-0000-0000-000031070000}"/>
    <cellStyle name="20% - Accent1 4 4 3 2 2 3" xfId="17173" xr:uid="{00000000-0005-0000-0000-000032070000}"/>
    <cellStyle name="20% - Accent1 4 4 3 2 2 3 2" xfId="39775" xr:uid="{00000000-0005-0000-0000-000033070000}"/>
    <cellStyle name="20% - Accent1 4 4 3 2 2 4" xfId="28474" xr:uid="{00000000-0005-0000-0000-000034070000}"/>
    <cellStyle name="20% - Accent1 4 4 3 2 3" xfId="8690" xr:uid="{00000000-0005-0000-0000-000035070000}"/>
    <cellStyle name="20% - Accent1 4 4 3 2 3 2" xfId="19991" xr:uid="{00000000-0005-0000-0000-000036070000}"/>
    <cellStyle name="20% - Accent1 4 4 3 2 3 2 2" xfId="42593" xr:uid="{00000000-0005-0000-0000-000037070000}"/>
    <cellStyle name="20% - Accent1 4 4 3 2 3 3" xfId="31292" xr:uid="{00000000-0005-0000-0000-000038070000}"/>
    <cellStyle name="20% - Accent1 4 4 3 2 4" xfId="14341" xr:uid="{00000000-0005-0000-0000-000039070000}"/>
    <cellStyle name="20% - Accent1 4 4 3 2 4 2" xfId="36943" xr:uid="{00000000-0005-0000-0000-00003A070000}"/>
    <cellStyle name="20% - Accent1 4 4 3 2 5" xfId="25642" xr:uid="{00000000-0005-0000-0000-00003B070000}"/>
    <cellStyle name="20% - Accent1 4 4 3 3" xfId="4638" xr:uid="{00000000-0005-0000-0000-00003C070000}"/>
    <cellStyle name="20% - Accent1 4 4 3 3 2" xfId="10288" xr:uid="{00000000-0005-0000-0000-00003D070000}"/>
    <cellStyle name="20% - Accent1 4 4 3 3 2 2" xfId="21589" xr:uid="{00000000-0005-0000-0000-00003E070000}"/>
    <cellStyle name="20% - Accent1 4 4 3 3 2 2 2" xfId="44191" xr:uid="{00000000-0005-0000-0000-00003F070000}"/>
    <cellStyle name="20% - Accent1 4 4 3 3 2 3" xfId="32890" xr:uid="{00000000-0005-0000-0000-000040070000}"/>
    <cellStyle name="20% - Accent1 4 4 3 3 3" xfId="15939" xr:uid="{00000000-0005-0000-0000-000041070000}"/>
    <cellStyle name="20% - Accent1 4 4 3 3 3 2" xfId="38541" xr:uid="{00000000-0005-0000-0000-000042070000}"/>
    <cellStyle name="20% - Accent1 4 4 3 3 4" xfId="27240" xr:uid="{00000000-0005-0000-0000-000043070000}"/>
    <cellStyle name="20% - Accent1 4 4 3 4" xfId="6821" xr:uid="{00000000-0005-0000-0000-000044070000}"/>
    <cellStyle name="20% - Accent1 4 4 3 4 2" xfId="18122" xr:uid="{00000000-0005-0000-0000-000045070000}"/>
    <cellStyle name="20% - Accent1 4 4 3 4 2 2" xfId="40724" xr:uid="{00000000-0005-0000-0000-000046070000}"/>
    <cellStyle name="20% - Accent1 4 4 3 4 3" xfId="29423" xr:uid="{00000000-0005-0000-0000-000047070000}"/>
    <cellStyle name="20% - Accent1 4 4 3 5" xfId="12472" xr:uid="{00000000-0005-0000-0000-000048070000}"/>
    <cellStyle name="20% - Accent1 4 4 3 5 2" xfId="35074" xr:uid="{00000000-0005-0000-0000-000049070000}"/>
    <cellStyle name="20% - Accent1 4 4 3 6" xfId="23773" xr:uid="{00000000-0005-0000-0000-00004A070000}"/>
    <cellStyle name="20% - Accent1 4 4 4" xfId="1562" xr:uid="{00000000-0005-0000-0000-00004B070000}"/>
    <cellStyle name="20% - Accent1 4 4 4 2" xfId="3555" xr:uid="{00000000-0005-0000-0000-00004C070000}"/>
    <cellStyle name="20% - Accent1 4 4 4 2 2" xfId="9294" xr:uid="{00000000-0005-0000-0000-00004D070000}"/>
    <cellStyle name="20% - Accent1 4 4 4 2 2 2" xfId="20595" xr:uid="{00000000-0005-0000-0000-00004E070000}"/>
    <cellStyle name="20% - Accent1 4 4 4 2 2 2 2" xfId="43197" xr:uid="{00000000-0005-0000-0000-00004F070000}"/>
    <cellStyle name="20% - Accent1 4 4 4 2 2 3" xfId="31896" xr:uid="{00000000-0005-0000-0000-000050070000}"/>
    <cellStyle name="20% - Accent1 4 4 4 2 3" xfId="14945" xr:uid="{00000000-0005-0000-0000-000051070000}"/>
    <cellStyle name="20% - Accent1 4 4 4 2 3 2" xfId="37547" xr:uid="{00000000-0005-0000-0000-000052070000}"/>
    <cellStyle name="20% - Accent1 4 4 4 2 4" xfId="26246" xr:uid="{00000000-0005-0000-0000-000053070000}"/>
    <cellStyle name="20% - Accent1 4 4 4 3" xfId="5248" xr:uid="{00000000-0005-0000-0000-000054070000}"/>
    <cellStyle name="20% - Accent1 4 4 4 3 2" xfId="10898" xr:uid="{00000000-0005-0000-0000-000055070000}"/>
    <cellStyle name="20% - Accent1 4 4 4 3 2 2" xfId="22199" xr:uid="{00000000-0005-0000-0000-000056070000}"/>
    <cellStyle name="20% - Accent1 4 4 4 3 2 2 2" xfId="44801" xr:uid="{00000000-0005-0000-0000-000057070000}"/>
    <cellStyle name="20% - Accent1 4 4 4 3 2 3" xfId="33500" xr:uid="{00000000-0005-0000-0000-000058070000}"/>
    <cellStyle name="20% - Accent1 4 4 4 3 3" xfId="16549" xr:uid="{00000000-0005-0000-0000-000059070000}"/>
    <cellStyle name="20% - Accent1 4 4 4 3 3 2" xfId="39151" xr:uid="{00000000-0005-0000-0000-00005A070000}"/>
    <cellStyle name="20% - Accent1 4 4 4 3 4" xfId="27850" xr:uid="{00000000-0005-0000-0000-00005B070000}"/>
    <cellStyle name="20% - Accent1 4 4 4 4" xfId="7418" xr:uid="{00000000-0005-0000-0000-00005C070000}"/>
    <cellStyle name="20% - Accent1 4 4 4 4 2" xfId="18719" xr:uid="{00000000-0005-0000-0000-00005D070000}"/>
    <cellStyle name="20% - Accent1 4 4 4 4 2 2" xfId="41321" xr:uid="{00000000-0005-0000-0000-00005E070000}"/>
    <cellStyle name="20% - Accent1 4 4 4 4 3" xfId="30020" xr:uid="{00000000-0005-0000-0000-00005F070000}"/>
    <cellStyle name="20% - Accent1 4 4 4 5" xfId="13069" xr:uid="{00000000-0005-0000-0000-000060070000}"/>
    <cellStyle name="20% - Accent1 4 4 4 5 2" xfId="35671" xr:uid="{00000000-0005-0000-0000-000061070000}"/>
    <cellStyle name="20% - Accent1 4 4 4 6" xfId="24370" xr:uid="{00000000-0005-0000-0000-000062070000}"/>
    <cellStyle name="20% - Accent1 4 4 5" xfId="2220" xr:uid="{00000000-0005-0000-0000-000063070000}"/>
    <cellStyle name="20% - Accent1 4 4 5 2" xfId="8062" xr:uid="{00000000-0005-0000-0000-000064070000}"/>
    <cellStyle name="20% - Accent1 4 4 5 2 2" xfId="19363" xr:uid="{00000000-0005-0000-0000-000065070000}"/>
    <cellStyle name="20% - Accent1 4 4 5 2 2 2" xfId="41965" xr:uid="{00000000-0005-0000-0000-000066070000}"/>
    <cellStyle name="20% - Accent1 4 4 5 2 3" xfId="30664" xr:uid="{00000000-0005-0000-0000-000067070000}"/>
    <cellStyle name="20% - Accent1 4 4 5 3" xfId="13713" xr:uid="{00000000-0005-0000-0000-000068070000}"/>
    <cellStyle name="20% - Accent1 4 4 5 3 2" xfId="36315" xr:uid="{00000000-0005-0000-0000-000069070000}"/>
    <cellStyle name="20% - Accent1 4 4 5 4" xfId="25014" xr:uid="{00000000-0005-0000-0000-00006A070000}"/>
    <cellStyle name="20% - Accent1 4 4 6" xfId="4014" xr:uid="{00000000-0005-0000-0000-00006B070000}"/>
    <cellStyle name="20% - Accent1 4 4 6 2" xfId="9664" xr:uid="{00000000-0005-0000-0000-00006C070000}"/>
    <cellStyle name="20% - Accent1 4 4 6 2 2" xfId="20965" xr:uid="{00000000-0005-0000-0000-00006D070000}"/>
    <cellStyle name="20% - Accent1 4 4 6 2 2 2" xfId="43567" xr:uid="{00000000-0005-0000-0000-00006E070000}"/>
    <cellStyle name="20% - Accent1 4 4 6 2 3" xfId="32266" xr:uid="{00000000-0005-0000-0000-00006F070000}"/>
    <cellStyle name="20% - Accent1 4 4 6 3" xfId="15315" xr:uid="{00000000-0005-0000-0000-000070070000}"/>
    <cellStyle name="20% - Accent1 4 4 6 3 2" xfId="37917" xr:uid="{00000000-0005-0000-0000-000071070000}"/>
    <cellStyle name="20% - Accent1 4 4 6 4" xfId="26616" xr:uid="{00000000-0005-0000-0000-000072070000}"/>
    <cellStyle name="20% - Accent1 4 4 7" xfId="6632" xr:uid="{00000000-0005-0000-0000-000073070000}"/>
    <cellStyle name="20% - Accent1 4 4 7 2" xfId="17933" xr:uid="{00000000-0005-0000-0000-000074070000}"/>
    <cellStyle name="20% - Accent1 4 4 7 2 2" xfId="40535" xr:uid="{00000000-0005-0000-0000-000075070000}"/>
    <cellStyle name="20% - Accent1 4 4 7 3" xfId="29234" xr:uid="{00000000-0005-0000-0000-000076070000}"/>
    <cellStyle name="20% - Accent1 4 4 8" xfId="12283" xr:uid="{00000000-0005-0000-0000-000077070000}"/>
    <cellStyle name="20% - Accent1 4 4 8 2" xfId="34885" xr:uid="{00000000-0005-0000-0000-000078070000}"/>
    <cellStyle name="20% - Accent1 4 4 9" xfId="23584" xr:uid="{00000000-0005-0000-0000-000079070000}"/>
    <cellStyle name="20% - Accent1 4 5" xfId="509" xr:uid="{00000000-0005-0000-0000-00007A070000}"/>
    <cellStyle name="20% - Accent1 4 5 2" xfId="1278" xr:uid="{00000000-0005-0000-0000-00007B070000}"/>
    <cellStyle name="20% - Accent1 4 5 2 2" xfId="1565" xr:uid="{00000000-0005-0000-0000-00007C070000}"/>
    <cellStyle name="20% - Accent1 4 5 2 2 2" xfId="3347" xr:uid="{00000000-0005-0000-0000-00007D070000}"/>
    <cellStyle name="20% - Accent1 4 5 2 2 2 2" xfId="6319" xr:uid="{00000000-0005-0000-0000-00007E070000}"/>
    <cellStyle name="20% - Accent1 4 5 2 2 2 2 2" xfId="11969" xr:uid="{00000000-0005-0000-0000-00007F070000}"/>
    <cellStyle name="20% - Accent1 4 5 2 2 2 2 2 2" xfId="23270" xr:uid="{00000000-0005-0000-0000-000080070000}"/>
    <cellStyle name="20% - Accent1 4 5 2 2 2 2 2 2 2" xfId="45872" xr:uid="{00000000-0005-0000-0000-000081070000}"/>
    <cellStyle name="20% - Accent1 4 5 2 2 2 2 2 3" xfId="34571" xr:uid="{00000000-0005-0000-0000-000082070000}"/>
    <cellStyle name="20% - Accent1 4 5 2 2 2 2 3" xfId="17620" xr:uid="{00000000-0005-0000-0000-000083070000}"/>
    <cellStyle name="20% - Accent1 4 5 2 2 2 2 3 2" xfId="40222" xr:uid="{00000000-0005-0000-0000-000084070000}"/>
    <cellStyle name="20% - Accent1 4 5 2 2 2 2 4" xfId="28921" xr:uid="{00000000-0005-0000-0000-000085070000}"/>
    <cellStyle name="20% - Accent1 4 5 2 2 2 3" xfId="9137" xr:uid="{00000000-0005-0000-0000-000086070000}"/>
    <cellStyle name="20% - Accent1 4 5 2 2 2 3 2" xfId="20438" xr:uid="{00000000-0005-0000-0000-000087070000}"/>
    <cellStyle name="20% - Accent1 4 5 2 2 2 3 2 2" xfId="43040" xr:uid="{00000000-0005-0000-0000-000088070000}"/>
    <cellStyle name="20% - Accent1 4 5 2 2 2 3 3" xfId="31739" xr:uid="{00000000-0005-0000-0000-000089070000}"/>
    <cellStyle name="20% - Accent1 4 5 2 2 2 4" xfId="14788" xr:uid="{00000000-0005-0000-0000-00008A070000}"/>
    <cellStyle name="20% - Accent1 4 5 2 2 2 4 2" xfId="37390" xr:uid="{00000000-0005-0000-0000-00008B070000}"/>
    <cellStyle name="20% - Accent1 4 5 2 2 2 5" xfId="26089" xr:uid="{00000000-0005-0000-0000-00008C070000}"/>
    <cellStyle name="20% - Accent1 4 5 2 2 3" xfId="5085" xr:uid="{00000000-0005-0000-0000-00008D070000}"/>
    <cellStyle name="20% - Accent1 4 5 2 2 3 2" xfId="10735" xr:uid="{00000000-0005-0000-0000-00008E070000}"/>
    <cellStyle name="20% - Accent1 4 5 2 2 3 2 2" xfId="22036" xr:uid="{00000000-0005-0000-0000-00008F070000}"/>
    <cellStyle name="20% - Accent1 4 5 2 2 3 2 2 2" xfId="44638" xr:uid="{00000000-0005-0000-0000-000090070000}"/>
    <cellStyle name="20% - Accent1 4 5 2 2 3 2 3" xfId="33337" xr:uid="{00000000-0005-0000-0000-000091070000}"/>
    <cellStyle name="20% - Accent1 4 5 2 2 3 3" xfId="16386" xr:uid="{00000000-0005-0000-0000-000092070000}"/>
    <cellStyle name="20% - Accent1 4 5 2 2 3 3 2" xfId="38988" xr:uid="{00000000-0005-0000-0000-000093070000}"/>
    <cellStyle name="20% - Accent1 4 5 2 2 3 4" xfId="27687" xr:uid="{00000000-0005-0000-0000-000094070000}"/>
    <cellStyle name="20% - Accent1 4 5 2 2 4" xfId="7421" xr:uid="{00000000-0005-0000-0000-000095070000}"/>
    <cellStyle name="20% - Accent1 4 5 2 2 4 2" xfId="18722" xr:uid="{00000000-0005-0000-0000-000096070000}"/>
    <cellStyle name="20% - Accent1 4 5 2 2 4 2 2" xfId="41324" xr:uid="{00000000-0005-0000-0000-000097070000}"/>
    <cellStyle name="20% - Accent1 4 5 2 2 4 3" xfId="30023" xr:uid="{00000000-0005-0000-0000-000098070000}"/>
    <cellStyle name="20% - Accent1 4 5 2 2 5" xfId="13072" xr:uid="{00000000-0005-0000-0000-000099070000}"/>
    <cellStyle name="20% - Accent1 4 5 2 2 5 2" xfId="35674" xr:uid="{00000000-0005-0000-0000-00009A070000}"/>
    <cellStyle name="20% - Accent1 4 5 2 2 6" xfId="24373" xr:uid="{00000000-0005-0000-0000-00009B070000}"/>
    <cellStyle name="20% - Accent1 4 5 2 3" xfId="2676" xr:uid="{00000000-0005-0000-0000-00009C070000}"/>
    <cellStyle name="20% - Accent1 4 5 2 3 2" xfId="5695" xr:uid="{00000000-0005-0000-0000-00009D070000}"/>
    <cellStyle name="20% - Accent1 4 5 2 3 2 2" xfId="11345" xr:uid="{00000000-0005-0000-0000-00009E070000}"/>
    <cellStyle name="20% - Accent1 4 5 2 3 2 2 2" xfId="22646" xr:uid="{00000000-0005-0000-0000-00009F070000}"/>
    <cellStyle name="20% - Accent1 4 5 2 3 2 2 2 2" xfId="45248" xr:uid="{00000000-0005-0000-0000-0000A0070000}"/>
    <cellStyle name="20% - Accent1 4 5 2 3 2 2 3" xfId="33947" xr:uid="{00000000-0005-0000-0000-0000A1070000}"/>
    <cellStyle name="20% - Accent1 4 5 2 3 2 3" xfId="16996" xr:uid="{00000000-0005-0000-0000-0000A2070000}"/>
    <cellStyle name="20% - Accent1 4 5 2 3 2 3 2" xfId="39598" xr:uid="{00000000-0005-0000-0000-0000A3070000}"/>
    <cellStyle name="20% - Accent1 4 5 2 3 2 4" xfId="28297" xr:uid="{00000000-0005-0000-0000-0000A4070000}"/>
    <cellStyle name="20% - Accent1 4 5 2 3 3" xfId="8512" xr:uid="{00000000-0005-0000-0000-0000A5070000}"/>
    <cellStyle name="20% - Accent1 4 5 2 3 3 2" xfId="19813" xr:uid="{00000000-0005-0000-0000-0000A6070000}"/>
    <cellStyle name="20% - Accent1 4 5 2 3 3 2 2" xfId="42415" xr:uid="{00000000-0005-0000-0000-0000A7070000}"/>
    <cellStyle name="20% - Accent1 4 5 2 3 3 3" xfId="31114" xr:uid="{00000000-0005-0000-0000-0000A8070000}"/>
    <cellStyle name="20% - Accent1 4 5 2 3 4" xfId="14163" xr:uid="{00000000-0005-0000-0000-0000A9070000}"/>
    <cellStyle name="20% - Accent1 4 5 2 3 4 2" xfId="36765" xr:uid="{00000000-0005-0000-0000-0000AA070000}"/>
    <cellStyle name="20% - Accent1 4 5 2 3 5" xfId="25464" xr:uid="{00000000-0005-0000-0000-0000AB070000}"/>
    <cellStyle name="20% - Accent1 4 5 2 4" xfId="4461" xr:uid="{00000000-0005-0000-0000-0000AC070000}"/>
    <cellStyle name="20% - Accent1 4 5 2 4 2" xfId="10111" xr:uid="{00000000-0005-0000-0000-0000AD070000}"/>
    <cellStyle name="20% - Accent1 4 5 2 4 2 2" xfId="21412" xr:uid="{00000000-0005-0000-0000-0000AE070000}"/>
    <cellStyle name="20% - Accent1 4 5 2 4 2 2 2" xfId="44014" xr:uid="{00000000-0005-0000-0000-0000AF070000}"/>
    <cellStyle name="20% - Accent1 4 5 2 4 2 3" xfId="32713" xr:uid="{00000000-0005-0000-0000-0000B0070000}"/>
    <cellStyle name="20% - Accent1 4 5 2 4 3" xfId="15762" xr:uid="{00000000-0005-0000-0000-0000B1070000}"/>
    <cellStyle name="20% - Accent1 4 5 2 4 3 2" xfId="38364" xr:uid="{00000000-0005-0000-0000-0000B2070000}"/>
    <cellStyle name="20% - Accent1 4 5 2 4 4" xfId="27063" xr:uid="{00000000-0005-0000-0000-0000B3070000}"/>
    <cellStyle name="20% - Accent1 4 5 2 5" xfId="7257" xr:uid="{00000000-0005-0000-0000-0000B4070000}"/>
    <cellStyle name="20% - Accent1 4 5 2 5 2" xfId="18558" xr:uid="{00000000-0005-0000-0000-0000B5070000}"/>
    <cellStyle name="20% - Accent1 4 5 2 5 2 2" xfId="41160" xr:uid="{00000000-0005-0000-0000-0000B6070000}"/>
    <cellStyle name="20% - Accent1 4 5 2 5 3" xfId="29859" xr:uid="{00000000-0005-0000-0000-0000B7070000}"/>
    <cellStyle name="20% - Accent1 4 5 2 6" xfId="12908" xr:uid="{00000000-0005-0000-0000-0000B8070000}"/>
    <cellStyle name="20% - Accent1 4 5 2 6 2" xfId="35510" xr:uid="{00000000-0005-0000-0000-0000B9070000}"/>
    <cellStyle name="20% - Accent1 4 5 2 7" xfId="24209" xr:uid="{00000000-0005-0000-0000-0000BA070000}"/>
    <cellStyle name="20% - Accent1 4 5 3" xfId="976" xr:uid="{00000000-0005-0000-0000-0000BB070000}"/>
    <cellStyle name="20% - Accent1 4 5 3 2" xfId="3039" xr:uid="{00000000-0005-0000-0000-0000BC070000}"/>
    <cellStyle name="20% - Accent1 4 5 3 2 2" xfId="6011" xr:uid="{00000000-0005-0000-0000-0000BD070000}"/>
    <cellStyle name="20% - Accent1 4 5 3 2 2 2" xfId="11661" xr:uid="{00000000-0005-0000-0000-0000BE070000}"/>
    <cellStyle name="20% - Accent1 4 5 3 2 2 2 2" xfId="22962" xr:uid="{00000000-0005-0000-0000-0000BF070000}"/>
    <cellStyle name="20% - Accent1 4 5 3 2 2 2 2 2" xfId="45564" xr:uid="{00000000-0005-0000-0000-0000C0070000}"/>
    <cellStyle name="20% - Accent1 4 5 3 2 2 2 3" xfId="34263" xr:uid="{00000000-0005-0000-0000-0000C1070000}"/>
    <cellStyle name="20% - Accent1 4 5 3 2 2 3" xfId="17312" xr:uid="{00000000-0005-0000-0000-0000C2070000}"/>
    <cellStyle name="20% - Accent1 4 5 3 2 2 3 2" xfId="39914" xr:uid="{00000000-0005-0000-0000-0000C3070000}"/>
    <cellStyle name="20% - Accent1 4 5 3 2 2 4" xfId="28613" xr:uid="{00000000-0005-0000-0000-0000C4070000}"/>
    <cellStyle name="20% - Accent1 4 5 3 2 3" xfId="8829" xr:uid="{00000000-0005-0000-0000-0000C5070000}"/>
    <cellStyle name="20% - Accent1 4 5 3 2 3 2" xfId="20130" xr:uid="{00000000-0005-0000-0000-0000C6070000}"/>
    <cellStyle name="20% - Accent1 4 5 3 2 3 2 2" xfId="42732" xr:uid="{00000000-0005-0000-0000-0000C7070000}"/>
    <cellStyle name="20% - Accent1 4 5 3 2 3 3" xfId="31431" xr:uid="{00000000-0005-0000-0000-0000C8070000}"/>
    <cellStyle name="20% - Accent1 4 5 3 2 4" xfId="14480" xr:uid="{00000000-0005-0000-0000-0000C9070000}"/>
    <cellStyle name="20% - Accent1 4 5 3 2 4 2" xfId="37082" xr:uid="{00000000-0005-0000-0000-0000CA070000}"/>
    <cellStyle name="20% - Accent1 4 5 3 2 5" xfId="25781" xr:uid="{00000000-0005-0000-0000-0000CB070000}"/>
    <cellStyle name="20% - Accent1 4 5 3 3" xfId="4777" xr:uid="{00000000-0005-0000-0000-0000CC070000}"/>
    <cellStyle name="20% - Accent1 4 5 3 3 2" xfId="10427" xr:uid="{00000000-0005-0000-0000-0000CD070000}"/>
    <cellStyle name="20% - Accent1 4 5 3 3 2 2" xfId="21728" xr:uid="{00000000-0005-0000-0000-0000CE070000}"/>
    <cellStyle name="20% - Accent1 4 5 3 3 2 2 2" xfId="44330" xr:uid="{00000000-0005-0000-0000-0000CF070000}"/>
    <cellStyle name="20% - Accent1 4 5 3 3 2 3" xfId="33029" xr:uid="{00000000-0005-0000-0000-0000D0070000}"/>
    <cellStyle name="20% - Accent1 4 5 3 3 3" xfId="16078" xr:uid="{00000000-0005-0000-0000-0000D1070000}"/>
    <cellStyle name="20% - Accent1 4 5 3 3 3 2" xfId="38680" xr:uid="{00000000-0005-0000-0000-0000D2070000}"/>
    <cellStyle name="20% - Accent1 4 5 3 3 4" xfId="27379" xr:uid="{00000000-0005-0000-0000-0000D3070000}"/>
    <cellStyle name="20% - Accent1 4 5 3 4" xfId="6964" xr:uid="{00000000-0005-0000-0000-0000D4070000}"/>
    <cellStyle name="20% - Accent1 4 5 3 4 2" xfId="18265" xr:uid="{00000000-0005-0000-0000-0000D5070000}"/>
    <cellStyle name="20% - Accent1 4 5 3 4 2 2" xfId="40867" xr:uid="{00000000-0005-0000-0000-0000D6070000}"/>
    <cellStyle name="20% - Accent1 4 5 3 4 3" xfId="29566" xr:uid="{00000000-0005-0000-0000-0000D7070000}"/>
    <cellStyle name="20% - Accent1 4 5 3 5" xfId="12615" xr:uid="{00000000-0005-0000-0000-0000D8070000}"/>
    <cellStyle name="20% - Accent1 4 5 3 5 2" xfId="35217" xr:uid="{00000000-0005-0000-0000-0000D9070000}"/>
    <cellStyle name="20% - Accent1 4 5 3 6" xfId="23916" xr:uid="{00000000-0005-0000-0000-0000DA070000}"/>
    <cellStyle name="20% - Accent1 4 5 4" xfId="1564" xr:uid="{00000000-0005-0000-0000-0000DB070000}"/>
    <cellStyle name="20% - Accent1 4 5 4 2" xfId="2177" xr:uid="{00000000-0005-0000-0000-0000DC070000}"/>
    <cellStyle name="20% - Accent1 4 5 4 2 2" xfId="8021" xr:uid="{00000000-0005-0000-0000-0000DD070000}"/>
    <cellStyle name="20% - Accent1 4 5 4 2 2 2" xfId="19322" xr:uid="{00000000-0005-0000-0000-0000DE070000}"/>
    <cellStyle name="20% - Accent1 4 5 4 2 2 2 2" xfId="41924" xr:uid="{00000000-0005-0000-0000-0000DF070000}"/>
    <cellStyle name="20% - Accent1 4 5 4 2 2 3" xfId="30623" xr:uid="{00000000-0005-0000-0000-0000E0070000}"/>
    <cellStyle name="20% - Accent1 4 5 4 2 3" xfId="13672" xr:uid="{00000000-0005-0000-0000-0000E1070000}"/>
    <cellStyle name="20% - Accent1 4 5 4 2 3 2" xfId="36274" xr:uid="{00000000-0005-0000-0000-0000E2070000}"/>
    <cellStyle name="20% - Accent1 4 5 4 2 4" xfId="24973" xr:uid="{00000000-0005-0000-0000-0000E3070000}"/>
    <cellStyle name="20% - Accent1 4 5 4 3" xfId="5387" xr:uid="{00000000-0005-0000-0000-0000E4070000}"/>
    <cellStyle name="20% - Accent1 4 5 4 3 2" xfId="11037" xr:uid="{00000000-0005-0000-0000-0000E5070000}"/>
    <cellStyle name="20% - Accent1 4 5 4 3 2 2" xfId="22338" xr:uid="{00000000-0005-0000-0000-0000E6070000}"/>
    <cellStyle name="20% - Accent1 4 5 4 3 2 2 2" xfId="44940" xr:uid="{00000000-0005-0000-0000-0000E7070000}"/>
    <cellStyle name="20% - Accent1 4 5 4 3 2 3" xfId="33639" xr:uid="{00000000-0005-0000-0000-0000E8070000}"/>
    <cellStyle name="20% - Accent1 4 5 4 3 3" xfId="16688" xr:uid="{00000000-0005-0000-0000-0000E9070000}"/>
    <cellStyle name="20% - Accent1 4 5 4 3 3 2" xfId="39290" xr:uid="{00000000-0005-0000-0000-0000EA070000}"/>
    <cellStyle name="20% - Accent1 4 5 4 3 4" xfId="27989" xr:uid="{00000000-0005-0000-0000-0000EB070000}"/>
    <cellStyle name="20% - Accent1 4 5 4 4" xfId="7420" xr:uid="{00000000-0005-0000-0000-0000EC070000}"/>
    <cellStyle name="20% - Accent1 4 5 4 4 2" xfId="18721" xr:uid="{00000000-0005-0000-0000-0000ED070000}"/>
    <cellStyle name="20% - Accent1 4 5 4 4 2 2" xfId="41323" xr:uid="{00000000-0005-0000-0000-0000EE070000}"/>
    <cellStyle name="20% - Accent1 4 5 4 4 3" xfId="30022" xr:uid="{00000000-0005-0000-0000-0000EF070000}"/>
    <cellStyle name="20% - Accent1 4 5 4 5" xfId="13071" xr:uid="{00000000-0005-0000-0000-0000F0070000}"/>
    <cellStyle name="20% - Accent1 4 5 4 5 2" xfId="35673" xr:uid="{00000000-0005-0000-0000-0000F1070000}"/>
    <cellStyle name="20% - Accent1 4 5 4 6" xfId="24372" xr:uid="{00000000-0005-0000-0000-0000F2070000}"/>
    <cellStyle name="20% - Accent1 4 5 5" xfId="2368" xr:uid="{00000000-0005-0000-0000-0000F3070000}"/>
    <cellStyle name="20% - Accent1 4 5 5 2" xfId="8204" xr:uid="{00000000-0005-0000-0000-0000F4070000}"/>
    <cellStyle name="20% - Accent1 4 5 5 2 2" xfId="19505" xr:uid="{00000000-0005-0000-0000-0000F5070000}"/>
    <cellStyle name="20% - Accent1 4 5 5 2 2 2" xfId="42107" xr:uid="{00000000-0005-0000-0000-0000F6070000}"/>
    <cellStyle name="20% - Accent1 4 5 5 2 3" xfId="30806" xr:uid="{00000000-0005-0000-0000-0000F7070000}"/>
    <cellStyle name="20% - Accent1 4 5 5 3" xfId="13855" xr:uid="{00000000-0005-0000-0000-0000F8070000}"/>
    <cellStyle name="20% - Accent1 4 5 5 3 2" xfId="36457" xr:uid="{00000000-0005-0000-0000-0000F9070000}"/>
    <cellStyle name="20% - Accent1 4 5 5 4" xfId="25156" xr:uid="{00000000-0005-0000-0000-0000FA070000}"/>
    <cellStyle name="20% - Accent1 4 5 6" xfId="4153" xr:uid="{00000000-0005-0000-0000-0000FB070000}"/>
    <cellStyle name="20% - Accent1 4 5 6 2" xfId="9803" xr:uid="{00000000-0005-0000-0000-0000FC070000}"/>
    <cellStyle name="20% - Accent1 4 5 6 2 2" xfId="21104" xr:uid="{00000000-0005-0000-0000-0000FD070000}"/>
    <cellStyle name="20% - Accent1 4 5 6 2 2 2" xfId="43706" xr:uid="{00000000-0005-0000-0000-0000FE070000}"/>
    <cellStyle name="20% - Accent1 4 5 6 2 3" xfId="32405" xr:uid="{00000000-0005-0000-0000-0000FF070000}"/>
    <cellStyle name="20% - Accent1 4 5 6 3" xfId="15454" xr:uid="{00000000-0005-0000-0000-000000080000}"/>
    <cellStyle name="20% - Accent1 4 5 6 3 2" xfId="38056" xr:uid="{00000000-0005-0000-0000-000001080000}"/>
    <cellStyle name="20% - Accent1 4 5 6 4" xfId="26755" xr:uid="{00000000-0005-0000-0000-000002080000}"/>
    <cellStyle name="20% - Accent1 4 5 7" xfId="6604" xr:uid="{00000000-0005-0000-0000-000003080000}"/>
    <cellStyle name="20% - Accent1 4 5 7 2" xfId="17905" xr:uid="{00000000-0005-0000-0000-000004080000}"/>
    <cellStyle name="20% - Accent1 4 5 7 2 2" xfId="40507" xr:uid="{00000000-0005-0000-0000-000005080000}"/>
    <cellStyle name="20% - Accent1 4 5 7 3" xfId="29206" xr:uid="{00000000-0005-0000-0000-000006080000}"/>
    <cellStyle name="20% - Accent1 4 5 8" xfId="12255" xr:uid="{00000000-0005-0000-0000-000007080000}"/>
    <cellStyle name="20% - Accent1 4 5 8 2" xfId="34857" xr:uid="{00000000-0005-0000-0000-000008080000}"/>
    <cellStyle name="20% - Accent1 4 5 9" xfId="23556" xr:uid="{00000000-0005-0000-0000-000009080000}"/>
    <cellStyle name="20% - Accent1 4 6" xfId="1111" xr:uid="{00000000-0005-0000-0000-00000A080000}"/>
    <cellStyle name="20% - Accent1 4 6 2" xfId="1566" xr:uid="{00000000-0005-0000-0000-00000B080000}"/>
    <cellStyle name="20% - Accent1 4 6 2 2" xfId="3178" xr:uid="{00000000-0005-0000-0000-00000C080000}"/>
    <cellStyle name="20% - Accent1 4 6 2 2 2" xfId="6150" xr:uid="{00000000-0005-0000-0000-00000D080000}"/>
    <cellStyle name="20% - Accent1 4 6 2 2 2 2" xfId="11800" xr:uid="{00000000-0005-0000-0000-00000E080000}"/>
    <cellStyle name="20% - Accent1 4 6 2 2 2 2 2" xfId="23101" xr:uid="{00000000-0005-0000-0000-00000F080000}"/>
    <cellStyle name="20% - Accent1 4 6 2 2 2 2 2 2" xfId="45703" xr:uid="{00000000-0005-0000-0000-000010080000}"/>
    <cellStyle name="20% - Accent1 4 6 2 2 2 2 3" xfId="34402" xr:uid="{00000000-0005-0000-0000-000011080000}"/>
    <cellStyle name="20% - Accent1 4 6 2 2 2 3" xfId="17451" xr:uid="{00000000-0005-0000-0000-000012080000}"/>
    <cellStyle name="20% - Accent1 4 6 2 2 2 3 2" xfId="40053" xr:uid="{00000000-0005-0000-0000-000013080000}"/>
    <cellStyle name="20% - Accent1 4 6 2 2 2 4" xfId="28752" xr:uid="{00000000-0005-0000-0000-000014080000}"/>
    <cellStyle name="20% - Accent1 4 6 2 2 3" xfId="8968" xr:uid="{00000000-0005-0000-0000-000015080000}"/>
    <cellStyle name="20% - Accent1 4 6 2 2 3 2" xfId="20269" xr:uid="{00000000-0005-0000-0000-000016080000}"/>
    <cellStyle name="20% - Accent1 4 6 2 2 3 2 2" xfId="42871" xr:uid="{00000000-0005-0000-0000-000017080000}"/>
    <cellStyle name="20% - Accent1 4 6 2 2 3 3" xfId="31570" xr:uid="{00000000-0005-0000-0000-000018080000}"/>
    <cellStyle name="20% - Accent1 4 6 2 2 4" xfId="14619" xr:uid="{00000000-0005-0000-0000-000019080000}"/>
    <cellStyle name="20% - Accent1 4 6 2 2 4 2" xfId="37221" xr:uid="{00000000-0005-0000-0000-00001A080000}"/>
    <cellStyle name="20% - Accent1 4 6 2 2 5" xfId="25920" xr:uid="{00000000-0005-0000-0000-00001B080000}"/>
    <cellStyle name="20% - Accent1 4 6 2 3" xfId="4916" xr:uid="{00000000-0005-0000-0000-00001C080000}"/>
    <cellStyle name="20% - Accent1 4 6 2 3 2" xfId="10566" xr:uid="{00000000-0005-0000-0000-00001D080000}"/>
    <cellStyle name="20% - Accent1 4 6 2 3 2 2" xfId="21867" xr:uid="{00000000-0005-0000-0000-00001E080000}"/>
    <cellStyle name="20% - Accent1 4 6 2 3 2 2 2" xfId="44469" xr:uid="{00000000-0005-0000-0000-00001F080000}"/>
    <cellStyle name="20% - Accent1 4 6 2 3 2 3" xfId="33168" xr:uid="{00000000-0005-0000-0000-000020080000}"/>
    <cellStyle name="20% - Accent1 4 6 2 3 3" xfId="16217" xr:uid="{00000000-0005-0000-0000-000021080000}"/>
    <cellStyle name="20% - Accent1 4 6 2 3 3 2" xfId="38819" xr:uid="{00000000-0005-0000-0000-000022080000}"/>
    <cellStyle name="20% - Accent1 4 6 2 3 4" xfId="27518" xr:uid="{00000000-0005-0000-0000-000023080000}"/>
    <cellStyle name="20% - Accent1 4 6 2 4" xfId="7422" xr:uid="{00000000-0005-0000-0000-000024080000}"/>
    <cellStyle name="20% - Accent1 4 6 2 4 2" xfId="18723" xr:uid="{00000000-0005-0000-0000-000025080000}"/>
    <cellStyle name="20% - Accent1 4 6 2 4 2 2" xfId="41325" xr:uid="{00000000-0005-0000-0000-000026080000}"/>
    <cellStyle name="20% - Accent1 4 6 2 4 3" xfId="30024" xr:uid="{00000000-0005-0000-0000-000027080000}"/>
    <cellStyle name="20% - Accent1 4 6 2 5" xfId="13073" xr:uid="{00000000-0005-0000-0000-000028080000}"/>
    <cellStyle name="20% - Accent1 4 6 2 5 2" xfId="35675" xr:uid="{00000000-0005-0000-0000-000029080000}"/>
    <cellStyle name="20% - Accent1 4 6 2 6" xfId="24374" xr:uid="{00000000-0005-0000-0000-00002A080000}"/>
    <cellStyle name="20% - Accent1 4 6 3" xfId="2507" xr:uid="{00000000-0005-0000-0000-00002B080000}"/>
    <cellStyle name="20% - Accent1 4 6 3 2" xfId="5526" xr:uid="{00000000-0005-0000-0000-00002C080000}"/>
    <cellStyle name="20% - Accent1 4 6 3 2 2" xfId="11176" xr:uid="{00000000-0005-0000-0000-00002D080000}"/>
    <cellStyle name="20% - Accent1 4 6 3 2 2 2" xfId="22477" xr:uid="{00000000-0005-0000-0000-00002E080000}"/>
    <cellStyle name="20% - Accent1 4 6 3 2 2 2 2" xfId="45079" xr:uid="{00000000-0005-0000-0000-00002F080000}"/>
    <cellStyle name="20% - Accent1 4 6 3 2 2 3" xfId="33778" xr:uid="{00000000-0005-0000-0000-000030080000}"/>
    <cellStyle name="20% - Accent1 4 6 3 2 3" xfId="16827" xr:uid="{00000000-0005-0000-0000-000031080000}"/>
    <cellStyle name="20% - Accent1 4 6 3 2 3 2" xfId="39429" xr:uid="{00000000-0005-0000-0000-000032080000}"/>
    <cellStyle name="20% - Accent1 4 6 3 2 4" xfId="28128" xr:uid="{00000000-0005-0000-0000-000033080000}"/>
    <cellStyle name="20% - Accent1 4 6 3 3" xfId="8343" xr:uid="{00000000-0005-0000-0000-000034080000}"/>
    <cellStyle name="20% - Accent1 4 6 3 3 2" xfId="19644" xr:uid="{00000000-0005-0000-0000-000035080000}"/>
    <cellStyle name="20% - Accent1 4 6 3 3 2 2" xfId="42246" xr:uid="{00000000-0005-0000-0000-000036080000}"/>
    <cellStyle name="20% - Accent1 4 6 3 3 3" xfId="30945" xr:uid="{00000000-0005-0000-0000-000037080000}"/>
    <cellStyle name="20% - Accent1 4 6 3 4" xfId="13994" xr:uid="{00000000-0005-0000-0000-000038080000}"/>
    <cellStyle name="20% - Accent1 4 6 3 4 2" xfId="36596" xr:uid="{00000000-0005-0000-0000-000039080000}"/>
    <cellStyle name="20% - Accent1 4 6 3 5" xfId="25295" xr:uid="{00000000-0005-0000-0000-00003A080000}"/>
    <cellStyle name="20% - Accent1 4 6 4" xfId="4292" xr:uid="{00000000-0005-0000-0000-00003B080000}"/>
    <cellStyle name="20% - Accent1 4 6 4 2" xfId="9942" xr:uid="{00000000-0005-0000-0000-00003C080000}"/>
    <cellStyle name="20% - Accent1 4 6 4 2 2" xfId="21243" xr:uid="{00000000-0005-0000-0000-00003D080000}"/>
    <cellStyle name="20% - Accent1 4 6 4 2 2 2" xfId="43845" xr:uid="{00000000-0005-0000-0000-00003E080000}"/>
    <cellStyle name="20% - Accent1 4 6 4 2 3" xfId="32544" xr:uid="{00000000-0005-0000-0000-00003F080000}"/>
    <cellStyle name="20% - Accent1 4 6 4 3" xfId="15593" xr:uid="{00000000-0005-0000-0000-000040080000}"/>
    <cellStyle name="20% - Accent1 4 6 4 3 2" xfId="38195" xr:uid="{00000000-0005-0000-0000-000041080000}"/>
    <cellStyle name="20% - Accent1 4 6 4 4" xfId="26894" xr:uid="{00000000-0005-0000-0000-000042080000}"/>
    <cellStyle name="20% - Accent1 4 6 5" xfId="7090" xr:uid="{00000000-0005-0000-0000-000043080000}"/>
    <cellStyle name="20% - Accent1 4 6 5 2" xfId="18391" xr:uid="{00000000-0005-0000-0000-000044080000}"/>
    <cellStyle name="20% - Accent1 4 6 5 2 2" xfId="40993" xr:uid="{00000000-0005-0000-0000-000045080000}"/>
    <cellStyle name="20% - Accent1 4 6 5 3" xfId="29692" xr:uid="{00000000-0005-0000-0000-000046080000}"/>
    <cellStyle name="20% - Accent1 4 6 6" xfId="12741" xr:uid="{00000000-0005-0000-0000-000047080000}"/>
    <cellStyle name="20% - Accent1 4 6 6 2" xfId="35343" xr:uid="{00000000-0005-0000-0000-000048080000}"/>
    <cellStyle name="20% - Accent1 4 6 7" xfId="24042" xr:uid="{00000000-0005-0000-0000-000049080000}"/>
    <cellStyle name="20% - Accent1 4 7" xfId="775" xr:uid="{00000000-0005-0000-0000-00004A080000}"/>
    <cellStyle name="20% - Accent1 4 7 2" xfId="2872" xr:uid="{00000000-0005-0000-0000-00004B080000}"/>
    <cellStyle name="20% - Accent1 4 7 2 2" xfId="5844" xr:uid="{00000000-0005-0000-0000-00004C080000}"/>
    <cellStyle name="20% - Accent1 4 7 2 2 2" xfId="11494" xr:uid="{00000000-0005-0000-0000-00004D080000}"/>
    <cellStyle name="20% - Accent1 4 7 2 2 2 2" xfId="22795" xr:uid="{00000000-0005-0000-0000-00004E080000}"/>
    <cellStyle name="20% - Accent1 4 7 2 2 2 2 2" xfId="45397" xr:uid="{00000000-0005-0000-0000-00004F080000}"/>
    <cellStyle name="20% - Accent1 4 7 2 2 2 3" xfId="34096" xr:uid="{00000000-0005-0000-0000-000050080000}"/>
    <cellStyle name="20% - Accent1 4 7 2 2 3" xfId="17145" xr:uid="{00000000-0005-0000-0000-000051080000}"/>
    <cellStyle name="20% - Accent1 4 7 2 2 3 2" xfId="39747" xr:uid="{00000000-0005-0000-0000-000052080000}"/>
    <cellStyle name="20% - Accent1 4 7 2 2 4" xfId="28446" xr:uid="{00000000-0005-0000-0000-000053080000}"/>
    <cellStyle name="20% - Accent1 4 7 2 3" xfId="8662" xr:uid="{00000000-0005-0000-0000-000054080000}"/>
    <cellStyle name="20% - Accent1 4 7 2 3 2" xfId="19963" xr:uid="{00000000-0005-0000-0000-000055080000}"/>
    <cellStyle name="20% - Accent1 4 7 2 3 2 2" xfId="42565" xr:uid="{00000000-0005-0000-0000-000056080000}"/>
    <cellStyle name="20% - Accent1 4 7 2 3 3" xfId="31264" xr:uid="{00000000-0005-0000-0000-000057080000}"/>
    <cellStyle name="20% - Accent1 4 7 2 4" xfId="14313" xr:uid="{00000000-0005-0000-0000-000058080000}"/>
    <cellStyle name="20% - Accent1 4 7 2 4 2" xfId="36915" xr:uid="{00000000-0005-0000-0000-000059080000}"/>
    <cellStyle name="20% - Accent1 4 7 2 5" xfId="25614" xr:uid="{00000000-0005-0000-0000-00005A080000}"/>
    <cellStyle name="20% - Accent1 4 7 3" xfId="4610" xr:uid="{00000000-0005-0000-0000-00005B080000}"/>
    <cellStyle name="20% - Accent1 4 7 3 2" xfId="10260" xr:uid="{00000000-0005-0000-0000-00005C080000}"/>
    <cellStyle name="20% - Accent1 4 7 3 2 2" xfId="21561" xr:uid="{00000000-0005-0000-0000-00005D080000}"/>
    <cellStyle name="20% - Accent1 4 7 3 2 2 2" xfId="44163" xr:uid="{00000000-0005-0000-0000-00005E080000}"/>
    <cellStyle name="20% - Accent1 4 7 3 2 3" xfId="32862" xr:uid="{00000000-0005-0000-0000-00005F080000}"/>
    <cellStyle name="20% - Accent1 4 7 3 3" xfId="15911" xr:uid="{00000000-0005-0000-0000-000060080000}"/>
    <cellStyle name="20% - Accent1 4 7 3 3 2" xfId="38513" xr:uid="{00000000-0005-0000-0000-000061080000}"/>
    <cellStyle name="20% - Accent1 4 7 3 4" xfId="27212" xr:uid="{00000000-0005-0000-0000-000062080000}"/>
    <cellStyle name="20% - Accent1 4 7 4" xfId="6792" xr:uid="{00000000-0005-0000-0000-000063080000}"/>
    <cellStyle name="20% - Accent1 4 7 4 2" xfId="18093" xr:uid="{00000000-0005-0000-0000-000064080000}"/>
    <cellStyle name="20% - Accent1 4 7 4 2 2" xfId="40695" xr:uid="{00000000-0005-0000-0000-000065080000}"/>
    <cellStyle name="20% - Accent1 4 7 4 3" xfId="29394" xr:uid="{00000000-0005-0000-0000-000066080000}"/>
    <cellStyle name="20% - Accent1 4 7 5" xfId="12443" xr:uid="{00000000-0005-0000-0000-000067080000}"/>
    <cellStyle name="20% - Accent1 4 7 5 2" xfId="35045" xr:uid="{00000000-0005-0000-0000-000068080000}"/>
    <cellStyle name="20% - Accent1 4 7 6" xfId="23744" xr:uid="{00000000-0005-0000-0000-000069080000}"/>
    <cellStyle name="20% - Accent1 4 8" xfId="1553" xr:uid="{00000000-0005-0000-0000-00006A080000}"/>
    <cellStyle name="20% - Accent1 4 8 2" xfId="3590" xr:uid="{00000000-0005-0000-0000-00006B080000}"/>
    <cellStyle name="20% - Accent1 4 8 2 2" xfId="9308" xr:uid="{00000000-0005-0000-0000-00006C080000}"/>
    <cellStyle name="20% - Accent1 4 8 2 2 2" xfId="20609" xr:uid="{00000000-0005-0000-0000-00006D080000}"/>
    <cellStyle name="20% - Accent1 4 8 2 2 2 2" xfId="43211" xr:uid="{00000000-0005-0000-0000-00006E080000}"/>
    <cellStyle name="20% - Accent1 4 8 2 2 3" xfId="31910" xr:uid="{00000000-0005-0000-0000-00006F080000}"/>
    <cellStyle name="20% - Accent1 4 8 2 3" xfId="14959" xr:uid="{00000000-0005-0000-0000-000070080000}"/>
    <cellStyle name="20% - Accent1 4 8 2 3 2" xfId="37561" xr:uid="{00000000-0005-0000-0000-000071080000}"/>
    <cellStyle name="20% - Accent1 4 8 2 4" xfId="26260" xr:uid="{00000000-0005-0000-0000-000072080000}"/>
    <cellStyle name="20% - Accent1 4 8 3" xfId="5220" xr:uid="{00000000-0005-0000-0000-000073080000}"/>
    <cellStyle name="20% - Accent1 4 8 3 2" xfId="10870" xr:uid="{00000000-0005-0000-0000-000074080000}"/>
    <cellStyle name="20% - Accent1 4 8 3 2 2" xfId="22171" xr:uid="{00000000-0005-0000-0000-000075080000}"/>
    <cellStyle name="20% - Accent1 4 8 3 2 2 2" xfId="44773" xr:uid="{00000000-0005-0000-0000-000076080000}"/>
    <cellStyle name="20% - Accent1 4 8 3 2 3" xfId="33472" xr:uid="{00000000-0005-0000-0000-000077080000}"/>
    <cellStyle name="20% - Accent1 4 8 3 3" xfId="16521" xr:uid="{00000000-0005-0000-0000-000078080000}"/>
    <cellStyle name="20% - Accent1 4 8 3 3 2" xfId="39123" xr:uid="{00000000-0005-0000-0000-000079080000}"/>
    <cellStyle name="20% - Accent1 4 8 3 4" xfId="27822" xr:uid="{00000000-0005-0000-0000-00007A080000}"/>
    <cellStyle name="20% - Accent1 4 8 4" xfId="7409" xr:uid="{00000000-0005-0000-0000-00007B080000}"/>
    <cellStyle name="20% - Accent1 4 8 4 2" xfId="18710" xr:uid="{00000000-0005-0000-0000-00007C080000}"/>
    <cellStyle name="20% - Accent1 4 8 4 2 2" xfId="41312" xr:uid="{00000000-0005-0000-0000-00007D080000}"/>
    <cellStyle name="20% - Accent1 4 8 4 3" xfId="30011" xr:uid="{00000000-0005-0000-0000-00007E080000}"/>
    <cellStyle name="20% - Accent1 4 8 5" xfId="13060" xr:uid="{00000000-0005-0000-0000-00007F080000}"/>
    <cellStyle name="20% - Accent1 4 8 5 2" xfId="35662" xr:uid="{00000000-0005-0000-0000-000080080000}"/>
    <cellStyle name="20% - Accent1 4 8 6" xfId="24361" xr:uid="{00000000-0005-0000-0000-000081080000}"/>
    <cellStyle name="20% - Accent1 4 9" xfId="2191" xr:uid="{00000000-0005-0000-0000-000082080000}"/>
    <cellStyle name="20% - Accent1 4 9 2" xfId="8034" xr:uid="{00000000-0005-0000-0000-000083080000}"/>
    <cellStyle name="20% - Accent1 4 9 2 2" xfId="19335" xr:uid="{00000000-0005-0000-0000-000084080000}"/>
    <cellStyle name="20% - Accent1 4 9 2 2 2" xfId="41937" xr:uid="{00000000-0005-0000-0000-000085080000}"/>
    <cellStyle name="20% - Accent1 4 9 2 3" xfId="30636" xr:uid="{00000000-0005-0000-0000-000086080000}"/>
    <cellStyle name="20% - Accent1 4 9 3" xfId="13685" xr:uid="{00000000-0005-0000-0000-000087080000}"/>
    <cellStyle name="20% - Accent1 4 9 3 2" xfId="36287" xr:uid="{00000000-0005-0000-0000-000088080000}"/>
    <cellStyle name="20% - Accent1 4 9 4" xfId="24986" xr:uid="{00000000-0005-0000-0000-000089080000}"/>
    <cellStyle name="20% - Accent1 5" xfId="262" xr:uid="{00000000-0005-0000-0000-00008A080000}"/>
    <cellStyle name="20% - Accent1 5 10" xfId="12128" xr:uid="{00000000-0005-0000-0000-00008B080000}"/>
    <cellStyle name="20% - Accent1 5 10 2" xfId="34730" xr:uid="{00000000-0005-0000-0000-00008C080000}"/>
    <cellStyle name="20% - Accent1 5 11" xfId="23429" xr:uid="{00000000-0005-0000-0000-00008D080000}"/>
    <cellStyle name="20% - Accent1 5 2" xfId="430" xr:uid="{00000000-0005-0000-0000-00008E080000}"/>
    <cellStyle name="20% - Accent1 5 2 10" xfId="23525" xr:uid="{00000000-0005-0000-0000-00008F080000}"/>
    <cellStyle name="20% - Accent1 5 2 2" xfId="675" xr:uid="{00000000-0005-0000-0000-000090080000}"/>
    <cellStyle name="20% - Accent1 5 2 2 2" xfId="1385" xr:uid="{00000000-0005-0000-0000-000091080000}"/>
    <cellStyle name="20% - Accent1 5 2 2 2 2" xfId="1570" xr:uid="{00000000-0005-0000-0000-000092080000}"/>
    <cellStyle name="20% - Accent1 5 2 2 2 2 2" xfId="3454" xr:uid="{00000000-0005-0000-0000-000093080000}"/>
    <cellStyle name="20% - Accent1 5 2 2 2 2 2 2" xfId="6426" xr:uid="{00000000-0005-0000-0000-000094080000}"/>
    <cellStyle name="20% - Accent1 5 2 2 2 2 2 2 2" xfId="12076" xr:uid="{00000000-0005-0000-0000-000095080000}"/>
    <cellStyle name="20% - Accent1 5 2 2 2 2 2 2 2 2" xfId="23377" xr:uid="{00000000-0005-0000-0000-000096080000}"/>
    <cellStyle name="20% - Accent1 5 2 2 2 2 2 2 2 2 2" xfId="45979" xr:uid="{00000000-0005-0000-0000-000097080000}"/>
    <cellStyle name="20% - Accent1 5 2 2 2 2 2 2 2 3" xfId="34678" xr:uid="{00000000-0005-0000-0000-000098080000}"/>
    <cellStyle name="20% - Accent1 5 2 2 2 2 2 2 3" xfId="17727" xr:uid="{00000000-0005-0000-0000-000099080000}"/>
    <cellStyle name="20% - Accent1 5 2 2 2 2 2 2 3 2" xfId="40329" xr:uid="{00000000-0005-0000-0000-00009A080000}"/>
    <cellStyle name="20% - Accent1 5 2 2 2 2 2 2 4" xfId="29028" xr:uid="{00000000-0005-0000-0000-00009B080000}"/>
    <cellStyle name="20% - Accent1 5 2 2 2 2 2 3" xfId="9244" xr:uid="{00000000-0005-0000-0000-00009C080000}"/>
    <cellStyle name="20% - Accent1 5 2 2 2 2 2 3 2" xfId="20545" xr:uid="{00000000-0005-0000-0000-00009D080000}"/>
    <cellStyle name="20% - Accent1 5 2 2 2 2 2 3 2 2" xfId="43147" xr:uid="{00000000-0005-0000-0000-00009E080000}"/>
    <cellStyle name="20% - Accent1 5 2 2 2 2 2 3 3" xfId="31846" xr:uid="{00000000-0005-0000-0000-00009F080000}"/>
    <cellStyle name="20% - Accent1 5 2 2 2 2 2 4" xfId="14895" xr:uid="{00000000-0005-0000-0000-0000A0080000}"/>
    <cellStyle name="20% - Accent1 5 2 2 2 2 2 4 2" xfId="37497" xr:uid="{00000000-0005-0000-0000-0000A1080000}"/>
    <cellStyle name="20% - Accent1 5 2 2 2 2 2 5" xfId="26196" xr:uid="{00000000-0005-0000-0000-0000A2080000}"/>
    <cellStyle name="20% - Accent1 5 2 2 2 2 3" xfId="5192" xr:uid="{00000000-0005-0000-0000-0000A3080000}"/>
    <cellStyle name="20% - Accent1 5 2 2 2 2 3 2" xfId="10842" xr:uid="{00000000-0005-0000-0000-0000A4080000}"/>
    <cellStyle name="20% - Accent1 5 2 2 2 2 3 2 2" xfId="22143" xr:uid="{00000000-0005-0000-0000-0000A5080000}"/>
    <cellStyle name="20% - Accent1 5 2 2 2 2 3 2 2 2" xfId="44745" xr:uid="{00000000-0005-0000-0000-0000A6080000}"/>
    <cellStyle name="20% - Accent1 5 2 2 2 2 3 2 3" xfId="33444" xr:uid="{00000000-0005-0000-0000-0000A7080000}"/>
    <cellStyle name="20% - Accent1 5 2 2 2 2 3 3" xfId="16493" xr:uid="{00000000-0005-0000-0000-0000A8080000}"/>
    <cellStyle name="20% - Accent1 5 2 2 2 2 3 3 2" xfId="39095" xr:uid="{00000000-0005-0000-0000-0000A9080000}"/>
    <cellStyle name="20% - Accent1 5 2 2 2 2 3 4" xfId="27794" xr:uid="{00000000-0005-0000-0000-0000AA080000}"/>
    <cellStyle name="20% - Accent1 5 2 2 2 2 4" xfId="7426" xr:uid="{00000000-0005-0000-0000-0000AB080000}"/>
    <cellStyle name="20% - Accent1 5 2 2 2 2 4 2" xfId="18727" xr:uid="{00000000-0005-0000-0000-0000AC080000}"/>
    <cellStyle name="20% - Accent1 5 2 2 2 2 4 2 2" xfId="41329" xr:uid="{00000000-0005-0000-0000-0000AD080000}"/>
    <cellStyle name="20% - Accent1 5 2 2 2 2 4 3" xfId="30028" xr:uid="{00000000-0005-0000-0000-0000AE080000}"/>
    <cellStyle name="20% - Accent1 5 2 2 2 2 5" xfId="13077" xr:uid="{00000000-0005-0000-0000-0000AF080000}"/>
    <cellStyle name="20% - Accent1 5 2 2 2 2 5 2" xfId="35679" xr:uid="{00000000-0005-0000-0000-0000B0080000}"/>
    <cellStyle name="20% - Accent1 5 2 2 2 2 6" xfId="24378" xr:uid="{00000000-0005-0000-0000-0000B1080000}"/>
    <cellStyle name="20% - Accent1 5 2 2 2 3" xfId="2783" xr:uid="{00000000-0005-0000-0000-0000B2080000}"/>
    <cellStyle name="20% - Accent1 5 2 2 2 3 2" xfId="5802" xr:uid="{00000000-0005-0000-0000-0000B3080000}"/>
    <cellStyle name="20% - Accent1 5 2 2 2 3 2 2" xfId="11452" xr:uid="{00000000-0005-0000-0000-0000B4080000}"/>
    <cellStyle name="20% - Accent1 5 2 2 2 3 2 2 2" xfId="22753" xr:uid="{00000000-0005-0000-0000-0000B5080000}"/>
    <cellStyle name="20% - Accent1 5 2 2 2 3 2 2 2 2" xfId="45355" xr:uid="{00000000-0005-0000-0000-0000B6080000}"/>
    <cellStyle name="20% - Accent1 5 2 2 2 3 2 2 3" xfId="34054" xr:uid="{00000000-0005-0000-0000-0000B7080000}"/>
    <cellStyle name="20% - Accent1 5 2 2 2 3 2 3" xfId="17103" xr:uid="{00000000-0005-0000-0000-0000B8080000}"/>
    <cellStyle name="20% - Accent1 5 2 2 2 3 2 3 2" xfId="39705" xr:uid="{00000000-0005-0000-0000-0000B9080000}"/>
    <cellStyle name="20% - Accent1 5 2 2 2 3 2 4" xfId="28404" xr:uid="{00000000-0005-0000-0000-0000BA080000}"/>
    <cellStyle name="20% - Accent1 5 2 2 2 3 3" xfId="8619" xr:uid="{00000000-0005-0000-0000-0000BB080000}"/>
    <cellStyle name="20% - Accent1 5 2 2 2 3 3 2" xfId="19920" xr:uid="{00000000-0005-0000-0000-0000BC080000}"/>
    <cellStyle name="20% - Accent1 5 2 2 2 3 3 2 2" xfId="42522" xr:uid="{00000000-0005-0000-0000-0000BD080000}"/>
    <cellStyle name="20% - Accent1 5 2 2 2 3 3 3" xfId="31221" xr:uid="{00000000-0005-0000-0000-0000BE080000}"/>
    <cellStyle name="20% - Accent1 5 2 2 2 3 4" xfId="14270" xr:uid="{00000000-0005-0000-0000-0000BF080000}"/>
    <cellStyle name="20% - Accent1 5 2 2 2 3 4 2" xfId="36872" xr:uid="{00000000-0005-0000-0000-0000C0080000}"/>
    <cellStyle name="20% - Accent1 5 2 2 2 3 5" xfId="25571" xr:uid="{00000000-0005-0000-0000-0000C1080000}"/>
    <cellStyle name="20% - Accent1 5 2 2 2 4" xfId="4568" xr:uid="{00000000-0005-0000-0000-0000C2080000}"/>
    <cellStyle name="20% - Accent1 5 2 2 2 4 2" xfId="10218" xr:uid="{00000000-0005-0000-0000-0000C3080000}"/>
    <cellStyle name="20% - Accent1 5 2 2 2 4 2 2" xfId="21519" xr:uid="{00000000-0005-0000-0000-0000C4080000}"/>
    <cellStyle name="20% - Accent1 5 2 2 2 4 2 2 2" xfId="44121" xr:uid="{00000000-0005-0000-0000-0000C5080000}"/>
    <cellStyle name="20% - Accent1 5 2 2 2 4 2 3" xfId="32820" xr:uid="{00000000-0005-0000-0000-0000C6080000}"/>
    <cellStyle name="20% - Accent1 5 2 2 2 4 3" xfId="15869" xr:uid="{00000000-0005-0000-0000-0000C7080000}"/>
    <cellStyle name="20% - Accent1 5 2 2 2 4 3 2" xfId="38471" xr:uid="{00000000-0005-0000-0000-0000C8080000}"/>
    <cellStyle name="20% - Accent1 5 2 2 2 4 4" xfId="27170" xr:uid="{00000000-0005-0000-0000-0000C9080000}"/>
    <cellStyle name="20% - Accent1 5 2 2 2 5" xfId="7364" xr:uid="{00000000-0005-0000-0000-0000CA080000}"/>
    <cellStyle name="20% - Accent1 5 2 2 2 5 2" xfId="18665" xr:uid="{00000000-0005-0000-0000-0000CB080000}"/>
    <cellStyle name="20% - Accent1 5 2 2 2 5 2 2" xfId="41267" xr:uid="{00000000-0005-0000-0000-0000CC080000}"/>
    <cellStyle name="20% - Accent1 5 2 2 2 5 3" xfId="29966" xr:uid="{00000000-0005-0000-0000-0000CD080000}"/>
    <cellStyle name="20% - Accent1 5 2 2 2 6" xfId="13015" xr:uid="{00000000-0005-0000-0000-0000CE080000}"/>
    <cellStyle name="20% - Accent1 5 2 2 2 6 2" xfId="35617" xr:uid="{00000000-0005-0000-0000-0000CF080000}"/>
    <cellStyle name="20% - Accent1 5 2 2 2 7" xfId="24316" xr:uid="{00000000-0005-0000-0000-0000D0080000}"/>
    <cellStyle name="20% - Accent1 5 2 2 3" xfId="1083" xr:uid="{00000000-0005-0000-0000-0000D1080000}"/>
    <cellStyle name="20% - Accent1 5 2 2 3 2" xfId="3146" xr:uid="{00000000-0005-0000-0000-0000D2080000}"/>
    <cellStyle name="20% - Accent1 5 2 2 3 2 2" xfId="6118" xr:uid="{00000000-0005-0000-0000-0000D3080000}"/>
    <cellStyle name="20% - Accent1 5 2 2 3 2 2 2" xfId="11768" xr:uid="{00000000-0005-0000-0000-0000D4080000}"/>
    <cellStyle name="20% - Accent1 5 2 2 3 2 2 2 2" xfId="23069" xr:uid="{00000000-0005-0000-0000-0000D5080000}"/>
    <cellStyle name="20% - Accent1 5 2 2 3 2 2 2 2 2" xfId="45671" xr:uid="{00000000-0005-0000-0000-0000D6080000}"/>
    <cellStyle name="20% - Accent1 5 2 2 3 2 2 2 3" xfId="34370" xr:uid="{00000000-0005-0000-0000-0000D7080000}"/>
    <cellStyle name="20% - Accent1 5 2 2 3 2 2 3" xfId="17419" xr:uid="{00000000-0005-0000-0000-0000D8080000}"/>
    <cellStyle name="20% - Accent1 5 2 2 3 2 2 3 2" xfId="40021" xr:uid="{00000000-0005-0000-0000-0000D9080000}"/>
    <cellStyle name="20% - Accent1 5 2 2 3 2 2 4" xfId="28720" xr:uid="{00000000-0005-0000-0000-0000DA080000}"/>
    <cellStyle name="20% - Accent1 5 2 2 3 2 3" xfId="8936" xr:uid="{00000000-0005-0000-0000-0000DB080000}"/>
    <cellStyle name="20% - Accent1 5 2 2 3 2 3 2" xfId="20237" xr:uid="{00000000-0005-0000-0000-0000DC080000}"/>
    <cellStyle name="20% - Accent1 5 2 2 3 2 3 2 2" xfId="42839" xr:uid="{00000000-0005-0000-0000-0000DD080000}"/>
    <cellStyle name="20% - Accent1 5 2 2 3 2 3 3" xfId="31538" xr:uid="{00000000-0005-0000-0000-0000DE080000}"/>
    <cellStyle name="20% - Accent1 5 2 2 3 2 4" xfId="14587" xr:uid="{00000000-0005-0000-0000-0000DF080000}"/>
    <cellStyle name="20% - Accent1 5 2 2 3 2 4 2" xfId="37189" xr:uid="{00000000-0005-0000-0000-0000E0080000}"/>
    <cellStyle name="20% - Accent1 5 2 2 3 2 5" xfId="25888" xr:uid="{00000000-0005-0000-0000-0000E1080000}"/>
    <cellStyle name="20% - Accent1 5 2 2 3 3" xfId="4884" xr:uid="{00000000-0005-0000-0000-0000E2080000}"/>
    <cellStyle name="20% - Accent1 5 2 2 3 3 2" xfId="10534" xr:uid="{00000000-0005-0000-0000-0000E3080000}"/>
    <cellStyle name="20% - Accent1 5 2 2 3 3 2 2" xfId="21835" xr:uid="{00000000-0005-0000-0000-0000E4080000}"/>
    <cellStyle name="20% - Accent1 5 2 2 3 3 2 2 2" xfId="44437" xr:uid="{00000000-0005-0000-0000-0000E5080000}"/>
    <cellStyle name="20% - Accent1 5 2 2 3 3 2 3" xfId="33136" xr:uid="{00000000-0005-0000-0000-0000E6080000}"/>
    <cellStyle name="20% - Accent1 5 2 2 3 3 3" xfId="16185" xr:uid="{00000000-0005-0000-0000-0000E7080000}"/>
    <cellStyle name="20% - Accent1 5 2 2 3 3 3 2" xfId="38787" xr:uid="{00000000-0005-0000-0000-0000E8080000}"/>
    <cellStyle name="20% - Accent1 5 2 2 3 3 4" xfId="27486" xr:uid="{00000000-0005-0000-0000-0000E9080000}"/>
    <cellStyle name="20% - Accent1 5 2 2 3 4" xfId="7071" xr:uid="{00000000-0005-0000-0000-0000EA080000}"/>
    <cellStyle name="20% - Accent1 5 2 2 3 4 2" xfId="18372" xr:uid="{00000000-0005-0000-0000-0000EB080000}"/>
    <cellStyle name="20% - Accent1 5 2 2 3 4 2 2" xfId="40974" xr:uid="{00000000-0005-0000-0000-0000EC080000}"/>
    <cellStyle name="20% - Accent1 5 2 2 3 4 3" xfId="29673" xr:uid="{00000000-0005-0000-0000-0000ED080000}"/>
    <cellStyle name="20% - Accent1 5 2 2 3 5" xfId="12722" xr:uid="{00000000-0005-0000-0000-0000EE080000}"/>
    <cellStyle name="20% - Accent1 5 2 2 3 5 2" xfId="35324" xr:uid="{00000000-0005-0000-0000-0000EF080000}"/>
    <cellStyle name="20% - Accent1 5 2 2 3 6" xfId="24023" xr:uid="{00000000-0005-0000-0000-0000F0080000}"/>
    <cellStyle name="20% - Accent1 5 2 2 4" xfId="1569" xr:uid="{00000000-0005-0000-0000-0000F1080000}"/>
    <cellStyle name="20% - Accent1 5 2 2 4 2" xfId="3591" xr:uid="{00000000-0005-0000-0000-0000F2080000}"/>
    <cellStyle name="20% - Accent1 5 2 2 4 2 2" xfId="9309" xr:uid="{00000000-0005-0000-0000-0000F3080000}"/>
    <cellStyle name="20% - Accent1 5 2 2 4 2 2 2" xfId="20610" xr:uid="{00000000-0005-0000-0000-0000F4080000}"/>
    <cellStyle name="20% - Accent1 5 2 2 4 2 2 2 2" xfId="43212" xr:uid="{00000000-0005-0000-0000-0000F5080000}"/>
    <cellStyle name="20% - Accent1 5 2 2 4 2 2 3" xfId="31911" xr:uid="{00000000-0005-0000-0000-0000F6080000}"/>
    <cellStyle name="20% - Accent1 5 2 2 4 2 3" xfId="14960" xr:uid="{00000000-0005-0000-0000-0000F7080000}"/>
    <cellStyle name="20% - Accent1 5 2 2 4 2 3 2" xfId="37562" xr:uid="{00000000-0005-0000-0000-0000F8080000}"/>
    <cellStyle name="20% - Accent1 5 2 2 4 2 4" xfId="26261" xr:uid="{00000000-0005-0000-0000-0000F9080000}"/>
    <cellStyle name="20% - Accent1 5 2 2 4 3" xfId="5494" xr:uid="{00000000-0005-0000-0000-0000FA080000}"/>
    <cellStyle name="20% - Accent1 5 2 2 4 3 2" xfId="11144" xr:uid="{00000000-0005-0000-0000-0000FB080000}"/>
    <cellStyle name="20% - Accent1 5 2 2 4 3 2 2" xfId="22445" xr:uid="{00000000-0005-0000-0000-0000FC080000}"/>
    <cellStyle name="20% - Accent1 5 2 2 4 3 2 2 2" xfId="45047" xr:uid="{00000000-0005-0000-0000-0000FD080000}"/>
    <cellStyle name="20% - Accent1 5 2 2 4 3 2 3" xfId="33746" xr:uid="{00000000-0005-0000-0000-0000FE080000}"/>
    <cellStyle name="20% - Accent1 5 2 2 4 3 3" xfId="16795" xr:uid="{00000000-0005-0000-0000-0000FF080000}"/>
    <cellStyle name="20% - Accent1 5 2 2 4 3 3 2" xfId="39397" xr:uid="{00000000-0005-0000-0000-000000090000}"/>
    <cellStyle name="20% - Accent1 5 2 2 4 3 4" xfId="28096" xr:uid="{00000000-0005-0000-0000-000001090000}"/>
    <cellStyle name="20% - Accent1 5 2 2 4 4" xfId="7425" xr:uid="{00000000-0005-0000-0000-000002090000}"/>
    <cellStyle name="20% - Accent1 5 2 2 4 4 2" xfId="18726" xr:uid="{00000000-0005-0000-0000-000003090000}"/>
    <cellStyle name="20% - Accent1 5 2 2 4 4 2 2" xfId="41328" xr:uid="{00000000-0005-0000-0000-000004090000}"/>
    <cellStyle name="20% - Accent1 5 2 2 4 4 3" xfId="30027" xr:uid="{00000000-0005-0000-0000-000005090000}"/>
    <cellStyle name="20% - Accent1 5 2 2 4 5" xfId="13076" xr:uid="{00000000-0005-0000-0000-000006090000}"/>
    <cellStyle name="20% - Accent1 5 2 2 4 5 2" xfId="35678" xr:uid="{00000000-0005-0000-0000-000007090000}"/>
    <cellStyle name="20% - Accent1 5 2 2 4 6" xfId="24377" xr:uid="{00000000-0005-0000-0000-000008090000}"/>
    <cellStyle name="20% - Accent1 5 2 2 5" xfId="2475" xr:uid="{00000000-0005-0000-0000-000009090000}"/>
    <cellStyle name="20% - Accent1 5 2 2 5 2" xfId="8311" xr:uid="{00000000-0005-0000-0000-00000A090000}"/>
    <cellStyle name="20% - Accent1 5 2 2 5 2 2" xfId="19612" xr:uid="{00000000-0005-0000-0000-00000B090000}"/>
    <cellStyle name="20% - Accent1 5 2 2 5 2 2 2" xfId="42214" xr:uid="{00000000-0005-0000-0000-00000C090000}"/>
    <cellStyle name="20% - Accent1 5 2 2 5 2 3" xfId="30913" xr:uid="{00000000-0005-0000-0000-00000D090000}"/>
    <cellStyle name="20% - Accent1 5 2 2 5 3" xfId="13962" xr:uid="{00000000-0005-0000-0000-00000E090000}"/>
    <cellStyle name="20% - Accent1 5 2 2 5 3 2" xfId="36564" xr:uid="{00000000-0005-0000-0000-00000F090000}"/>
    <cellStyle name="20% - Accent1 5 2 2 5 4" xfId="25263" xr:uid="{00000000-0005-0000-0000-000010090000}"/>
    <cellStyle name="20% - Accent1 5 2 2 6" xfId="4260" xr:uid="{00000000-0005-0000-0000-000011090000}"/>
    <cellStyle name="20% - Accent1 5 2 2 6 2" xfId="9910" xr:uid="{00000000-0005-0000-0000-000012090000}"/>
    <cellStyle name="20% - Accent1 5 2 2 6 2 2" xfId="21211" xr:uid="{00000000-0005-0000-0000-000013090000}"/>
    <cellStyle name="20% - Accent1 5 2 2 6 2 2 2" xfId="43813" xr:uid="{00000000-0005-0000-0000-000014090000}"/>
    <cellStyle name="20% - Accent1 5 2 2 6 2 3" xfId="32512" xr:uid="{00000000-0005-0000-0000-000015090000}"/>
    <cellStyle name="20% - Accent1 5 2 2 6 3" xfId="15561" xr:uid="{00000000-0005-0000-0000-000016090000}"/>
    <cellStyle name="20% - Accent1 5 2 2 6 3 2" xfId="38163" xr:uid="{00000000-0005-0000-0000-000017090000}"/>
    <cellStyle name="20% - Accent1 5 2 2 6 4" xfId="26862" xr:uid="{00000000-0005-0000-0000-000018090000}"/>
    <cellStyle name="20% - Accent1 5 2 2 7" xfId="6740" xr:uid="{00000000-0005-0000-0000-000019090000}"/>
    <cellStyle name="20% - Accent1 5 2 2 7 2" xfId="18041" xr:uid="{00000000-0005-0000-0000-00001A090000}"/>
    <cellStyle name="20% - Accent1 5 2 2 7 2 2" xfId="40643" xr:uid="{00000000-0005-0000-0000-00001B090000}"/>
    <cellStyle name="20% - Accent1 5 2 2 7 3" xfId="29342" xr:uid="{00000000-0005-0000-0000-00001C090000}"/>
    <cellStyle name="20% - Accent1 5 2 2 8" xfId="12391" xr:uid="{00000000-0005-0000-0000-00001D090000}"/>
    <cellStyle name="20% - Accent1 5 2 2 8 2" xfId="34993" xr:uid="{00000000-0005-0000-0000-00001E090000}"/>
    <cellStyle name="20% - Accent1 5 2 2 9" xfId="23692" xr:uid="{00000000-0005-0000-0000-00001F090000}"/>
    <cellStyle name="20% - Accent1 5 2 3" xfId="1247" xr:uid="{00000000-0005-0000-0000-000020090000}"/>
    <cellStyle name="20% - Accent1 5 2 3 2" xfId="1571" xr:uid="{00000000-0005-0000-0000-000021090000}"/>
    <cellStyle name="20% - Accent1 5 2 3 2 2" xfId="3315" xr:uid="{00000000-0005-0000-0000-000022090000}"/>
    <cellStyle name="20% - Accent1 5 2 3 2 2 2" xfId="6287" xr:uid="{00000000-0005-0000-0000-000023090000}"/>
    <cellStyle name="20% - Accent1 5 2 3 2 2 2 2" xfId="11937" xr:uid="{00000000-0005-0000-0000-000024090000}"/>
    <cellStyle name="20% - Accent1 5 2 3 2 2 2 2 2" xfId="23238" xr:uid="{00000000-0005-0000-0000-000025090000}"/>
    <cellStyle name="20% - Accent1 5 2 3 2 2 2 2 2 2" xfId="45840" xr:uid="{00000000-0005-0000-0000-000026090000}"/>
    <cellStyle name="20% - Accent1 5 2 3 2 2 2 2 3" xfId="34539" xr:uid="{00000000-0005-0000-0000-000027090000}"/>
    <cellStyle name="20% - Accent1 5 2 3 2 2 2 3" xfId="17588" xr:uid="{00000000-0005-0000-0000-000028090000}"/>
    <cellStyle name="20% - Accent1 5 2 3 2 2 2 3 2" xfId="40190" xr:uid="{00000000-0005-0000-0000-000029090000}"/>
    <cellStyle name="20% - Accent1 5 2 3 2 2 2 4" xfId="28889" xr:uid="{00000000-0005-0000-0000-00002A090000}"/>
    <cellStyle name="20% - Accent1 5 2 3 2 2 3" xfId="9105" xr:uid="{00000000-0005-0000-0000-00002B090000}"/>
    <cellStyle name="20% - Accent1 5 2 3 2 2 3 2" xfId="20406" xr:uid="{00000000-0005-0000-0000-00002C090000}"/>
    <cellStyle name="20% - Accent1 5 2 3 2 2 3 2 2" xfId="43008" xr:uid="{00000000-0005-0000-0000-00002D090000}"/>
    <cellStyle name="20% - Accent1 5 2 3 2 2 3 3" xfId="31707" xr:uid="{00000000-0005-0000-0000-00002E090000}"/>
    <cellStyle name="20% - Accent1 5 2 3 2 2 4" xfId="14756" xr:uid="{00000000-0005-0000-0000-00002F090000}"/>
    <cellStyle name="20% - Accent1 5 2 3 2 2 4 2" xfId="37358" xr:uid="{00000000-0005-0000-0000-000030090000}"/>
    <cellStyle name="20% - Accent1 5 2 3 2 2 5" xfId="26057" xr:uid="{00000000-0005-0000-0000-000031090000}"/>
    <cellStyle name="20% - Accent1 5 2 3 2 3" xfId="5053" xr:uid="{00000000-0005-0000-0000-000032090000}"/>
    <cellStyle name="20% - Accent1 5 2 3 2 3 2" xfId="10703" xr:uid="{00000000-0005-0000-0000-000033090000}"/>
    <cellStyle name="20% - Accent1 5 2 3 2 3 2 2" xfId="22004" xr:uid="{00000000-0005-0000-0000-000034090000}"/>
    <cellStyle name="20% - Accent1 5 2 3 2 3 2 2 2" xfId="44606" xr:uid="{00000000-0005-0000-0000-000035090000}"/>
    <cellStyle name="20% - Accent1 5 2 3 2 3 2 3" xfId="33305" xr:uid="{00000000-0005-0000-0000-000036090000}"/>
    <cellStyle name="20% - Accent1 5 2 3 2 3 3" xfId="16354" xr:uid="{00000000-0005-0000-0000-000037090000}"/>
    <cellStyle name="20% - Accent1 5 2 3 2 3 3 2" xfId="38956" xr:uid="{00000000-0005-0000-0000-000038090000}"/>
    <cellStyle name="20% - Accent1 5 2 3 2 3 4" xfId="27655" xr:uid="{00000000-0005-0000-0000-000039090000}"/>
    <cellStyle name="20% - Accent1 5 2 3 2 4" xfId="7427" xr:uid="{00000000-0005-0000-0000-00003A090000}"/>
    <cellStyle name="20% - Accent1 5 2 3 2 4 2" xfId="18728" xr:uid="{00000000-0005-0000-0000-00003B090000}"/>
    <cellStyle name="20% - Accent1 5 2 3 2 4 2 2" xfId="41330" xr:uid="{00000000-0005-0000-0000-00003C090000}"/>
    <cellStyle name="20% - Accent1 5 2 3 2 4 3" xfId="30029" xr:uid="{00000000-0005-0000-0000-00003D090000}"/>
    <cellStyle name="20% - Accent1 5 2 3 2 5" xfId="13078" xr:uid="{00000000-0005-0000-0000-00003E090000}"/>
    <cellStyle name="20% - Accent1 5 2 3 2 5 2" xfId="35680" xr:uid="{00000000-0005-0000-0000-00003F090000}"/>
    <cellStyle name="20% - Accent1 5 2 3 2 6" xfId="24379" xr:uid="{00000000-0005-0000-0000-000040090000}"/>
    <cellStyle name="20% - Accent1 5 2 3 3" xfId="2644" xr:uid="{00000000-0005-0000-0000-000041090000}"/>
    <cellStyle name="20% - Accent1 5 2 3 3 2" xfId="5663" xr:uid="{00000000-0005-0000-0000-000042090000}"/>
    <cellStyle name="20% - Accent1 5 2 3 3 2 2" xfId="11313" xr:uid="{00000000-0005-0000-0000-000043090000}"/>
    <cellStyle name="20% - Accent1 5 2 3 3 2 2 2" xfId="22614" xr:uid="{00000000-0005-0000-0000-000044090000}"/>
    <cellStyle name="20% - Accent1 5 2 3 3 2 2 2 2" xfId="45216" xr:uid="{00000000-0005-0000-0000-000045090000}"/>
    <cellStyle name="20% - Accent1 5 2 3 3 2 2 3" xfId="33915" xr:uid="{00000000-0005-0000-0000-000046090000}"/>
    <cellStyle name="20% - Accent1 5 2 3 3 2 3" xfId="16964" xr:uid="{00000000-0005-0000-0000-000047090000}"/>
    <cellStyle name="20% - Accent1 5 2 3 3 2 3 2" xfId="39566" xr:uid="{00000000-0005-0000-0000-000048090000}"/>
    <cellStyle name="20% - Accent1 5 2 3 3 2 4" xfId="28265" xr:uid="{00000000-0005-0000-0000-000049090000}"/>
    <cellStyle name="20% - Accent1 5 2 3 3 3" xfId="8480" xr:uid="{00000000-0005-0000-0000-00004A090000}"/>
    <cellStyle name="20% - Accent1 5 2 3 3 3 2" xfId="19781" xr:uid="{00000000-0005-0000-0000-00004B090000}"/>
    <cellStyle name="20% - Accent1 5 2 3 3 3 2 2" xfId="42383" xr:uid="{00000000-0005-0000-0000-00004C090000}"/>
    <cellStyle name="20% - Accent1 5 2 3 3 3 3" xfId="31082" xr:uid="{00000000-0005-0000-0000-00004D090000}"/>
    <cellStyle name="20% - Accent1 5 2 3 3 4" xfId="14131" xr:uid="{00000000-0005-0000-0000-00004E090000}"/>
    <cellStyle name="20% - Accent1 5 2 3 3 4 2" xfId="36733" xr:uid="{00000000-0005-0000-0000-00004F090000}"/>
    <cellStyle name="20% - Accent1 5 2 3 3 5" xfId="25432" xr:uid="{00000000-0005-0000-0000-000050090000}"/>
    <cellStyle name="20% - Accent1 5 2 3 4" xfId="4429" xr:uid="{00000000-0005-0000-0000-000051090000}"/>
    <cellStyle name="20% - Accent1 5 2 3 4 2" xfId="10079" xr:uid="{00000000-0005-0000-0000-000052090000}"/>
    <cellStyle name="20% - Accent1 5 2 3 4 2 2" xfId="21380" xr:uid="{00000000-0005-0000-0000-000053090000}"/>
    <cellStyle name="20% - Accent1 5 2 3 4 2 2 2" xfId="43982" xr:uid="{00000000-0005-0000-0000-000054090000}"/>
    <cellStyle name="20% - Accent1 5 2 3 4 2 3" xfId="32681" xr:uid="{00000000-0005-0000-0000-000055090000}"/>
    <cellStyle name="20% - Accent1 5 2 3 4 3" xfId="15730" xr:uid="{00000000-0005-0000-0000-000056090000}"/>
    <cellStyle name="20% - Accent1 5 2 3 4 3 2" xfId="38332" xr:uid="{00000000-0005-0000-0000-000057090000}"/>
    <cellStyle name="20% - Accent1 5 2 3 4 4" xfId="27031" xr:uid="{00000000-0005-0000-0000-000058090000}"/>
    <cellStyle name="20% - Accent1 5 2 3 5" xfId="7226" xr:uid="{00000000-0005-0000-0000-000059090000}"/>
    <cellStyle name="20% - Accent1 5 2 3 5 2" xfId="18527" xr:uid="{00000000-0005-0000-0000-00005A090000}"/>
    <cellStyle name="20% - Accent1 5 2 3 5 2 2" xfId="41129" xr:uid="{00000000-0005-0000-0000-00005B090000}"/>
    <cellStyle name="20% - Accent1 5 2 3 5 3" xfId="29828" xr:uid="{00000000-0005-0000-0000-00005C090000}"/>
    <cellStyle name="20% - Accent1 5 2 3 6" xfId="12877" xr:uid="{00000000-0005-0000-0000-00005D090000}"/>
    <cellStyle name="20% - Accent1 5 2 3 6 2" xfId="35479" xr:uid="{00000000-0005-0000-0000-00005E090000}"/>
    <cellStyle name="20% - Accent1 5 2 3 7" xfId="24178" xr:uid="{00000000-0005-0000-0000-00005F090000}"/>
    <cellStyle name="20% - Accent1 5 2 4" xfId="938" xr:uid="{00000000-0005-0000-0000-000060090000}"/>
    <cellStyle name="20% - Accent1 5 2 4 2" xfId="3008" xr:uid="{00000000-0005-0000-0000-000061090000}"/>
    <cellStyle name="20% - Accent1 5 2 4 2 2" xfId="5980" xr:uid="{00000000-0005-0000-0000-000062090000}"/>
    <cellStyle name="20% - Accent1 5 2 4 2 2 2" xfId="11630" xr:uid="{00000000-0005-0000-0000-000063090000}"/>
    <cellStyle name="20% - Accent1 5 2 4 2 2 2 2" xfId="22931" xr:uid="{00000000-0005-0000-0000-000064090000}"/>
    <cellStyle name="20% - Accent1 5 2 4 2 2 2 2 2" xfId="45533" xr:uid="{00000000-0005-0000-0000-000065090000}"/>
    <cellStyle name="20% - Accent1 5 2 4 2 2 2 3" xfId="34232" xr:uid="{00000000-0005-0000-0000-000066090000}"/>
    <cellStyle name="20% - Accent1 5 2 4 2 2 3" xfId="17281" xr:uid="{00000000-0005-0000-0000-000067090000}"/>
    <cellStyle name="20% - Accent1 5 2 4 2 2 3 2" xfId="39883" xr:uid="{00000000-0005-0000-0000-000068090000}"/>
    <cellStyle name="20% - Accent1 5 2 4 2 2 4" xfId="28582" xr:uid="{00000000-0005-0000-0000-000069090000}"/>
    <cellStyle name="20% - Accent1 5 2 4 2 3" xfId="8798" xr:uid="{00000000-0005-0000-0000-00006A090000}"/>
    <cellStyle name="20% - Accent1 5 2 4 2 3 2" xfId="20099" xr:uid="{00000000-0005-0000-0000-00006B090000}"/>
    <cellStyle name="20% - Accent1 5 2 4 2 3 2 2" xfId="42701" xr:uid="{00000000-0005-0000-0000-00006C090000}"/>
    <cellStyle name="20% - Accent1 5 2 4 2 3 3" xfId="31400" xr:uid="{00000000-0005-0000-0000-00006D090000}"/>
    <cellStyle name="20% - Accent1 5 2 4 2 4" xfId="14449" xr:uid="{00000000-0005-0000-0000-00006E090000}"/>
    <cellStyle name="20% - Accent1 5 2 4 2 4 2" xfId="37051" xr:uid="{00000000-0005-0000-0000-00006F090000}"/>
    <cellStyle name="20% - Accent1 5 2 4 2 5" xfId="25750" xr:uid="{00000000-0005-0000-0000-000070090000}"/>
    <cellStyle name="20% - Accent1 5 2 4 3" xfId="4746" xr:uid="{00000000-0005-0000-0000-000071090000}"/>
    <cellStyle name="20% - Accent1 5 2 4 3 2" xfId="10396" xr:uid="{00000000-0005-0000-0000-000072090000}"/>
    <cellStyle name="20% - Accent1 5 2 4 3 2 2" xfId="21697" xr:uid="{00000000-0005-0000-0000-000073090000}"/>
    <cellStyle name="20% - Accent1 5 2 4 3 2 2 2" xfId="44299" xr:uid="{00000000-0005-0000-0000-000074090000}"/>
    <cellStyle name="20% - Accent1 5 2 4 3 2 3" xfId="32998" xr:uid="{00000000-0005-0000-0000-000075090000}"/>
    <cellStyle name="20% - Accent1 5 2 4 3 3" xfId="16047" xr:uid="{00000000-0005-0000-0000-000076090000}"/>
    <cellStyle name="20% - Accent1 5 2 4 3 3 2" xfId="38649" xr:uid="{00000000-0005-0000-0000-000077090000}"/>
    <cellStyle name="20% - Accent1 5 2 4 3 4" xfId="27348" xr:uid="{00000000-0005-0000-0000-000078090000}"/>
    <cellStyle name="20% - Accent1 5 2 4 4" xfId="6933" xr:uid="{00000000-0005-0000-0000-000079090000}"/>
    <cellStyle name="20% - Accent1 5 2 4 4 2" xfId="18234" xr:uid="{00000000-0005-0000-0000-00007A090000}"/>
    <cellStyle name="20% - Accent1 5 2 4 4 2 2" xfId="40836" xr:uid="{00000000-0005-0000-0000-00007B090000}"/>
    <cellStyle name="20% - Accent1 5 2 4 4 3" xfId="29535" xr:uid="{00000000-0005-0000-0000-00007C090000}"/>
    <cellStyle name="20% - Accent1 5 2 4 5" xfId="12584" xr:uid="{00000000-0005-0000-0000-00007D090000}"/>
    <cellStyle name="20% - Accent1 5 2 4 5 2" xfId="35186" xr:uid="{00000000-0005-0000-0000-00007E090000}"/>
    <cellStyle name="20% - Accent1 5 2 4 6" xfId="23885" xr:uid="{00000000-0005-0000-0000-00007F090000}"/>
    <cellStyle name="20% - Accent1 5 2 5" xfId="1568" xr:uid="{00000000-0005-0000-0000-000080090000}"/>
    <cellStyle name="20% - Accent1 5 2 5 2" xfId="3535" xr:uid="{00000000-0005-0000-0000-000081090000}"/>
    <cellStyle name="20% - Accent1 5 2 5 2 2" xfId="9285" xr:uid="{00000000-0005-0000-0000-000082090000}"/>
    <cellStyle name="20% - Accent1 5 2 5 2 2 2" xfId="20586" xr:uid="{00000000-0005-0000-0000-000083090000}"/>
    <cellStyle name="20% - Accent1 5 2 5 2 2 2 2" xfId="43188" xr:uid="{00000000-0005-0000-0000-000084090000}"/>
    <cellStyle name="20% - Accent1 5 2 5 2 2 3" xfId="31887" xr:uid="{00000000-0005-0000-0000-000085090000}"/>
    <cellStyle name="20% - Accent1 5 2 5 2 3" xfId="14936" xr:uid="{00000000-0005-0000-0000-000086090000}"/>
    <cellStyle name="20% - Accent1 5 2 5 2 3 2" xfId="37538" xr:uid="{00000000-0005-0000-0000-000087090000}"/>
    <cellStyle name="20% - Accent1 5 2 5 2 4" xfId="26237" xr:uid="{00000000-0005-0000-0000-000088090000}"/>
    <cellStyle name="20% - Accent1 5 2 5 3" xfId="5356" xr:uid="{00000000-0005-0000-0000-000089090000}"/>
    <cellStyle name="20% - Accent1 5 2 5 3 2" xfId="11006" xr:uid="{00000000-0005-0000-0000-00008A090000}"/>
    <cellStyle name="20% - Accent1 5 2 5 3 2 2" xfId="22307" xr:uid="{00000000-0005-0000-0000-00008B090000}"/>
    <cellStyle name="20% - Accent1 5 2 5 3 2 2 2" xfId="44909" xr:uid="{00000000-0005-0000-0000-00008C090000}"/>
    <cellStyle name="20% - Accent1 5 2 5 3 2 3" xfId="33608" xr:uid="{00000000-0005-0000-0000-00008D090000}"/>
    <cellStyle name="20% - Accent1 5 2 5 3 3" xfId="16657" xr:uid="{00000000-0005-0000-0000-00008E090000}"/>
    <cellStyle name="20% - Accent1 5 2 5 3 3 2" xfId="39259" xr:uid="{00000000-0005-0000-0000-00008F090000}"/>
    <cellStyle name="20% - Accent1 5 2 5 3 4" xfId="27958" xr:uid="{00000000-0005-0000-0000-000090090000}"/>
    <cellStyle name="20% - Accent1 5 2 5 4" xfId="7424" xr:uid="{00000000-0005-0000-0000-000091090000}"/>
    <cellStyle name="20% - Accent1 5 2 5 4 2" xfId="18725" xr:uid="{00000000-0005-0000-0000-000092090000}"/>
    <cellStyle name="20% - Accent1 5 2 5 4 2 2" xfId="41327" xr:uid="{00000000-0005-0000-0000-000093090000}"/>
    <cellStyle name="20% - Accent1 5 2 5 4 3" xfId="30026" xr:uid="{00000000-0005-0000-0000-000094090000}"/>
    <cellStyle name="20% - Accent1 5 2 5 5" xfId="13075" xr:uid="{00000000-0005-0000-0000-000095090000}"/>
    <cellStyle name="20% - Accent1 5 2 5 5 2" xfId="35677" xr:uid="{00000000-0005-0000-0000-000096090000}"/>
    <cellStyle name="20% - Accent1 5 2 5 6" xfId="24376" xr:uid="{00000000-0005-0000-0000-000097090000}"/>
    <cellStyle name="20% - Accent1 5 2 6" xfId="2335" xr:uid="{00000000-0005-0000-0000-000098090000}"/>
    <cellStyle name="20% - Accent1 5 2 6 2" xfId="8171" xr:uid="{00000000-0005-0000-0000-000099090000}"/>
    <cellStyle name="20% - Accent1 5 2 6 2 2" xfId="19472" xr:uid="{00000000-0005-0000-0000-00009A090000}"/>
    <cellStyle name="20% - Accent1 5 2 6 2 2 2" xfId="42074" xr:uid="{00000000-0005-0000-0000-00009B090000}"/>
    <cellStyle name="20% - Accent1 5 2 6 2 3" xfId="30773" xr:uid="{00000000-0005-0000-0000-00009C090000}"/>
    <cellStyle name="20% - Accent1 5 2 6 3" xfId="13822" xr:uid="{00000000-0005-0000-0000-00009D090000}"/>
    <cellStyle name="20% - Accent1 5 2 6 3 2" xfId="36424" xr:uid="{00000000-0005-0000-0000-00009E090000}"/>
    <cellStyle name="20% - Accent1 5 2 6 4" xfId="25123" xr:uid="{00000000-0005-0000-0000-00009F090000}"/>
    <cellStyle name="20% - Accent1 5 2 7" xfId="4122" xr:uid="{00000000-0005-0000-0000-0000A0090000}"/>
    <cellStyle name="20% - Accent1 5 2 7 2" xfId="9772" xr:uid="{00000000-0005-0000-0000-0000A1090000}"/>
    <cellStyle name="20% - Accent1 5 2 7 2 2" xfId="21073" xr:uid="{00000000-0005-0000-0000-0000A2090000}"/>
    <cellStyle name="20% - Accent1 5 2 7 2 2 2" xfId="43675" xr:uid="{00000000-0005-0000-0000-0000A3090000}"/>
    <cellStyle name="20% - Accent1 5 2 7 2 3" xfId="32374" xr:uid="{00000000-0005-0000-0000-0000A4090000}"/>
    <cellStyle name="20% - Accent1 5 2 7 3" xfId="15423" xr:uid="{00000000-0005-0000-0000-0000A5090000}"/>
    <cellStyle name="20% - Accent1 5 2 7 3 2" xfId="38025" xr:uid="{00000000-0005-0000-0000-0000A6090000}"/>
    <cellStyle name="20% - Accent1 5 2 7 4" xfId="26724" xr:uid="{00000000-0005-0000-0000-0000A7090000}"/>
    <cellStyle name="20% - Accent1 5 2 8" xfId="6573" xr:uid="{00000000-0005-0000-0000-0000A8090000}"/>
    <cellStyle name="20% - Accent1 5 2 8 2" xfId="17874" xr:uid="{00000000-0005-0000-0000-0000A9090000}"/>
    <cellStyle name="20% - Accent1 5 2 8 2 2" xfId="40476" xr:uid="{00000000-0005-0000-0000-0000AA090000}"/>
    <cellStyle name="20% - Accent1 5 2 8 3" xfId="29175" xr:uid="{00000000-0005-0000-0000-0000AB090000}"/>
    <cellStyle name="20% - Accent1 5 2 9" xfId="12224" xr:uid="{00000000-0005-0000-0000-0000AC090000}"/>
    <cellStyle name="20% - Accent1 5 2 9 2" xfId="34826" xr:uid="{00000000-0005-0000-0000-0000AD090000}"/>
    <cellStyle name="20% - Accent1 5 3" xfId="578" xr:uid="{00000000-0005-0000-0000-0000AE090000}"/>
    <cellStyle name="20% - Accent1 5 3 2" xfId="1291" xr:uid="{00000000-0005-0000-0000-0000AF090000}"/>
    <cellStyle name="20% - Accent1 5 3 2 2" xfId="1573" xr:uid="{00000000-0005-0000-0000-0000B0090000}"/>
    <cellStyle name="20% - Accent1 5 3 2 2 2" xfId="3360" xr:uid="{00000000-0005-0000-0000-0000B1090000}"/>
    <cellStyle name="20% - Accent1 5 3 2 2 2 2" xfId="6332" xr:uid="{00000000-0005-0000-0000-0000B2090000}"/>
    <cellStyle name="20% - Accent1 5 3 2 2 2 2 2" xfId="11982" xr:uid="{00000000-0005-0000-0000-0000B3090000}"/>
    <cellStyle name="20% - Accent1 5 3 2 2 2 2 2 2" xfId="23283" xr:uid="{00000000-0005-0000-0000-0000B4090000}"/>
    <cellStyle name="20% - Accent1 5 3 2 2 2 2 2 2 2" xfId="45885" xr:uid="{00000000-0005-0000-0000-0000B5090000}"/>
    <cellStyle name="20% - Accent1 5 3 2 2 2 2 2 3" xfId="34584" xr:uid="{00000000-0005-0000-0000-0000B6090000}"/>
    <cellStyle name="20% - Accent1 5 3 2 2 2 2 3" xfId="17633" xr:uid="{00000000-0005-0000-0000-0000B7090000}"/>
    <cellStyle name="20% - Accent1 5 3 2 2 2 2 3 2" xfId="40235" xr:uid="{00000000-0005-0000-0000-0000B8090000}"/>
    <cellStyle name="20% - Accent1 5 3 2 2 2 2 4" xfId="28934" xr:uid="{00000000-0005-0000-0000-0000B9090000}"/>
    <cellStyle name="20% - Accent1 5 3 2 2 2 3" xfId="9150" xr:uid="{00000000-0005-0000-0000-0000BA090000}"/>
    <cellStyle name="20% - Accent1 5 3 2 2 2 3 2" xfId="20451" xr:uid="{00000000-0005-0000-0000-0000BB090000}"/>
    <cellStyle name="20% - Accent1 5 3 2 2 2 3 2 2" xfId="43053" xr:uid="{00000000-0005-0000-0000-0000BC090000}"/>
    <cellStyle name="20% - Accent1 5 3 2 2 2 3 3" xfId="31752" xr:uid="{00000000-0005-0000-0000-0000BD090000}"/>
    <cellStyle name="20% - Accent1 5 3 2 2 2 4" xfId="14801" xr:uid="{00000000-0005-0000-0000-0000BE090000}"/>
    <cellStyle name="20% - Accent1 5 3 2 2 2 4 2" xfId="37403" xr:uid="{00000000-0005-0000-0000-0000BF090000}"/>
    <cellStyle name="20% - Accent1 5 3 2 2 2 5" xfId="26102" xr:uid="{00000000-0005-0000-0000-0000C0090000}"/>
    <cellStyle name="20% - Accent1 5 3 2 2 3" xfId="5098" xr:uid="{00000000-0005-0000-0000-0000C1090000}"/>
    <cellStyle name="20% - Accent1 5 3 2 2 3 2" xfId="10748" xr:uid="{00000000-0005-0000-0000-0000C2090000}"/>
    <cellStyle name="20% - Accent1 5 3 2 2 3 2 2" xfId="22049" xr:uid="{00000000-0005-0000-0000-0000C3090000}"/>
    <cellStyle name="20% - Accent1 5 3 2 2 3 2 2 2" xfId="44651" xr:uid="{00000000-0005-0000-0000-0000C4090000}"/>
    <cellStyle name="20% - Accent1 5 3 2 2 3 2 3" xfId="33350" xr:uid="{00000000-0005-0000-0000-0000C5090000}"/>
    <cellStyle name="20% - Accent1 5 3 2 2 3 3" xfId="16399" xr:uid="{00000000-0005-0000-0000-0000C6090000}"/>
    <cellStyle name="20% - Accent1 5 3 2 2 3 3 2" xfId="39001" xr:uid="{00000000-0005-0000-0000-0000C7090000}"/>
    <cellStyle name="20% - Accent1 5 3 2 2 3 4" xfId="27700" xr:uid="{00000000-0005-0000-0000-0000C8090000}"/>
    <cellStyle name="20% - Accent1 5 3 2 2 4" xfId="7429" xr:uid="{00000000-0005-0000-0000-0000C9090000}"/>
    <cellStyle name="20% - Accent1 5 3 2 2 4 2" xfId="18730" xr:uid="{00000000-0005-0000-0000-0000CA090000}"/>
    <cellStyle name="20% - Accent1 5 3 2 2 4 2 2" xfId="41332" xr:uid="{00000000-0005-0000-0000-0000CB090000}"/>
    <cellStyle name="20% - Accent1 5 3 2 2 4 3" xfId="30031" xr:uid="{00000000-0005-0000-0000-0000CC090000}"/>
    <cellStyle name="20% - Accent1 5 3 2 2 5" xfId="13080" xr:uid="{00000000-0005-0000-0000-0000CD090000}"/>
    <cellStyle name="20% - Accent1 5 3 2 2 5 2" xfId="35682" xr:uid="{00000000-0005-0000-0000-0000CE090000}"/>
    <cellStyle name="20% - Accent1 5 3 2 2 6" xfId="24381" xr:uid="{00000000-0005-0000-0000-0000CF090000}"/>
    <cellStyle name="20% - Accent1 5 3 2 3" xfId="2689" xr:uid="{00000000-0005-0000-0000-0000D0090000}"/>
    <cellStyle name="20% - Accent1 5 3 2 3 2" xfId="5708" xr:uid="{00000000-0005-0000-0000-0000D1090000}"/>
    <cellStyle name="20% - Accent1 5 3 2 3 2 2" xfId="11358" xr:uid="{00000000-0005-0000-0000-0000D2090000}"/>
    <cellStyle name="20% - Accent1 5 3 2 3 2 2 2" xfId="22659" xr:uid="{00000000-0005-0000-0000-0000D3090000}"/>
    <cellStyle name="20% - Accent1 5 3 2 3 2 2 2 2" xfId="45261" xr:uid="{00000000-0005-0000-0000-0000D4090000}"/>
    <cellStyle name="20% - Accent1 5 3 2 3 2 2 3" xfId="33960" xr:uid="{00000000-0005-0000-0000-0000D5090000}"/>
    <cellStyle name="20% - Accent1 5 3 2 3 2 3" xfId="17009" xr:uid="{00000000-0005-0000-0000-0000D6090000}"/>
    <cellStyle name="20% - Accent1 5 3 2 3 2 3 2" xfId="39611" xr:uid="{00000000-0005-0000-0000-0000D7090000}"/>
    <cellStyle name="20% - Accent1 5 3 2 3 2 4" xfId="28310" xr:uid="{00000000-0005-0000-0000-0000D8090000}"/>
    <cellStyle name="20% - Accent1 5 3 2 3 3" xfId="8525" xr:uid="{00000000-0005-0000-0000-0000D9090000}"/>
    <cellStyle name="20% - Accent1 5 3 2 3 3 2" xfId="19826" xr:uid="{00000000-0005-0000-0000-0000DA090000}"/>
    <cellStyle name="20% - Accent1 5 3 2 3 3 2 2" xfId="42428" xr:uid="{00000000-0005-0000-0000-0000DB090000}"/>
    <cellStyle name="20% - Accent1 5 3 2 3 3 3" xfId="31127" xr:uid="{00000000-0005-0000-0000-0000DC090000}"/>
    <cellStyle name="20% - Accent1 5 3 2 3 4" xfId="14176" xr:uid="{00000000-0005-0000-0000-0000DD090000}"/>
    <cellStyle name="20% - Accent1 5 3 2 3 4 2" xfId="36778" xr:uid="{00000000-0005-0000-0000-0000DE090000}"/>
    <cellStyle name="20% - Accent1 5 3 2 3 5" xfId="25477" xr:uid="{00000000-0005-0000-0000-0000DF090000}"/>
    <cellStyle name="20% - Accent1 5 3 2 4" xfId="4474" xr:uid="{00000000-0005-0000-0000-0000E0090000}"/>
    <cellStyle name="20% - Accent1 5 3 2 4 2" xfId="10124" xr:uid="{00000000-0005-0000-0000-0000E1090000}"/>
    <cellStyle name="20% - Accent1 5 3 2 4 2 2" xfId="21425" xr:uid="{00000000-0005-0000-0000-0000E2090000}"/>
    <cellStyle name="20% - Accent1 5 3 2 4 2 2 2" xfId="44027" xr:uid="{00000000-0005-0000-0000-0000E3090000}"/>
    <cellStyle name="20% - Accent1 5 3 2 4 2 3" xfId="32726" xr:uid="{00000000-0005-0000-0000-0000E4090000}"/>
    <cellStyle name="20% - Accent1 5 3 2 4 3" xfId="15775" xr:uid="{00000000-0005-0000-0000-0000E5090000}"/>
    <cellStyle name="20% - Accent1 5 3 2 4 3 2" xfId="38377" xr:uid="{00000000-0005-0000-0000-0000E6090000}"/>
    <cellStyle name="20% - Accent1 5 3 2 4 4" xfId="27076" xr:uid="{00000000-0005-0000-0000-0000E7090000}"/>
    <cellStyle name="20% - Accent1 5 3 2 5" xfId="7270" xr:uid="{00000000-0005-0000-0000-0000E8090000}"/>
    <cellStyle name="20% - Accent1 5 3 2 5 2" xfId="18571" xr:uid="{00000000-0005-0000-0000-0000E9090000}"/>
    <cellStyle name="20% - Accent1 5 3 2 5 2 2" xfId="41173" xr:uid="{00000000-0005-0000-0000-0000EA090000}"/>
    <cellStyle name="20% - Accent1 5 3 2 5 3" xfId="29872" xr:uid="{00000000-0005-0000-0000-0000EB090000}"/>
    <cellStyle name="20% - Accent1 5 3 2 6" xfId="12921" xr:uid="{00000000-0005-0000-0000-0000EC090000}"/>
    <cellStyle name="20% - Accent1 5 3 2 6 2" xfId="35523" xr:uid="{00000000-0005-0000-0000-0000ED090000}"/>
    <cellStyle name="20% - Accent1 5 3 2 7" xfId="24222" xr:uid="{00000000-0005-0000-0000-0000EE090000}"/>
    <cellStyle name="20% - Accent1 5 3 3" xfId="989" xr:uid="{00000000-0005-0000-0000-0000EF090000}"/>
    <cellStyle name="20% - Accent1 5 3 3 2" xfId="3052" xr:uid="{00000000-0005-0000-0000-0000F0090000}"/>
    <cellStyle name="20% - Accent1 5 3 3 2 2" xfId="6024" xr:uid="{00000000-0005-0000-0000-0000F1090000}"/>
    <cellStyle name="20% - Accent1 5 3 3 2 2 2" xfId="11674" xr:uid="{00000000-0005-0000-0000-0000F2090000}"/>
    <cellStyle name="20% - Accent1 5 3 3 2 2 2 2" xfId="22975" xr:uid="{00000000-0005-0000-0000-0000F3090000}"/>
    <cellStyle name="20% - Accent1 5 3 3 2 2 2 2 2" xfId="45577" xr:uid="{00000000-0005-0000-0000-0000F4090000}"/>
    <cellStyle name="20% - Accent1 5 3 3 2 2 2 3" xfId="34276" xr:uid="{00000000-0005-0000-0000-0000F5090000}"/>
    <cellStyle name="20% - Accent1 5 3 3 2 2 3" xfId="17325" xr:uid="{00000000-0005-0000-0000-0000F6090000}"/>
    <cellStyle name="20% - Accent1 5 3 3 2 2 3 2" xfId="39927" xr:uid="{00000000-0005-0000-0000-0000F7090000}"/>
    <cellStyle name="20% - Accent1 5 3 3 2 2 4" xfId="28626" xr:uid="{00000000-0005-0000-0000-0000F8090000}"/>
    <cellStyle name="20% - Accent1 5 3 3 2 3" xfId="8842" xr:uid="{00000000-0005-0000-0000-0000F9090000}"/>
    <cellStyle name="20% - Accent1 5 3 3 2 3 2" xfId="20143" xr:uid="{00000000-0005-0000-0000-0000FA090000}"/>
    <cellStyle name="20% - Accent1 5 3 3 2 3 2 2" xfId="42745" xr:uid="{00000000-0005-0000-0000-0000FB090000}"/>
    <cellStyle name="20% - Accent1 5 3 3 2 3 3" xfId="31444" xr:uid="{00000000-0005-0000-0000-0000FC090000}"/>
    <cellStyle name="20% - Accent1 5 3 3 2 4" xfId="14493" xr:uid="{00000000-0005-0000-0000-0000FD090000}"/>
    <cellStyle name="20% - Accent1 5 3 3 2 4 2" xfId="37095" xr:uid="{00000000-0005-0000-0000-0000FE090000}"/>
    <cellStyle name="20% - Accent1 5 3 3 2 5" xfId="25794" xr:uid="{00000000-0005-0000-0000-0000FF090000}"/>
    <cellStyle name="20% - Accent1 5 3 3 3" xfId="4790" xr:uid="{00000000-0005-0000-0000-0000000A0000}"/>
    <cellStyle name="20% - Accent1 5 3 3 3 2" xfId="10440" xr:uid="{00000000-0005-0000-0000-0000010A0000}"/>
    <cellStyle name="20% - Accent1 5 3 3 3 2 2" xfId="21741" xr:uid="{00000000-0005-0000-0000-0000020A0000}"/>
    <cellStyle name="20% - Accent1 5 3 3 3 2 2 2" xfId="44343" xr:uid="{00000000-0005-0000-0000-0000030A0000}"/>
    <cellStyle name="20% - Accent1 5 3 3 3 2 3" xfId="33042" xr:uid="{00000000-0005-0000-0000-0000040A0000}"/>
    <cellStyle name="20% - Accent1 5 3 3 3 3" xfId="16091" xr:uid="{00000000-0005-0000-0000-0000050A0000}"/>
    <cellStyle name="20% - Accent1 5 3 3 3 3 2" xfId="38693" xr:uid="{00000000-0005-0000-0000-0000060A0000}"/>
    <cellStyle name="20% - Accent1 5 3 3 3 4" xfId="27392" xr:uid="{00000000-0005-0000-0000-0000070A0000}"/>
    <cellStyle name="20% - Accent1 5 3 3 4" xfId="6977" xr:uid="{00000000-0005-0000-0000-0000080A0000}"/>
    <cellStyle name="20% - Accent1 5 3 3 4 2" xfId="18278" xr:uid="{00000000-0005-0000-0000-0000090A0000}"/>
    <cellStyle name="20% - Accent1 5 3 3 4 2 2" xfId="40880" xr:uid="{00000000-0005-0000-0000-00000A0A0000}"/>
    <cellStyle name="20% - Accent1 5 3 3 4 3" xfId="29579" xr:uid="{00000000-0005-0000-0000-00000B0A0000}"/>
    <cellStyle name="20% - Accent1 5 3 3 5" xfId="12628" xr:uid="{00000000-0005-0000-0000-00000C0A0000}"/>
    <cellStyle name="20% - Accent1 5 3 3 5 2" xfId="35230" xr:uid="{00000000-0005-0000-0000-00000D0A0000}"/>
    <cellStyle name="20% - Accent1 5 3 3 6" xfId="23929" xr:uid="{00000000-0005-0000-0000-00000E0A0000}"/>
    <cellStyle name="20% - Accent1 5 3 4" xfId="1572" xr:uid="{00000000-0005-0000-0000-00000F0A0000}"/>
    <cellStyle name="20% - Accent1 5 3 4 2" xfId="3487" xr:uid="{00000000-0005-0000-0000-0000100A0000}"/>
    <cellStyle name="20% - Accent1 5 3 4 2 2" xfId="9269" xr:uid="{00000000-0005-0000-0000-0000110A0000}"/>
    <cellStyle name="20% - Accent1 5 3 4 2 2 2" xfId="20570" xr:uid="{00000000-0005-0000-0000-0000120A0000}"/>
    <cellStyle name="20% - Accent1 5 3 4 2 2 2 2" xfId="43172" xr:uid="{00000000-0005-0000-0000-0000130A0000}"/>
    <cellStyle name="20% - Accent1 5 3 4 2 2 3" xfId="31871" xr:uid="{00000000-0005-0000-0000-0000140A0000}"/>
    <cellStyle name="20% - Accent1 5 3 4 2 3" xfId="14920" xr:uid="{00000000-0005-0000-0000-0000150A0000}"/>
    <cellStyle name="20% - Accent1 5 3 4 2 3 2" xfId="37522" xr:uid="{00000000-0005-0000-0000-0000160A0000}"/>
    <cellStyle name="20% - Accent1 5 3 4 2 4" xfId="26221" xr:uid="{00000000-0005-0000-0000-0000170A0000}"/>
    <cellStyle name="20% - Accent1 5 3 4 3" xfId="5400" xr:uid="{00000000-0005-0000-0000-0000180A0000}"/>
    <cellStyle name="20% - Accent1 5 3 4 3 2" xfId="11050" xr:uid="{00000000-0005-0000-0000-0000190A0000}"/>
    <cellStyle name="20% - Accent1 5 3 4 3 2 2" xfId="22351" xr:uid="{00000000-0005-0000-0000-00001A0A0000}"/>
    <cellStyle name="20% - Accent1 5 3 4 3 2 2 2" xfId="44953" xr:uid="{00000000-0005-0000-0000-00001B0A0000}"/>
    <cellStyle name="20% - Accent1 5 3 4 3 2 3" xfId="33652" xr:uid="{00000000-0005-0000-0000-00001C0A0000}"/>
    <cellStyle name="20% - Accent1 5 3 4 3 3" xfId="16701" xr:uid="{00000000-0005-0000-0000-00001D0A0000}"/>
    <cellStyle name="20% - Accent1 5 3 4 3 3 2" xfId="39303" xr:uid="{00000000-0005-0000-0000-00001E0A0000}"/>
    <cellStyle name="20% - Accent1 5 3 4 3 4" xfId="28002" xr:uid="{00000000-0005-0000-0000-00001F0A0000}"/>
    <cellStyle name="20% - Accent1 5 3 4 4" xfId="7428" xr:uid="{00000000-0005-0000-0000-0000200A0000}"/>
    <cellStyle name="20% - Accent1 5 3 4 4 2" xfId="18729" xr:uid="{00000000-0005-0000-0000-0000210A0000}"/>
    <cellStyle name="20% - Accent1 5 3 4 4 2 2" xfId="41331" xr:uid="{00000000-0005-0000-0000-0000220A0000}"/>
    <cellStyle name="20% - Accent1 5 3 4 4 3" xfId="30030" xr:uid="{00000000-0005-0000-0000-0000230A0000}"/>
    <cellStyle name="20% - Accent1 5 3 4 5" xfId="13079" xr:uid="{00000000-0005-0000-0000-0000240A0000}"/>
    <cellStyle name="20% - Accent1 5 3 4 5 2" xfId="35681" xr:uid="{00000000-0005-0000-0000-0000250A0000}"/>
    <cellStyle name="20% - Accent1 5 3 4 6" xfId="24380" xr:uid="{00000000-0005-0000-0000-0000260A0000}"/>
    <cellStyle name="20% - Accent1 5 3 5" xfId="2381" xr:uid="{00000000-0005-0000-0000-0000270A0000}"/>
    <cellStyle name="20% - Accent1 5 3 5 2" xfId="8217" xr:uid="{00000000-0005-0000-0000-0000280A0000}"/>
    <cellStyle name="20% - Accent1 5 3 5 2 2" xfId="19518" xr:uid="{00000000-0005-0000-0000-0000290A0000}"/>
    <cellStyle name="20% - Accent1 5 3 5 2 2 2" xfId="42120" xr:uid="{00000000-0005-0000-0000-00002A0A0000}"/>
    <cellStyle name="20% - Accent1 5 3 5 2 3" xfId="30819" xr:uid="{00000000-0005-0000-0000-00002B0A0000}"/>
    <cellStyle name="20% - Accent1 5 3 5 3" xfId="13868" xr:uid="{00000000-0005-0000-0000-00002C0A0000}"/>
    <cellStyle name="20% - Accent1 5 3 5 3 2" xfId="36470" xr:uid="{00000000-0005-0000-0000-00002D0A0000}"/>
    <cellStyle name="20% - Accent1 5 3 5 4" xfId="25169" xr:uid="{00000000-0005-0000-0000-00002E0A0000}"/>
    <cellStyle name="20% - Accent1 5 3 6" xfId="4166" xr:uid="{00000000-0005-0000-0000-00002F0A0000}"/>
    <cellStyle name="20% - Accent1 5 3 6 2" xfId="9816" xr:uid="{00000000-0005-0000-0000-0000300A0000}"/>
    <cellStyle name="20% - Accent1 5 3 6 2 2" xfId="21117" xr:uid="{00000000-0005-0000-0000-0000310A0000}"/>
    <cellStyle name="20% - Accent1 5 3 6 2 2 2" xfId="43719" xr:uid="{00000000-0005-0000-0000-0000320A0000}"/>
    <cellStyle name="20% - Accent1 5 3 6 2 3" xfId="32418" xr:uid="{00000000-0005-0000-0000-0000330A0000}"/>
    <cellStyle name="20% - Accent1 5 3 6 3" xfId="15467" xr:uid="{00000000-0005-0000-0000-0000340A0000}"/>
    <cellStyle name="20% - Accent1 5 3 6 3 2" xfId="38069" xr:uid="{00000000-0005-0000-0000-0000350A0000}"/>
    <cellStyle name="20% - Accent1 5 3 6 4" xfId="26768" xr:uid="{00000000-0005-0000-0000-0000360A0000}"/>
    <cellStyle name="20% - Accent1 5 3 7" xfId="6644" xr:uid="{00000000-0005-0000-0000-0000370A0000}"/>
    <cellStyle name="20% - Accent1 5 3 7 2" xfId="17945" xr:uid="{00000000-0005-0000-0000-0000380A0000}"/>
    <cellStyle name="20% - Accent1 5 3 7 2 2" xfId="40547" xr:uid="{00000000-0005-0000-0000-0000390A0000}"/>
    <cellStyle name="20% - Accent1 5 3 7 3" xfId="29246" xr:uid="{00000000-0005-0000-0000-00003A0A0000}"/>
    <cellStyle name="20% - Accent1 5 3 8" xfId="12295" xr:uid="{00000000-0005-0000-0000-00003B0A0000}"/>
    <cellStyle name="20% - Accent1 5 3 8 2" xfId="34897" xr:uid="{00000000-0005-0000-0000-00003C0A0000}"/>
    <cellStyle name="20% - Accent1 5 3 9" xfId="23596" xr:uid="{00000000-0005-0000-0000-00003D0A0000}"/>
    <cellStyle name="20% - Accent1 5 4" xfId="1151" xr:uid="{00000000-0005-0000-0000-00003E0A0000}"/>
    <cellStyle name="20% - Accent1 5 4 2" xfId="1574" xr:uid="{00000000-0005-0000-0000-00003F0A0000}"/>
    <cellStyle name="20% - Accent1 5 4 2 2" xfId="3219" xr:uid="{00000000-0005-0000-0000-0000400A0000}"/>
    <cellStyle name="20% - Accent1 5 4 2 2 2" xfId="6191" xr:uid="{00000000-0005-0000-0000-0000410A0000}"/>
    <cellStyle name="20% - Accent1 5 4 2 2 2 2" xfId="11841" xr:uid="{00000000-0005-0000-0000-0000420A0000}"/>
    <cellStyle name="20% - Accent1 5 4 2 2 2 2 2" xfId="23142" xr:uid="{00000000-0005-0000-0000-0000430A0000}"/>
    <cellStyle name="20% - Accent1 5 4 2 2 2 2 2 2" xfId="45744" xr:uid="{00000000-0005-0000-0000-0000440A0000}"/>
    <cellStyle name="20% - Accent1 5 4 2 2 2 2 3" xfId="34443" xr:uid="{00000000-0005-0000-0000-0000450A0000}"/>
    <cellStyle name="20% - Accent1 5 4 2 2 2 3" xfId="17492" xr:uid="{00000000-0005-0000-0000-0000460A0000}"/>
    <cellStyle name="20% - Accent1 5 4 2 2 2 3 2" xfId="40094" xr:uid="{00000000-0005-0000-0000-0000470A0000}"/>
    <cellStyle name="20% - Accent1 5 4 2 2 2 4" xfId="28793" xr:uid="{00000000-0005-0000-0000-0000480A0000}"/>
    <cellStyle name="20% - Accent1 5 4 2 2 3" xfId="9009" xr:uid="{00000000-0005-0000-0000-0000490A0000}"/>
    <cellStyle name="20% - Accent1 5 4 2 2 3 2" xfId="20310" xr:uid="{00000000-0005-0000-0000-00004A0A0000}"/>
    <cellStyle name="20% - Accent1 5 4 2 2 3 2 2" xfId="42912" xr:uid="{00000000-0005-0000-0000-00004B0A0000}"/>
    <cellStyle name="20% - Accent1 5 4 2 2 3 3" xfId="31611" xr:uid="{00000000-0005-0000-0000-00004C0A0000}"/>
    <cellStyle name="20% - Accent1 5 4 2 2 4" xfId="14660" xr:uid="{00000000-0005-0000-0000-00004D0A0000}"/>
    <cellStyle name="20% - Accent1 5 4 2 2 4 2" xfId="37262" xr:uid="{00000000-0005-0000-0000-00004E0A0000}"/>
    <cellStyle name="20% - Accent1 5 4 2 2 5" xfId="25961" xr:uid="{00000000-0005-0000-0000-00004F0A0000}"/>
    <cellStyle name="20% - Accent1 5 4 2 3" xfId="4957" xr:uid="{00000000-0005-0000-0000-0000500A0000}"/>
    <cellStyle name="20% - Accent1 5 4 2 3 2" xfId="10607" xr:uid="{00000000-0005-0000-0000-0000510A0000}"/>
    <cellStyle name="20% - Accent1 5 4 2 3 2 2" xfId="21908" xr:uid="{00000000-0005-0000-0000-0000520A0000}"/>
    <cellStyle name="20% - Accent1 5 4 2 3 2 2 2" xfId="44510" xr:uid="{00000000-0005-0000-0000-0000530A0000}"/>
    <cellStyle name="20% - Accent1 5 4 2 3 2 3" xfId="33209" xr:uid="{00000000-0005-0000-0000-0000540A0000}"/>
    <cellStyle name="20% - Accent1 5 4 2 3 3" xfId="16258" xr:uid="{00000000-0005-0000-0000-0000550A0000}"/>
    <cellStyle name="20% - Accent1 5 4 2 3 3 2" xfId="38860" xr:uid="{00000000-0005-0000-0000-0000560A0000}"/>
    <cellStyle name="20% - Accent1 5 4 2 3 4" xfId="27559" xr:uid="{00000000-0005-0000-0000-0000570A0000}"/>
    <cellStyle name="20% - Accent1 5 4 2 4" xfId="7430" xr:uid="{00000000-0005-0000-0000-0000580A0000}"/>
    <cellStyle name="20% - Accent1 5 4 2 4 2" xfId="18731" xr:uid="{00000000-0005-0000-0000-0000590A0000}"/>
    <cellStyle name="20% - Accent1 5 4 2 4 2 2" xfId="41333" xr:uid="{00000000-0005-0000-0000-00005A0A0000}"/>
    <cellStyle name="20% - Accent1 5 4 2 4 3" xfId="30032" xr:uid="{00000000-0005-0000-0000-00005B0A0000}"/>
    <cellStyle name="20% - Accent1 5 4 2 5" xfId="13081" xr:uid="{00000000-0005-0000-0000-00005C0A0000}"/>
    <cellStyle name="20% - Accent1 5 4 2 5 2" xfId="35683" xr:uid="{00000000-0005-0000-0000-00005D0A0000}"/>
    <cellStyle name="20% - Accent1 5 4 2 6" xfId="24382" xr:uid="{00000000-0005-0000-0000-00005E0A0000}"/>
    <cellStyle name="20% - Accent1 5 4 3" xfId="2548" xr:uid="{00000000-0005-0000-0000-00005F0A0000}"/>
    <cellStyle name="20% - Accent1 5 4 3 2" xfId="5567" xr:uid="{00000000-0005-0000-0000-0000600A0000}"/>
    <cellStyle name="20% - Accent1 5 4 3 2 2" xfId="11217" xr:uid="{00000000-0005-0000-0000-0000610A0000}"/>
    <cellStyle name="20% - Accent1 5 4 3 2 2 2" xfId="22518" xr:uid="{00000000-0005-0000-0000-0000620A0000}"/>
    <cellStyle name="20% - Accent1 5 4 3 2 2 2 2" xfId="45120" xr:uid="{00000000-0005-0000-0000-0000630A0000}"/>
    <cellStyle name="20% - Accent1 5 4 3 2 2 3" xfId="33819" xr:uid="{00000000-0005-0000-0000-0000640A0000}"/>
    <cellStyle name="20% - Accent1 5 4 3 2 3" xfId="16868" xr:uid="{00000000-0005-0000-0000-0000650A0000}"/>
    <cellStyle name="20% - Accent1 5 4 3 2 3 2" xfId="39470" xr:uid="{00000000-0005-0000-0000-0000660A0000}"/>
    <cellStyle name="20% - Accent1 5 4 3 2 4" xfId="28169" xr:uid="{00000000-0005-0000-0000-0000670A0000}"/>
    <cellStyle name="20% - Accent1 5 4 3 3" xfId="8384" xr:uid="{00000000-0005-0000-0000-0000680A0000}"/>
    <cellStyle name="20% - Accent1 5 4 3 3 2" xfId="19685" xr:uid="{00000000-0005-0000-0000-0000690A0000}"/>
    <cellStyle name="20% - Accent1 5 4 3 3 2 2" xfId="42287" xr:uid="{00000000-0005-0000-0000-00006A0A0000}"/>
    <cellStyle name="20% - Accent1 5 4 3 3 3" xfId="30986" xr:uid="{00000000-0005-0000-0000-00006B0A0000}"/>
    <cellStyle name="20% - Accent1 5 4 3 4" xfId="14035" xr:uid="{00000000-0005-0000-0000-00006C0A0000}"/>
    <cellStyle name="20% - Accent1 5 4 3 4 2" xfId="36637" xr:uid="{00000000-0005-0000-0000-00006D0A0000}"/>
    <cellStyle name="20% - Accent1 5 4 3 5" xfId="25336" xr:uid="{00000000-0005-0000-0000-00006E0A0000}"/>
    <cellStyle name="20% - Accent1 5 4 4" xfId="4333" xr:uid="{00000000-0005-0000-0000-00006F0A0000}"/>
    <cellStyle name="20% - Accent1 5 4 4 2" xfId="9983" xr:uid="{00000000-0005-0000-0000-0000700A0000}"/>
    <cellStyle name="20% - Accent1 5 4 4 2 2" xfId="21284" xr:uid="{00000000-0005-0000-0000-0000710A0000}"/>
    <cellStyle name="20% - Accent1 5 4 4 2 2 2" xfId="43886" xr:uid="{00000000-0005-0000-0000-0000720A0000}"/>
    <cellStyle name="20% - Accent1 5 4 4 2 3" xfId="32585" xr:uid="{00000000-0005-0000-0000-0000730A0000}"/>
    <cellStyle name="20% - Accent1 5 4 4 3" xfId="15634" xr:uid="{00000000-0005-0000-0000-0000740A0000}"/>
    <cellStyle name="20% - Accent1 5 4 4 3 2" xfId="38236" xr:uid="{00000000-0005-0000-0000-0000750A0000}"/>
    <cellStyle name="20% - Accent1 5 4 4 4" xfId="26935" xr:uid="{00000000-0005-0000-0000-0000760A0000}"/>
    <cellStyle name="20% - Accent1 5 4 5" xfId="7130" xr:uid="{00000000-0005-0000-0000-0000770A0000}"/>
    <cellStyle name="20% - Accent1 5 4 5 2" xfId="18431" xr:uid="{00000000-0005-0000-0000-0000780A0000}"/>
    <cellStyle name="20% - Accent1 5 4 5 2 2" xfId="41033" xr:uid="{00000000-0005-0000-0000-0000790A0000}"/>
    <cellStyle name="20% - Accent1 5 4 5 3" xfId="29732" xr:uid="{00000000-0005-0000-0000-00007A0A0000}"/>
    <cellStyle name="20% - Accent1 5 4 6" xfId="12781" xr:uid="{00000000-0005-0000-0000-00007B0A0000}"/>
    <cellStyle name="20% - Accent1 5 4 6 2" xfId="35383" xr:uid="{00000000-0005-0000-0000-00007C0A0000}"/>
    <cellStyle name="20% - Accent1 5 4 7" xfId="24082" xr:uid="{00000000-0005-0000-0000-00007D0A0000}"/>
    <cellStyle name="20% - Accent1 5 5" xfId="830" xr:uid="{00000000-0005-0000-0000-00007E0A0000}"/>
    <cellStyle name="20% - Accent1 5 5 2" xfId="2912" xr:uid="{00000000-0005-0000-0000-00007F0A0000}"/>
    <cellStyle name="20% - Accent1 5 5 2 2" xfId="5884" xr:uid="{00000000-0005-0000-0000-0000800A0000}"/>
    <cellStyle name="20% - Accent1 5 5 2 2 2" xfId="11534" xr:uid="{00000000-0005-0000-0000-0000810A0000}"/>
    <cellStyle name="20% - Accent1 5 5 2 2 2 2" xfId="22835" xr:uid="{00000000-0005-0000-0000-0000820A0000}"/>
    <cellStyle name="20% - Accent1 5 5 2 2 2 2 2" xfId="45437" xr:uid="{00000000-0005-0000-0000-0000830A0000}"/>
    <cellStyle name="20% - Accent1 5 5 2 2 2 3" xfId="34136" xr:uid="{00000000-0005-0000-0000-0000840A0000}"/>
    <cellStyle name="20% - Accent1 5 5 2 2 3" xfId="17185" xr:uid="{00000000-0005-0000-0000-0000850A0000}"/>
    <cellStyle name="20% - Accent1 5 5 2 2 3 2" xfId="39787" xr:uid="{00000000-0005-0000-0000-0000860A0000}"/>
    <cellStyle name="20% - Accent1 5 5 2 2 4" xfId="28486" xr:uid="{00000000-0005-0000-0000-0000870A0000}"/>
    <cellStyle name="20% - Accent1 5 5 2 3" xfId="8702" xr:uid="{00000000-0005-0000-0000-0000880A0000}"/>
    <cellStyle name="20% - Accent1 5 5 2 3 2" xfId="20003" xr:uid="{00000000-0005-0000-0000-0000890A0000}"/>
    <cellStyle name="20% - Accent1 5 5 2 3 2 2" xfId="42605" xr:uid="{00000000-0005-0000-0000-00008A0A0000}"/>
    <cellStyle name="20% - Accent1 5 5 2 3 3" xfId="31304" xr:uid="{00000000-0005-0000-0000-00008B0A0000}"/>
    <cellStyle name="20% - Accent1 5 5 2 4" xfId="14353" xr:uid="{00000000-0005-0000-0000-00008C0A0000}"/>
    <cellStyle name="20% - Accent1 5 5 2 4 2" xfId="36955" xr:uid="{00000000-0005-0000-0000-00008D0A0000}"/>
    <cellStyle name="20% - Accent1 5 5 2 5" xfId="25654" xr:uid="{00000000-0005-0000-0000-00008E0A0000}"/>
    <cellStyle name="20% - Accent1 5 5 3" xfId="4650" xr:uid="{00000000-0005-0000-0000-00008F0A0000}"/>
    <cellStyle name="20% - Accent1 5 5 3 2" xfId="10300" xr:uid="{00000000-0005-0000-0000-0000900A0000}"/>
    <cellStyle name="20% - Accent1 5 5 3 2 2" xfId="21601" xr:uid="{00000000-0005-0000-0000-0000910A0000}"/>
    <cellStyle name="20% - Accent1 5 5 3 2 2 2" xfId="44203" xr:uid="{00000000-0005-0000-0000-0000920A0000}"/>
    <cellStyle name="20% - Accent1 5 5 3 2 3" xfId="32902" xr:uid="{00000000-0005-0000-0000-0000930A0000}"/>
    <cellStyle name="20% - Accent1 5 5 3 3" xfId="15951" xr:uid="{00000000-0005-0000-0000-0000940A0000}"/>
    <cellStyle name="20% - Accent1 5 5 3 3 2" xfId="38553" xr:uid="{00000000-0005-0000-0000-0000950A0000}"/>
    <cellStyle name="20% - Accent1 5 5 3 4" xfId="27252" xr:uid="{00000000-0005-0000-0000-0000960A0000}"/>
    <cellStyle name="20% - Accent1 5 5 4" xfId="6835" xr:uid="{00000000-0005-0000-0000-0000970A0000}"/>
    <cellStyle name="20% - Accent1 5 5 4 2" xfId="18136" xr:uid="{00000000-0005-0000-0000-0000980A0000}"/>
    <cellStyle name="20% - Accent1 5 5 4 2 2" xfId="40738" xr:uid="{00000000-0005-0000-0000-0000990A0000}"/>
    <cellStyle name="20% - Accent1 5 5 4 3" xfId="29437" xr:uid="{00000000-0005-0000-0000-00009A0A0000}"/>
    <cellStyle name="20% - Accent1 5 5 5" xfId="12486" xr:uid="{00000000-0005-0000-0000-00009B0A0000}"/>
    <cellStyle name="20% - Accent1 5 5 5 2" xfId="35088" xr:uid="{00000000-0005-0000-0000-00009C0A0000}"/>
    <cellStyle name="20% - Accent1 5 5 6" xfId="23787" xr:uid="{00000000-0005-0000-0000-00009D0A0000}"/>
    <cellStyle name="20% - Accent1 5 6" xfId="1567" xr:uid="{00000000-0005-0000-0000-00009E0A0000}"/>
    <cellStyle name="20% - Accent1 5 6 2" xfId="3582" xr:uid="{00000000-0005-0000-0000-00009F0A0000}"/>
    <cellStyle name="20% - Accent1 5 6 2 2" xfId="9305" xr:uid="{00000000-0005-0000-0000-0000A00A0000}"/>
    <cellStyle name="20% - Accent1 5 6 2 2 2" xfId="20606" xr:uid="{00000000-0005-0000-0000-0000A10A0000}"/>
    <cellStyle name="20% - Accent1 5 6 2 2 2 2" xfId="43208" xr:uid="{00000000-0005-0000-0000-0000A20A0000}"/>
    <cellStyle name="20% - Accent1 5 6 2 2 3" xfId="31907" xr:uid="{00000000-0005-0000-0000-0000A30A0000}"/>
    <cellStyle name="20% - Accent1 5 6 2 3" xfId="14956" xr:uid="{00000000-0005-0000-0000-0000A40A0000}"/>
    <cellStyle name="20% - Accent1 5 6 2 3 2" xfId="37558" xr:uid="{00000000-0005-0000-0000-0000A50A0000}"/>
    <cellStyle name="20% - Accent1 5 6 2 4" xfId="26257" xr:uid="{00000000-0005-0000-0000-0000A60A0000}"/>
    <cellStyle name="20% - Accent1 5 6 3" xfId="5260" xr:uid="{00000000-0005-0000-0000-0000A70A0000}"/>
    <cellStyle name="20% - Accent1 5 6 3 2" xfId="10910" xr:uid="{00000000-0005-0000-0000-0000A80A0000}"/>
    <cellStyle name="20% - Accent1 5 6 3 2 2" xfId="22211" xr:uid="{00000000-0005-0000-0000-0000A90A0000}"/>
    <cellStyle name="20% - Accent1 5 6 3 2 2 2" xfId="44813" xr:uid="{00000000-0005-0000-0000-0000AA0A0000}"/>
    <cellStyle name="20% - Accent1 5 6 3 2 3" xfId="33512" xr:uid="{00000000-0005-0000-0000-0000AB0A0000}"/>
    <cellStyle name="20% - Accent1 5 6 3 3" xfId="16561" xr:uid="{00000000-0005-0000-0000-0000AC0A0000}"/>
    <cellStyle name="20% - Accent1 5 6 3 3 2" xfId="39163" xr:uid="{00000000-0005-0000-0000-0000AD0A0000}"/>
    <cellStyle name="20% - Accent1 5 6 3 4" xfId="27862" xr:uid="{00000000-0005-0000-0000-0000AE0A0000}"/>
    <cellStyle name="20% - Accent1 5 6 4" xfId="7423" xr:uid="{00000000-0005-0000-0000-0000AF0A0000}"/>
    <cellStyle name="20% - Accent1 5 6 4 2" xfId="18724" xr:uid="{00000000-0005-0000-0000-0000B00A0000}"/>
    <cellStyle name="20% - Accent1 5 6 4 2 2" xfId="41326" xr:uid="{00000000-0005-0000-0000-0000B10A0000}"/>
    <cellStyle name="20% - Accent1 5 6 4 3" xfId="30025" xr:uid="{00000000-0005-0000-0000-0000B20A0000}"/>
    <cellStyle name="20% - Accent1 5 6 5" xfId="13074" xr:uid="{00000000-0005-0000-0000-0000B30A0000}"/>
    <cellStyle name="20% - Accent1 5 6 5 2" xfId="35676" xr:uid="{00000000-0005-0000-0000-0000B40A0000}"/>
    <cellStyle name="20% - Accent1 5 6 6" xfId="24375" xr:uid="{00000000-0005-0000-0000-0000B50A0000}"/>
    <cellStyle name="20% - Accent1 5 7" xfId="2233" xr:uid="{00000000-0005-0000-0000-0000B60A0000}"/>
    <cellStyle name="20% - Accent1 5 7 2" xfId="8074" xr:uid="{00000000-0005-0000-0000-0000B70A0000}"/>
    <cellStyle name="20% - Accent1 5 7 2 2" xfId="19375" xr:uid="{00000000-0005-0000-0000-0000B80A0000}"/>
    <cellStyle name="20% - Accent1 5 7 2 2 2" xfId="41977" xr:uid="{00000000-0005-0000-0000-0000B90A0000}"/>
    <cellStyle name="20% - Accent1 5 7 2 3" xfId="30676" xr:uid="{00000000-0005-0000-0000-0000BA0A0000}"/>
    <cellStyle name="20% - Accent1 5 7 3" xfId="13725" xr:uid="{00000000-0005-0000-0000-0000BB0A0000}"/>
    <cellStyle name="20% - Accent1 5 7 3 2" xfId="36327" xr:uid="{00000000-0005-0000-0000-0000BC0A0000}"/>
    <cellStyle name="20% - Accent1 5 7 4" xfId="25026" xr:uid="{00000000-0005-0000-0000-0000BD0A0000}"/>
    <cellStyle name="20% - Accent1 5 8" xfId="4026" xr:uid="{00000000-0005-0000-0000-0000BE0A0000}"/>
    <cellStyle name="20% - Accent1 5 8 2" xfId="9676" xr:uid="{00000000-0005-0000-0000-0000BF0A0000}"/>
    <cellStyle name="20% - Accent1 5 8 2 2" xfId="20977" xr:uid="{00000000-0005-0000-0000-0000C00A0000}"/>
    <cellStyle name="20% - Accent1 5 8 2 2 2" xfId="43579" xr:uid="{00000000-0005-0000-0000-0000C10A0000}"/>
    <cellStyle name="20% - Accent1 5 8 2 3" xfId="32278" xr:uid="{00000000-0005-0000-0000-0000C20A0000}"/>
    <cellStyle name="20% - Accent1 5 8 3" xfId="15327" xr:uid="{00000000-0005-0000-0000-0000C30A0000}"/>
    <cellStyle name="20% - Accent1 5 8 3 2" xfId="37929" xr:uid="{00000000-0005-0000-0000-0000C40A0000}"/>
    <cellStyle name="20% - Accent1 5 8 4" xfId="26628" xr:uid="{00000000-0005-0000-0000-0000C50A0000}"/>
    <cellStyle name="20% - Accent1 5 9" xfId="6477" xr:uid="{00000000-0005-0000-0000-0000C60A0000}"/>
    <cellStyle name="20% - Accent1 5 9 2" xfId="17778" xr:uid="{00000000-0005-0000-0000-0000C70A0000}"/>
    <cellStyle name="20% - Accent1 5 9 2 2" xfId="40380" xr:uid="{00000000-0005-0000-0000-0000C80A0000}"/>
    <cellStyle name="20% - Accent1 5 9 3" xfId="29079" xr:uid="{00000000-0005-0000-0000-0000C90A0000}"/>
    <cellStyle name="20% - Accent1 6" xfId="285" xr:uid="{00000000-0005-0000-0000-0000CA0A0000}"/>
    <cellStyle name="20% - Accent1 7" xfId="388" xr:uid="{00000000-0005-0000-0000-0000CB0A0000}"/>
    <cellStyle name="20% - Accent1 7 10" xfId="23483" xr:uid="{00000000-0005-0000-0000-0000CC0A0000}"/>
    <cellStyle name="20% - Accent1 7 2" xfId="633" xr:uid="{00000000-0005-0000-0000-0000CD0A0000}"/>
    <cellStyle name="20% - Accent1 7 2 2" xfId="1343" xr:uid="{00000000-0005-0000-0000-0000CE0A0000}"/>
    <cellStyle name="20% - Accent1 7 2 2 2" xfId="1577" xr:uid="{00000000-0005-0000-0000-0000CF0A0000}"/>
    <cellStyle name="20% - Accent1 7 2 2 2 2" xfId="3412" xr:uid="{00000000-0005-0000-0000-0000D00A0000}"/>
    <cellStyle name="20% - Accent1 7 2 2 2 2 2" xfId="6384" xr:uid="{00000000-0005-0000-0000-0000D10A0000}"/>
    <cellStyle name="20% - Accent1 7 2 2 2 2 2 2" xfId="12034" xr:uid="{00000000-0005-0000-0000-0000D20A0000}"/>
    <cellStyle name="20% - Accent1 7 2 2 2 2 2 2 2" xfId="23335" xr:uid="{00000000-0005-0000-0000-0000D30A0000}"/>
    <cellStyle name="20% - Accent1 7 2 2 2 2 2 2 2 2" xfId="45937" xr:uid="{00000000-0005-0000-0000-0000D40A0000}"/>
    <cellStyle name="20% - Accent1 7 2 2 2 2 2 2 3" xfId="34636" xr:uid="{00000000-0005-0000-0000-0000D50A0000}"/>
    <cellStyle name="20% - Accent1 7 2 2 2 2 2 3" xfId="17685" xr:uid="{00000000-0005-0000-0000-0000D60A0000}"/>
    <cellStyle name="20% - Accent1 7 2 2 2 2 2 3 2" xfId="40287" xr:uid="{00000000-0005-0000-0000-0000D70A0000}"/>
    <cellStyle name="20% - Accent1 7 2 2 2 2 2 4" xfId="28986" xr:uid="{00000000-0005-0000-0000-0000D80A0000}"/>
    <cellStyle name="20% - Accent1 7 2 2 2 2 3" xfId="9202" xr:uid="{00000000-0005-0000-0000-0000D90A0000}"/>
    <cellStyle name="20% - Accent1 7 2 2 2 2 3 2" xfId="20503" xr:uid="{00000000-0005-0000-0000-0000DA0A0000}"/>
    <cellStyle name="20% - Accent1 7 2 2 2 2 3 2 2" xfId="43105" xr:uid="{00000000-0005-0000-0000-0000DB0A0000}"/>
    <cellStyle name="20% - Accent1 7 2 2 2 2 3 3" xfId="31804" xr:uid="{00000000-0005-0000-0000-0000DC0A0000}"/>
    <cellStyle name="20% - Accent1 7 2 2 2 2 4" xfId="14853" xr:uid="{00000000-0005-0000-0000-0000DD0A0000}"/>
    <cellStyle name="20% - Accent1 7 2 2 2 2 4 2" xfId="37455" xr:uid="{00000000-0005-0000-0000-0000DE0A0000}"/>
    <cellStyle name="20% - Accent1 7 2 2 2 2 5" xfId="26154" xr:uid="{00000000-0005-0000-0000-0000DF0A0000}"/>
    <cellStyle name="20% - Accent1 7 2 2 2 3" xfId="5150" xr:uid="{00000000-0005-0000-0000-0000E00A0000}"/>
    <cellStyle name="20% - Accent1 7 2 2 2 3 2" xfId="10800" xr:uid="{00000000-0005-0000-0000-0000E10A0000}"/>
    <cellStyle name="20% - Accent1 7 2 2 2 3 2 2" xfId="22101" xr:uid="{00000000-0005-0000-0000-0000E20A0000}"/>
    <cellStyle name="20% - Accent1 7 2 2 2 3 2 2 2" xfId="44703" xr:uid="{00000000-0005-0000-0000-0000E30A0000}"/>
    <cellStyle name="20% - Accent1 7 2 2 2 3 2 3" xfId="33402" xr:uid="{00000000-0005-0000-0000-0000E40A0000}"/>
    <cellStyle name="20% - Accent1 7 2 2 2 3 3" xfId="16451" xr:uid="{00000000-0005-0000-0000-0000E50A0000}"/>
    <cellStyle name="20% - Accent1 7 2 2 2 3 3 2" xfId="39053" xr:uid="{00000000-0005-0000-0000-0000E60A0000}"/>
    <cellStyle name="20% - Accent1 7 2 2 2 3 4" xfId="27752" xr:uid="{00000000-0005-0000-0000-0000E70A0000}"/>
    <cellStyle name="20% - Accent1 7 2 2 2 4" xfId="7433" xr:uid="{00000000-0005-0000-0000-0000E80A0000}"/>
    <cellStyle name="20% - Accent1 7 2 2 2 4 2" xfId="18734" xr:uid="{00000000-0005-0000-0000-0000E90A0000}"/>
    <cellStyle name="20% - Accent1 7 2 2 2 4 2 2" xfId="41336" xr:uid="{00000000-0005-0000-0000-0000EA0A0000}"/>
    <cellStyle name="20% - Accent1 7 2 2 2 4 3" xfId="30035" xr:uid="{00000000-0005-0000-0000-0000EB0A0000}"/>
    <cellStyle name="20% - Accent1 7 2 2 2 5" xfId="13084" xr:uid="{00000000-0005-0000-0000-0000EC0A0000}"/>
    <cellStyle name="20% - Accent1 7 2 2 2 5 2" xfId="35686" xr:uid="{00000000-0005-0000-0000-0000ED0A0000}"/>
    <cellStyle name="20% - Accent1 7 2 2 2 6" xfId="24385" xr:uid="{00000000-0005-0000-0000-0000EE0A0000}"/>
    <cellStyle name="20% - Accent1 7 2 2 3" xfId="2741" xr:uid="{00000000-0005-0000-0000-0000EF0A0000}"/>
    <cellStyle name="20% - Accent1 7 2 2 3 2" xfId="5760" xr:uid="{00000000-0005-0000-0000-0000F00A0000}"/>
    <cellStyle name="20% - Accent1 7 2 2 3 2 2" xfId="11410" xr:uid="{00000000-0005-0000-0000-0000F10A0000}"/>
    <cellStyle name="20% - Accent1 7 2 2 3 2 2 2" xfId="22711" xr:uid="{00000000-0005-0000-0000-0000F20A0000}"/>
    <cellStyle name="20% - Accent1 7 2 2 3 2 2 2 2" xfId="45313" xr:uid="{00000000-0005-0000-0000-0000F30A0000}"/>
    <cellStyle name="20% - Accent1 7 2 2 3 2 2 3" xfId="34012" xr:uid="{00000000-0005-0000-0000-0000F40A0000}"/>
    <cellStyle name="20% - Accent1 7 2 2 3 2 3" xfId="17061" xr:uid="{00000000-0005-0000-0000-0000F50A0000}"/>
    <cellStyle name="20% - Accent1 7 2 2 3 2 3 2" xfId="39663" xr:uid="{00000000-0005-0000-0000-0000F60A0000}"/>
    <cellStyle name="20% - Accent1 7 2 2 3 2 4" xfId="28362" xr:uid="{00000000-0005-0000-0000-0000F70A0000}"/>
    <cellStyle name="20% - Accent1 7 2 2 3 3" xfId="8577" xr:uid="{00000000-0005-0000-0000-0000F80A0000}"/>
    <cellStyle name="20% - Accent1 7 2 2 3 3 2" xfId="19878" xr:uid="{00000000-0005-0000-0000-0000F90A0000}"/>
    <cellStyle name="20% - Accent1 7 2 2 3 3 2 2" xfId="42480" xr:uid="{00000000-0005-0000-0000-0000FA0A0000}"/>
    <cellStyle name="20% - Accent1 7 2 2 3 3 3" xfId="31179" xr:uid="{00000000-0005-0000-0000-0000FB0A0000}"/>
    <cellStyle name="20% - Accent1 7 2 2 3 4" xfId="14228" xr:uid="{00000000-0005-0000-0000-0000FC0A0000}"/>
    <cellStyle name="20% - Accent1 7 2 2 3 4 2" xfId="36830" xr:uid="{00000000-0005-0000-0000-0000FD0A0000}"/>
    <cellStyle name="20% - Accent1 7 2 2 3 5" xfId="25529" xr:uid="{00000000-0005-0000-0000-0000FE0A0000}"/>
    <cellStyle name="20% - Accent1 7 2 2 4" xfId="4526" xr:uid="{00000000-0005-0000-0000-0000FF0A0000}"/>
    <cellStyle name="20% - Accent1 7 2 2 4 2" xfId="10176" xr:uid="{00000000-0005-0000-0000-0000000B0000}"/>
    <cellStyle name="20% - Accent1 7 2 2 4 2 2" xfId="21477" xr:uid="{00000000-0005-0000-0000-0000010B0000}"/>
    <cellStyle name="20% - Accent1 7 2 2 4 2 2 2" xfId="44079" xr:uid="{00000000-0005-0000-0000-0000020B0000}"/>
    <cellStyle name="20% - Accent1 7 2 2 4 2 3" xfId="32778" xr:uid="{00000000-0005-0000-0000-0000030B0000}"/>
    <cellStyle name="20% - Accent1 7 2 2 4 3" xfId="15827" xr:uid="{00000000-0005-0000-0000-0000040B0000}"/>
    <cellStyle name="20% - Accent1 7 2 2 4 3 2" xfId="38429" xr:uid="{00000000-0005-0000-0000-0000050B0000}"/>
    <cellStyle name="20% - Accent1 7 2 2 4 4" xfId="27128" xr:uid="{00000000-0005-0000-0000-0000060B0000}"/>
    <cellStyle name="20% - Accent1 7 2 2 5" xfId="7322" xr:uid="{00000000-0005-0000-0000-0000070B0000}"/>
    <cellStyle name="20% - Accent1 7 2 2 5 2" xfId="18623" xr:uid="{00000000-0005-0000-0000-0000080B0000}"/>
    <cellStyle name="20% - Accent1 7 2 2 5 2 2" xfId="41225" xr:uid="{00000000-0005-0000-0000-0000090B0000}"/>
    <cellStyle name="20% - Accent1 7 2 2 5 3" xfId="29924" xr:uid="{00000000-0005-0000-0000-00000A0B0000}"/>
    <cellStyle name="20% - Accent1 7 2 2 6" xfId="12973" xr:uid="{00000000-0005-0000-0000-00000B0B0000}"/>
    <cellStyle name="20% - Accent1 7 2 2 6 2" xfId="35575" xr:uid="{00000000-0005-0000-0000-00000C0B0000}"/>
    <cellStyle name="20% - Accent1 7 2 2 7" xfId="24274" xr:uid="{00000000-0005-0000-0000-00000D0B0000}"/>
    <cellStyle name="20% - Accent1 7 2 3" xfId="1041" xr:uid="{00000000-0005-0000-0000-00000E0B0000}"/>
    <cellStyle name="20% - Accent1 7 2 3 2" xfId="3104" xr:uid="{00000000-0005-0000-0000-00000F0B0000}"/>
    <cellStyle name="20% - Accent1 7 2 3 2 2" xfId="6076" xr:uid="{00000000-0005-0000-0000-0000100B0000}"/>
    <cellStyle name="20% - Accent1 7 2 3 2 2 2" xfId="11726" xr:uid="{00000000-0005-0000-0000-0000110B0000}"/>
    <cellStyle name="20% - Accent1 7 2 3 2 2 2 2" xfId="23027" xr:uid="{00000000-0005-0000-0000-0000120B0000}"/>
    <cellStyle name="20% - Accent1 7 2 3 2 2 2 2 2" xfId="45629" xr:uid="{00000000-0005-0000-0000-0000130B0000}"/>
    <cellStyle name="20% - Accent1 7 2 3 2 2 2 3" xfId="34328" xr:uid="{00000000-0005-0000-0000-0000140B0000}"/>
    <cellStyle name="20% - Accent1 7 2 3 2 2 3" xfId="17377" xr:uid="{00000000-0005-0000-0000-0000150B0000}"/>
    <cellStyle name="20% - Accent1 7 2 3 2 2 3 2" xfId="39979" xr:uid="{00000000-0005-0000-0000-0000160B0000}"/>
    <cellStyle name="20% - Accent1 7 2 3 2 2 4" xfId="28678" xr:uid="{00000000-0005-0000-0000-0000170B0000}"/>
    <cellStyle name="20% - Accent1 7 2 3 2 3" xfId="8894" xr:uid="{00000000-0005-0000-0000-0000180B0000}"/>
    <cellStyle name="20% - Accent1 7 2 3 2 3 2" xfId="20195" xr:uid="{00000000-0005-0000-0000-0000190B0000}"/>
    <cellStyle name="20% - Accent1 7 2 3 2 3 2 2" xfId="42797" xr:uid="{00000000-0005-0000-0000-00001A0B0000}"/>
    <cellStyle name="20% - Accent1 7 2 3 2 3 3" xfId="31496" xr:uid="{00000000-0005-0000-0000-00001B0B0000}"/>
    <cellStyle name="20% - Accent1 7 2 3 2 4" xfId="14545" xr:uid="{00000000-0005-0000-0000-00001C0B0000}"/>
    <cellStyle name="20% - Accent1 7 2 3 2 4 2" xfId="37147" xr:uid="{00000000-0005-0000-0000-00001D0B0000}"/>
    <cellStyle name="20% - Accent1 7 2 3 2 5" xfId="25846" xr:uid="{00000000-0005-0000-0000-00001E0B0000}"/>
    <cellStyle name="20% - Accent1 7 2 3 3" xfId="4842" xr:uid="{00000000-0005-0000-0000-00001F0B0000}"/>
    <cellStyle name="20% - Accent1 7 2 3 3 2" xfId="10492" xr:uid="{00000000-0005-0000-0000-0000200B0000}"/>
    <cellStyle name="20% - Accent1 7 2 3 3 2 2" xfId="21793" xr:uid="{00000000-0005-0000-0000-0000210B0000}"/>
    <cellStyle name="20% - Accent1 7 2 3 3 2 2 2" xfId="44395" xr:uid="{00000000-0005-0000-0000-0000220B0000}"/>
    <cellStyle name="20% - Accent1 7 2 3 3 2 3" xfId="33094" xr:uid="{00000000-0005-0000-0000-0000230B0000}"/>
    <cellStyle name="20% - Accent1 7 2 3 3 3" xfId="16143" xr:uid="{00000000-0005-0000-0000-0000240B0000}"/>
    <cellStyle name="20% - Accent1 7 2 3 3 3 2" xfId="38745" xr:uid="{00000000-0005-0000-0000-0000250B0000}"/>
    <cellStyle name="20% - Accent1 7 2 3 3 4" xfId="27444" xr:uid="{00000000-0005-0000-0000-0000260B0000}"/>
    <cellStyle name="20% - Accent1 7 2 3 4" xfId="7029" xr:uid="{00000000-0005-0000-0000-0000270B0000}"/>
    <cellStyle name="20% - Accent1 7 2 3 4 2" xfId="18330" xr:uid="{00000000-0005-0000-0000-0000280B0000}"/>
    <cellStyle name="20% - Accent1 7 2 3 4 2 2" xfId="40932" xr:uid="{00000000-0005-0000-0000-0000290B0000}"/>
    <cellStyle name="20% - Accent1 7 2 3 4 3" xfId="29631" xr:uid="{00000000-0005-0000-0000-00002A0B0000}"/>
    <cellStyle name="20% - Accent1 7 2 3 5" xfId="12680" xr:uid="{00000000-0005-0000-0000-00002B0B0000}"/>
    <cellStyle name="20% - Accent1 7 2 3 5 2" xfId="35282" xr:uid="{00000000-0005-0000-0000-00002C0B0000}"/>
    <cellStyle name="20% - Accent1 7 2 3 6" xfId="23981" xr:uid="{00000000-0005-0000-0000-00002D0B0000}"/>
    <cellStyle name="20% - Accent1 7 2 4" xfId="1576" xr:uid="{00000000-0005-0000-0000-00002E0B0000}"/>
    <cellStyle name="20% - Accent1 7 2 4 2" xfId="3515" xr:uid="{00000000-0005-0000-0000-00002F0B0000}"/>
    <cellStyle name="20% - Accent1 7 2 4 2 2" xfId="9278" xr:uid="{00000000-0005-0000-0000-0000300B0000}"/>
    <cellStyle name="20% - Accent1 7 2 4 2 2 2" xfId="20579" xr:uid="{00000000-0005-0000-0000-0000310B0000}"/>
    <cellStyle name="20% - Accent1 7 2 4 2 2 2 2" xfId="43181" xr:uid="{00000000-0005-0000-0000-0000320B0000}"/>
    <cellStyle name="20% - Accent1 7 2 4 2 2 3" xfId="31880" xr:uid="{00000000-0005-0000-0000-0000330B0000}"/>
    <cellStyle name="20% - Accent1 7 2 4 2 3" xfId="14929" xr:uid="{00000000-0005-0000-0000-0000340B0000}"/>
    <cellStyle name="20% - Accent1 7 2 4 2 3 2" xfId="37531" xr:uid="{00000000-0005-0000-0000-0000350B0000}"/>
    <cellStyle name="20% - Accent1 7 2 4 2 4" xfId="26230" xr:uid="{00000000-0005-0000-0000-0000360B0000}"/>
    <cellStyle name="20% - Accent1 7 2 4 3" xfId="5452" xr:uid="{00000000-0005-0000-0000-0000370B0000}"/>
    <cellStyle name="20% - Accent1 7 2 4 3 2" xfId="11102" xr:uid="{00000000-0005-0000-0000-0000380B0000}"/>
    <cellStyle name="20% - Accent1 7 2 4 3 2 2" xfId="22403" xr:uid="{00000000-0005-0000-0000-0000390B0000}"/>
    <cellStyle name="20% - Accent1 7 2 4 3 2 2 2" xfId="45005" xr:uid="{00000000-0005-0000-0000-00003A0B0000}"/>
    <cellStyle name="20% - Accent1 7 2 4 3 2 3" xfId="33704" xr:uid="{00000000-0005-0000-0000-00003B0B0000}"/>
    <cellStyle name="20% - Accent1 7 2 4 3 3" xfId="16753" xr:uid="{00000000-0005-0000-0000-00003C0B0000}"/>
    <cellStyle name="20% - Accent1 7 2 4 3 3 2" xfId="39355" xr:uid="{00000000-0005-0000-0000-00003D0B0000}"/>
    <cellStyle name="20% - Accent1 7 2 4 3 4" xfId="28054" xr:uid="{00000000-0005-0000-0000-00003E0B0000}"/>
    <cellStyle name="20% - Accent1 7 2 4 4" xfId="7432" xr:uid="{00000000-0005-0000-0000-00003F0B0000}"/>
    <cellStyle name="20% - Accent1 7 2 4 4 2" xfId="18733" xr:uid="{00000000-0005-0000-0000-0000400B0000}"/>
    <cellStyle name="20% - Accent1 7 2 4 4 2 2" xfId="41335" xr:uid="{00000000-0005-0000-0000-0000410B0000}"/>
    <cellStyle name="20% - Accent1 7 2 4 4 3" xfId="30034" xr:uid="{00000000-0005-0000-0000-0000420B0000}"/>
    <cellStyle name="20% - Accent1 7 2 4 5" xfId="13083" xr:uid="{00000000-0005-0000-0000-0000430B0000}"/>
    <cellStyle name="20% - Accent1 7 2 4 5 2" xfId="35685" xr:uid="{00000000-0005-0000-0000-0000440B0000}"/>
    <cellStyle name="20% - Accent1 7 2 4 6" xfId="24384" xr:uid="{00000000-0005-0000-0000-0000450B0000}"/>
    <cellStyle name="20% - Accent1 7 2 5" xfId="2433" xr:uid="{00000000-0005-0000-0000-0000460B0000}"/>
    <cellStyle name="20% - Accent1 7 2 5 2" xfId="8269" xr:uid="{00000000-0005-0000-0000-0000470B0000}"/>
    <cellStyle name="20% - Accent1 7 2 5 2 2" xfId="19570" xr:uid="{00000000-0005-0000-0000-0000480B0000}"/>
    <cellStyle name="20% - Accent1 7 2 5 2 2 2" xfId="42172" xr:uid="{00000000-0005-0000-0000-0000490B0000}"/>
    <cellStyle name="20% - Accent1 7 2 5 2 3" xfId="30871" xr:uid="{00000000-0005-0000-0000-00004A0B0000}"/>
    <cellStyle name="20% - Accent1 7 2 5 3" xfId="13920" xr:uid="{00000000-0005-0000-0000-00004B0B0000}"/>
    <cellStyle name="20% - Accent1 7 2 5 3 2" xfId="36522" xr:uid="{00000000-0005-0000-0000-00004C0B0000}"/>
    <cellStyle name="20% - Accent1 7 2 5 4" xfId="25221" xr:uid="{00000000-0005-0000-0000-00004D0B0000}"/>
    <cellStyle name="20% - Accent1 7 2 6" xfId="4218" xr:uid="{00000000-0005-0000-0000-00004E0B0000}"/>
    <cellStyle name="20% - Accent1 7 2 6 2" xfId="9868" xr:uid="{00000000-0005-0000-0000-00004F0B0000}"/>
    <cellStyle name="20% - Accent1 7 2 6 2 2" xfId="21169" xr:uid="{00000000-0005-0000-0000-0000500B0000}"/>
    <cellStyle name="20% - Accent1 7 2 6 2 2 2" xfId="43771" xr:uid="{00000000-0005-0000-0000-0000510B0000}"/>
    <cellStyle name="20% - Accent1 7 2 6 2 3" xfId="32470" xr:uid="{00000000-0005-0000-0000-0000520B0000}"/>
    <cellStyle name="20% - Accent1 7 2 6 3" xfId="15519" xr:uid="{00000000-0005-0000-0000-0000530B0000}"/>
    <cellStyle name="20% - Accent1 7 2 6 3 2" xfId="38121" xr:uid="{00000000-0005-0000-0000-0000540B0000}"/>
    <cellStyle name="20% - Accent1 7 2 6 4" xfId="26820" xr:uid="{00000000-0005-0000-0000-0000550B0000}"/>
    <cellStyle name="20% - Accent1 7 2 7" xfId="6698" xr:uid="{00000000-0005-0000-0000-0000560B0000}"/>
    <cellStyle name="20% - Accent1 7 2 7 2" xfId="17999" xr:uid="{00000000-0005-0000-0000-0000570B0000}"/>
    <cellStyle name="20% - Accent1 7 2 7 2 2" xfId="40601" xr:uid="{00000000-0005-0000-0000-0000580B0000}"/>
    <cellStyle name="20% - Accent1 7 2 7 3" xfId="29300" xr:uid="{00000000-0005-0000-0000-0000590B0000}"/>
    <cellStyle name="20% - Accent1 7 2 8" xfId="12349" xr:uid="{00000000-0005-0000-0000-00005A0B0000}"/>
    <cellStyle name="20% - Accent1 7 2 8 2" xfId="34951" xr:uid="{00000000-0005-0000-0000-00005B0B0000}"/>
    <cellStyle name="20% - Accent1 7 2 9" xfId="23650" xr:uid="{00000000-0005-0000-0000-00005C0B0000}"/>
    <cellStyle name="20% - Accent1 7 3" xfId="1205" xr:uid="{00000000-0005-0000-0000-00005D0B0000}"/>
    <cellStyle name="20% - Accent1 7 3 2" xfId="1578" xr:uid="{00000000-0005-0000-0000-00005E0B0000}"/>
    <cellStyle name="20% - Accent1 7 3 2 2" xfId="3273" xr:uid="{00000000-0005-0000-0000-00005F0B0000}"/>
    <cellStyle name="20% - Accent1 7 3 2 2 2" xfId="6245" xr:uid="{00000000-0005-0000-0000-0000600B0000}"/>
    <cellStyle name="20% - Accent1 7 3 2 2 2 2" xfId="11895" xr:uid="{00000000-0005-0000-0000-0000610B0000}"/>
    <cellStyle name="20% - Accent1 7 3 2 2 2 2 2" xfId="23196" xr:uid="{00000000-0005-0000-0000-0000620B0000}"/>
    <cellStyle name="20% - Accent1 7 3 2 2 2 2 2 2" xfId="45798" xr:uid="{00000000-0005-0000-0000-0000630B0000}"/>
    <cellStyle name="20% - Accent1 7 3 2 2 2 2 3" xfId="34497" xr:uid="{00000000-0005-0000-0000-0000640B0000}"/>
    <cellStyle name="20% - Accent1 7 3 2 2 2 3" xfId="17546" xr:uid="{00000000-0005-0000-0000-0000650B0000}"/>
    <cellStyle name="20% - Accent1 7 3 2 2 2 3 2" xfId="40148" xr:uid="{00000000-0005-0000-0000-0000660B0000}"/>
    <cellStyle name="20% - Accent1 7 3 2 2 2 4" xfId="28847" xr:uid="{00000000-0005-0000-0000-0000670B0000}"/>
    <cellStyle name="20% - Accent1 7 3 2 2 3" xfId="9063" xr:uid="{00000000-0005-0000-0000-0000680B0000}"/>
    <cellStyle name="20% - Accent1 7 3 2 2 3 2" xfId="20364" xr:uid="{00000000-0005-0000-0000-0000690B0000}"/>
    <cellStyle name="20% - Accent1 7 3 2 2 3 2 2" xfId="42966" xr:uid="{00000000-0005-0000-0000-00006A0B0000}"/>
    <cellStyle name="20% - Accent1 7 3 2 2 3 3" xfId="31665" xr:uid="{00000000-0005-0000-0000-00006B0B0000}"/>
    <cellStyle name="20% - Accent1 7 3 2 2 4" xfId="14714" xr:uid="{00000000-0005-0000-0000-00006C0B0000}"/>
    <cellStyle name="20% - Accent1 7 3 2 2 4 2" xfId="37316" xr:uid="{00000000-0005-0000-0000-00006D0B0000}"/>
    <cellStyle name="20% - Accent1 7 3 2 2 5" xfId="26015" xr:uid="{00000000-0005-0000-0000-00006E0B0000}"/>
    <cellStyle name="20% - Accent1 7 3 2 3" xfId="5011" xr:uid="{00000000-0005-0000-0000-00006F0B0000}"/>
    <cellStyle name="20% - Accent1 7 3 2 3 2" xfId="10661" xr:uid="{00000000-0005-0000-0000-0000700B0000}"/>
    <cellStyle name="20% - Accent1 7 3 2 3 2 2" xfId="21962" xr:uid="{00000000-0005-0000-0000-0000710B0000}"/>
    <cellStyle name="20% - Accent1 7 3 2 3 2 2 2" xfId="44564" xr:uid="{00000000-0005-0000-0000-0000720B0000}"/>
    <cellStyle name="20% - Accent1 7 3 2 3 2 3" xfId="33263" xr:uid="{00000000-0005-0000-0000-0000730B0000}"/>
    <cellStyle name="20% - Accent1 7 3 2 3 3" xfId="16312" xr:uid="{00000000-0005-0000-0000-0000740B0000}"/>
    <cellStyle name="20% - Accent1 7 3 2 3 3 2" xfId="38914" xr:uid="{00000000-0005-0000-0000-0000750B0000}"/>
    <cellStyle name="20% - Accent1 7 3 2 3 4" xfId="27613" xr:uid="{00000000-0005-0000-0000-0000760B0000}"/>
    <cellStyle name="20% - Accent1 7 3 2 4" xfId="7434" xr:uid="{00000000-0005-0000-0000-0000770B0000}"/>
    <cellStyle name="20% - Accent1 7 3 2 4 2" xfId="18735" xr:uid="{00000000-0005-0000-0000-0000780B0000}"/>
    <cellStyle name="20% - Accent1 7 3 2 4 2 2" xfId="41337" xr:uid="{00000000-0005-0000-0000-0000790B0000}"/>
    <cellStyle name="20% - Accent1 7 3 2 4 3" xfId="30036" xr:uid="{00000000-0005-0000-0000-00007A0B0000}"/>
    <cellStyle name="20% - Accent1 7 3 2 5" xfId="13085" xr:uid="{00000000-0005-0000-0000-00007B0B0000}"/>
    <cellStyle name="20% - Accent1 7 3 2 5 2" xfId="35687" xr:uid="{00000000-0005-0000-0000-00007C0B0000}"/>
    <cellStyle name="20% - Accent1 7 3 2 6" xfId="24386" xr:uid="{00000000-0005-0000-0000-00007D0B0000}"/>
    <cellStyle name="20% - Accent1 7 3 3" xfId="2602" xr:uid="{00000000-0005-0000-0000-00007E0B0000}"/>
    <cellStyle name="20% - Accent1 7 3 3 2" xfId="5621" xr:uid="{00000000-0005-0000-0000-00007F0B0000}"/>
    <cellStyle name="20% - Accent1 7 3 3 2 2" xfId="11271" xr:uid="{00000000-0005-0000-0000-0000800B0000}"/>
    <cellStyle name="20% - Accent1 7 3 3 2 2 2" xfId="22572" xr:uid="{00000000-0005-0000-0000-0000810B0000}"/>
    <cellStyle name="20% - Accent1 7 3 3 2 2 2 2" xfId="45174" xr:uid="{00000000-0005-0000-0000-0000820B0000}"/>
    <cellStyle name="20% - Accent1 7 3 3 2 2 3" xfId="33873" xr:uid="{00000000-0005-0000-0000-0000830B0000}"/>
    <cellStyle name="20% - Accent1 7 3 3 2 3" xfId="16922" xr:uid="{00000000-0005-0000-0000-0000840B0000}"/>
    <cellStyle name="20% - Accent1 7 3 3 2 3 2" xfId="39524" xr:uid="{00000000-0005-0000-0000-0000850B0000}"/>
    <cellStyle name="20% - Accent1 7 3 3 2 4" xfId="28223" xr:uid="{00000000-0005-0000-0000-0000860B0000}"/>
    <cellStyle name="20% - Accent1 7 3 3 3" xfId="8438" xr:uid="{00000000-0005-0000-0000-0000870B0000}"/>
    <cellStyle name="20% - Accent1 7 3 3 3 2" xfId="19739" xr:uid="{00000000-0005-0000-0000-0000880B0000}"/>
    <cellStyle name="20% - Accent1 7 3 3 3 2 2" xfId="42341" xr:uid="{00000000-0005-0000-0000-0000890B0000}"/>
    <cellStyle name="20% - Accent1 7 3 3 3 3" xfId="31040" xr:uid="{00000000-0005-0000-0000-00008A0B0000}"/>
    <cellStyle name="20% - Accent1 7 3 3 4" xfId="14089" xr:uid="{00000000-0005-0000-0000-00008B0B0000}"/>
    <cellStyle name="20% - Accent1 7 3 3 4 2" xfId="36691" xr:uid="{00000000-0005-0000-0000-00008C0B0000}"/>
    <cellStyle name="20% - Accent1 7 3 3 5" xfId="25390" xr:uid="{00000000-0005-0000-0000-00008D0B0000}"/>
    <cellStyle name="20% - Accent1 7 3 4" xfId="4387" xr:uid="{00000000-0005-0000-0000-00008E0B0000}"/>
    <cellStyle name="20% - Accent1 7 3 4 2" xfId="10037" xr:uid="{00000000-0005-0000-0000-00008F0B0000}"/>
    <cellStyle name="20% - Accent1 7 3 4 2 2" xfId="21338" xr:uid="{00000000-0005-0000-0000-0000900B0000}"/>
    <cellStyle name="20% - Accent1 7 3 4 2 2 2" xfId="43940" xr:uid="{00000000-0005-0000-0000-0000910B0000}"/>
    <cellStyle name="20% - Accent1 7 3 4 2 3" xfId="32639" xr:uid="{00000000-0005-0000-0000-0000920B0000}"/>
    <cellStyle name="20% - Accent1 7 3 4 3" xfId="15688" xr:uid="{00000000-0005-0000-0000-0000930B0000}"/>
    <cellStyle name="20% - Accent1 7 3 4 3 2" xfId="38290" xr:uid="{00000000-0005-0000-0000-0000940B0000}"/>
    <cellStyle name="20% - Accent1 7 3 4 4" xfId="26989" xr:uid="{00000000-0005-0000-0000-0000950B0000}"/>
    <cellStyle name="20% - Accent1 7 3 5" xfId="7184" xr:uid="{00000000-0005-0000-0000-0000960B0000}"/>
    <cellStyle name="20% - Accent1 7 3 5 2" xfId="18485" xr:uid="{00000000-0005-0000-0000-0000970B0000}"/>
    <cellStyle name="20% - Accent1 7 3 5 2 2" xfId="41087" xr:uid="{00000000-0005-0000-0000-0000980B0000}"/>
    <cellStyle name="20% - Accent1 7 3 5 3" xfId="29786" xr:uid="{00000000-0005-0000-0000-0000990B0000}"/>
    <cellStyle name="20% - Accent1 7 3 6" xfId="12835" xr:uid="{00000000-0005-0000-0000-00009A0B0000}"/>
    <cellStyle name="20% - Accent1 7 3 6 2" xfId="35437" xr:uid="{00000000-0005-0000-0000-00009B0B0000}"/>
    <cellStyle name="20% - Accent1 7 3 7" xfId="24136" xr:uid="{00000000-0005-0000-0000-00009C0B0000}"/>
    <cellStyle name="20% - Accent1 7 4" xfId="896" xr:uid="{00000000-0005-0000-0000-00009D0B0000}"/>
    <cellStyle name="20% - Accent1 7 4 2" xfId="2966" xr:uid="{00000000-0005-0000-0000-00009E0B0000}"/>
    <cellStyle name="20% - Accent1 7 4 2 2" xfId="5938" xr:uid="{00000000-0005-0000-0000-00009F0B0000}"/>
    <cellStyle name="20% - Accent1 7 4 2 2 2" xfId="11588" xr:uid="{00000000-0005-0000-0000-0000A00B0000}"/>
    <cellStyle name="20% - Accent1 7 4 2 2 2 2" xfId="22889" xr:uid="{00000000-0005-0000-0000-0000A10B0000}"/>
    <cellStyle name="20% - Accent1 7 4 2 2 2 2 2" xfId="45491" xr:uid="{00000000-0005-0000-0000-0000A20B0000}"/>
    <cellStyle name="20% - Accent1 7 4 2 2 2 3" xfId="34190" xr:uid="{00000000-0005-0000-0000-0000A30B0000}"/>
    <cellStyle name="20% - Accent1 7 4 2 2 3" xfId="17239" xr:uid="{00000000-0005-0000-0000-0000A40B0000}"/>
    <cellStyle name="20% - Accent1 7 4 2 2 3 2" xfId="39841" xr:uid="{00000000-0005-0000-0000-0000A50B0000}"/>
    <cellStyle name="20% - Accent1 7 4 2 2 4" xfId="28540" xr:uid="{00000000-0005-0000-0000-0000A60B0000}"/>
    <cellStyle name="20% - Accent1 7 4 2 3" xfId="8756" xr:uid="{00000000-0005-0000-0000-0000A70B0000}"/>
    <cellStyle name="20% - Accent1 7 4 2 3 2" xfId="20057" xr:uid="{00000000-0005-0000-0000-0000A80B0000}"/>
    <cellStyle name="20% - Accent1 7 4 2 3 2 2" xfId="42659" xr:uid="{00000000-0005-0000-0000-0000A90B0000}"/>
    <cellStyle name="20% - Accent1 7 4 2 3 3" xfId="31358" xr:uid="{00000000-0005-0000-0000-0000AA0B0000}"/>
    <cellStyle name="20% - Accent1 7 4 2 4" xfId="14407" xr:uid="{00000000-0005-0000-0000-0000AB0B0000}"/>
    <cellStyle name="20% - Accent1 7 4 2 4 2" xfId="37009" xr:uid="{00000000-0005-0000-0000-0000AC0B0000}"/>
    <cellStyle name="20% - Accent1 7 4 2 5" xfId="25708" xr:uid="{00000000-0005-0000-0000-0000AD0B0000}"/>
    <cellStyle name="20% - Accent1 7 4 3" xfId="4704" xr:uid="{00000000-0005-0000-0000-0000AE0B0000}"/>
    <cellStyle name="20% - Accent1 7 4 3 2" xfId="10354" xr:uid="{00000000-0005-0000-0000-0000AF0B0000}"/>
    <cellStyle name="20% - Accent1 7 4 3 2 2" xfId="21655" xr:uid="{00000000-0005-0000-0000-0000B00B0000}"/>
    <cellStyle name="20% - Accent1 7 4 3 2 2 2" xfId="44257" xr:uid="{00000000-0005-0000-0000-0000B10B0000}"/>
    <cellStyle name="20% - Accent1 7 4 3 2 3" xfId="32956" xr:uid="{00000000-0005-0000-0000-0000B20B0000}"/>
    <cellStyle name="20% - Accent1 7 4 3 3" xfId="16005" xr:uid="{00000000-0005-0000-0000-0000B30B0000}"/>
    <cellStyle name="20% - Accent1 7 4 3 3 2" xfId="38607" xr:uid="{00000000-0005-0000-0000-0000B40B0000}"/>
    <cellStyle name="20% - Accent1 7 4 3 4" xfId="27306" xr:uid="{00000000-0005-0000-0000-0000B50B0000}"/>
    <cellStyle name="20% - Accent1 7 4 4" xfId="6891" xr:uid="{00000000-0005-0000-0000-0000B60B0000}"/>
    <cellStyle name="20% - Accent1 7 4 4 2" xfId="18192" xr:uid="{00000000-0005-0000-0000-0000B70B0000}"/>
    <cellStyle name="20% - Accent1 7 4 4 2 2" xfId="40794" xr:uid="{00000000-0005-0000-0000-0000B80B0000}"/>
    <cellStyle name="20% - Accent1 7 4 4 3" xfId="29493" xr:uid="{00000000-0005-0000-0000-0000B90B0000}"/>
    <cellStyle name="20% - Accent1 7 4 5" xfId="12542" xr:uid="{00000000-0005-0000-0000-0000BA0B0000}"/>
    <cellStyle name="20% - Accent1 7 4 5 2" xfId="35144" xr:uid="{00000000-0005-0000-0000-0000BB0B0000}"/>
    <cellStyle name="20% - Accent1 7 4 6" xfId="23843" xr:uid="{00000000-0005-0000-0000-0000BC0B0000}"/>
    <cellStyle name="20% - Accent1 7 5" xfId="1575" xr:uid="{00000000-0005-0000-0000-0000BD0B0000}"/>
    <cellStyle name="20% - Accent1 7 5 2" xfId="3574" xr:uid="{00000000-0005-0000-0000-0000BE0B0000}"/>
    <cellStyle name="20% - Accent1 7 5 2 2" xfId="9301" xr:uid="{00000000-0005-0000-0000-0000BF0B0000}"/>
    <cellStyle name="20% - Accent1 7 5 2 2 2" xfId="20602" xr:uid="{00000000-0005-0000-0000-0000C00B0000}"/>
    <cellStyle name="20% - Accent1 7 5 2 2 2 2" xfId="43204" xr:uid="{00000000-0005-0000-0000-0000C10B0000}"/>
    <cellStyle name="20% - Accent1 7 5 2 2 3" xfId="31903" xr:uid="{00000000-0005-0000-0000-0000C20B0000}"/>
    <cellStyle name="20% - Accent1 7 5 2 3" xfId="14952" xr:uid="{00000000-0005-0000-0000-0000C30B0000}"/>
    <cellStyle name="20% - Accent1 7 5 2 3 2" xfId="37554" xr:uid="{00000000-0005-0000-0000-0000C40B0000}"/>
    <cellStyle name="20% - Accent1 7 5 2 4" xfId="26253" xr:uid="{00000000-0005-0000-0000-0000C50B0000}"/>
    <cellStyle name="20% - Accent1 7 5 3" xfId="5314" xr:uid="{00000000-0005-0000-0000-0000C60B0000}"/>
    <cellStyle name="20% - Accent1 7 5 3 2" xfId="10964" xr:uid="{00000000-0005-0000-0000-0000C70B0000}"/>
    <cellStyle name="20% - Accent1 7 5 3 2 2" xfId="22265" xr:uid="{00000000-0005-0000-0000-0000C80B0000}"/>
    <cellStyle name="20% - Accent1 7 5 3 2 2 2" xfId="44867" xr:uid="{00000000-0005-0000-0000-0000C90B0000}"/>
    <cellStyle name="20% - Accent1 7 5 3 2 3" xfId="33566" xr:uid="{00000000-0005-0000-0000-0000CA0B0000}"/>
    <cellStyle name="20% - Accent1 7 5 3 3" xfId="16615" xr:uid="{00000000-0005-0000-0000-0000CB0B0000}"/>
    <cellStyle name="20% - Accent1 7 5 3 3 2" xfId="39217" xr:uid="{00000000-0005-0000-0000-0000CC0B0000}"/>
    <cellStyle name="20% - Accent1 7 5 3 4" xfId="27916" xr:uid="{00000000-0005-0000-0000-0000CD0B0000}"/>
    <cellStyle name="20% - Accent1 7 5 4" xfId="7431" xr:uid="{00000000-0005-0000-0000-0000CE0B0000}"/>
    <cellStyle name="20% - Accent1 7 5 4 2" xfId="18732" xr:uid="{00000000-0005-0000-0000-0000CF0B0000}"/>
    <cellStyle name="20% - Accent1 7 5 4 2 2" xfId="41334" xr:uid="{00000000-0005-0000-0000-0000D00B0000}"/>
    <cellStyle name="20% - Accent1 7 5 4 3" xfId="30033" xr:uid="{00000000-0005-0000-0000-0000D10B0000}"/>
    <cellStyle name="20% - Accent1 7 5 5" xfId="13082" xr:uid="{00000000-0005-0000-0000-0000D20B0000}"/>
    <cellStyle name="20% - Accent1 7 5 5 2" xfId="35684" xr:uid="{00000000-0005-0000-0000-0000D30B0000}"/>
    <cellStyle name="20% - Accent1 7 5 6" xfId="24383" xr:uid="{00000000-0005-0000-0000-0000D40B0000}"/>
    <cellStyle name="20% - Accent1 7 6" xfId="2293" xr:uid="{00000000-0005-0000-0000-0000D50B0000}"/>
    <cellStyle name="20% - Accent1 7 6 2" xfId="8129" xr:uid="{00000000-0005-0000-0000-0000D60B0000}"/>
    <cellStyle name="20% - Accent1 7 6 2 2" xfId="19430" xr:uid="{00000000-0005-0000-0000-0000D70B0000}"/>
    <cellStyle name="20% - Accent1 7 6 2 2 2" xfId="42032" xr:uid="{00000000-0005-0000-0000-0000D80B0000}"/>
    <cellStyle name="20% - Accent1 7 6 2 3" xfId="30731" xr:uid="{00000000-0005-0000-0000-0000D90B0000}"/>
    <cellStyle name="20% - Accent1 7 6 3" xfId="13780" xr:uid="{00000000-0005-0000-0000-0000DA0B0000}"/>
    <cellStyle name="20% - Accent1 7 6 3 2" xfId="36382" xr:uid="{00000000-0005-0000-0000-0000DB0B0000}"/>
    <cellStyle name="20% - Accent1 7 6 4" xfId="25081" xr:uid="{00000000-0005-0000-0000-0000DC0B0000}"/>
    <cellStyle name="20% - Accent1 7 7" xfId="4080" xr:uid="{00000000-0005-0000-0000-0000DD0B0000}"/>
    <cellStyle name="20% - Accent1 7 7 2" xfId="9730" xr:uid="{00000000-0005-0000-0000-0000DE0B0000}"/>
    <cellStyle name="20% - Accent1 7 7 2 2" xfId="21031" xr:uid="{00000000-0005-0000-0000-0000DF0B0000}"/>
    <cellStyle name="20% - Accent1 7 7 2 2 2" xfId="43633" xr:uid="{00000000-0005-0000-0000-0000E00B0000}"/>
    <cellStyle name="20% - Accent1 7 7 2 3" xfId="32332" xr:uid="{00000000-0005-0000-0000-0000E10B0000}"/>
    <cellStyle name="20% - Accent1 7 7 3" xfId="15381" xr:uid="{00000000-0005-0000-0000-0000E20B0000}"/>
    <cellStyle name="20% - Accent1 7 7 3 2" xfId="37983" xr:uid="{00000000-0005-0000-0000-0000E30B0000}"/>
    <cellStyle name="20% - Accent1 7 7 4" xfId="26682" xr:uid="{00000000-0005-0000-0000-0000E40B0000}"/>
    <cellStyle name="20% - Accent1 7 8" xfId="6531" xr:uid="{00000000-0005-0000-0000-0000E50B0000}"/>
    <cellStyle name="20% - Accent1 7 8 2" xfId="17832" xr:uid="{00000000-0005-0000-0000-0000E60B0000}"/>
    <cellStyle name="20% - Accent1 7 8 2 2" xfId="40434" xr:uid="{00000000-0005-0000-0000-0000E70B0000}"/>
    <cellStyle name="20% - Accent1 7 8 3" xfId="29133" xr:uid="{00000000-0005-0000-0000-0000E80B0000}"/>
    <cellStyle name="20% - Accent1 7 9" xfId="12182" xr:uid="{00000000-0005-0000-0000-0000E90B0000}"/>
    <cellStyle name="20% - Accent1 7 9 2" xfId="34784" xr:uid="{00000000-0005-0000-0000-0000EA0B0000}"/>
    <cellStyle name="20% - Accent1 8" xfId="491" xr:uid="{00000000-0005-0000-0000-0000EB0B0000}"/>
    <cellStyle name="20% - Accent1 8 2" xfId="1262" xr:uid="{00000000-0005-0000-0000-0000EC0B0000}"/>
    <cellStyle name="20% - Accent1 8 2 2" xfId="1580" xr:uid="{00000000-0005-0000-0000-0000ED0B0000}"/>
    <cellStyle name="20% - Accent1 8 2 2 2" xfId="3331" xr:uid="{00000000-0005-0000-0000-0000EE0B0000}"/>
    <cellStyle name="20% - Accent1 8 2 2 2 2" xfId="6303" xr:uid="{00000000-0005-0000-0000-0000EF0B0000}"/>
    <cellStyle name="20% - Accent1 8 2 2 2 2 2" xfId="11953" xr:uid="{00000000-0005-0000-0000-0000F00B0000}"/>
    <cellStyle name="20% - Accent1 8 2 2 2 2 2 2" xfId="23254" xr:uid="{00000000-0005-0000-0000-0000F10B0000}"/>
    <cellStyle name="20% - Accent1 8 2 2 2 2 2 2 2" xfId="45856" xr:uid="{00000000-0005-0000-0000-0000F20B0000}"/>
    <cellStyle name="20% - Accent1 8 2 2 2 2 2 3" xfId="34555" xr:uid="{00000000-0005-0000-0000-0000F30B0000}"/>
    <cellStyle name="20% - Accent1 8 2 2 2 2 3" xfId="17604" xr:uid="{00000000-0005-0000-0000-0000F40B0000}"/>
    <cellStyle name="20% - Accent1 8 2 2 2 2 3 2" xfId="40206" xr:uid="{00000000-0005-0000-0000-0000F50B0000}"/>
    <cellStyle name="20% - Accent1 8 2 2 2 2 4" xfId="28905" xr:uid="{00000000-0005-0000-0000-0000F60B0000}"/>
    <cellStyle name="20% - Accent1 8 2 2 2 3" xfId="9121" xr:uid="{00000000-0005-0000-0000-0000F70B0000}"/>
    <cellStyle name="20% - Accent1 8 2 2 2 3 2" xfId="20422" xr:uid="{00000000-0005-0000-0000-0000F80B0000}"/>
    <cellStyle name="20% - Accent1 8 2 2 2 3 2 2" xfId="43024" xr:uid="{00000000-0005-0000-0000-0000F90B0000}"/>
    <cellStyle name="20% - Accent1 8 2 2 2 3 3" xfId="31723" xr:uid="{00000000-0005-0000-0000-0000FA0B0000}"/>
    <cellStyle name="20% - Accent1 8 2 2 2 4" xfId="14772" xr:uid="{00000000-0005-0000-0000-0000FB0B0000}"/>
    <cellStyle name="20% - Accent1 8 2 2 2 4 2" xfId="37374" xr:uid="{00000000-0005-0000-0000-0000FC0B0000}"/>
    <cellStyle name="20% - Accent1 8 2 2 2 5" xfId="26073" xr:uid="{00000000-0005-0000-0000-0000FD0B0000}"/>
    <cellStyle name="20% - Accent1 8 2 2 3" xfId="5069" xr:uid="{00000000-0005-0000-0000-0000FE0B0000}"/>
    <cellStyle name="20% - Accent1 8 2 2 3 2" xfId="10719" xr:uid="{00000000-0005-0000-0000-0000FF0B0000}"/>
    <cellStyle name="20% - Accent1 8 2 2 3 2 2" xfId="22020" xr:uid="{00000000-0005-0000-0000-0000000C0000}"/>
    <cellStyle name="20% - Accent1 8 2 2 3 2 2 2" xfId="44622" xr:uid="{00000000-0005-0000-0000-0000010C0000}"/>
    <cellStyle name="20% - Accent1 8 2 2 3 2 3" xfId="33321" xr:uid="{00000000-0005-0000-0000-0000020C0000}"/>
    <cellStyle name="20% - Accent1 8 2 2 3 3" xfId="16370" xr:uid="{00000000-0005-0000-0000-0000030C0000}"/>
    <cellStyle name="20% - Accent1 8 2 2 3 3 2" xfId="38972" xr:uid="{00000000-0005-0000-0000-0000040C0000}"/>
    <cellStyle name="20% - Accent1 8 2 2 3 4" xfId="27671" xr:uid="{00000000-0005-0000-0000-0000050C0000}"/>
    <cellStyle name="20% - Accent1 8 2 2 4" xfId="7436" xr:uid="{00000000-0005-0000-0000-0000060C0000}"/>
    <cellStyle name="20% - Accent1 8 2 2 4 2" xfId="18737" xr:uid="{00000000-0005-0000-0000-0000070C0000}"/>
    <cellStyle name="20% - Accent1 8 2 2 4 2 2" xfId="41339" xr:uid="{00000000-0005-0000-0000-0000080C0000}"/>
    <cellStyle name="20% - Accent1 8 2 2 4 3" xfId="30038" xr:uid="{00000000-0005-0000-0000-0000090C0000}"/>
    <cellStyle name="20% - Accent1 8 2 2 5" xfId="13087" xr:uid="{00000000-0005-0000-0000-00000A0C0000}"/>
    <cellStyle name="20% - Accent1 8 2 2 5 2" xfId="35689" xr:uid="{00000000-0005-0000-0000-00000B0C0000}"/>
    <cellStyle name="20% - Accent1 8 2 2 6" xfId="24388" xr:uid="{00000000-0005-0000-0000-00000C0C0000}"/>
    <cellStyle name="20% - Accent1 8 2 3" xfId="2660" xr:uid="{00000000-0005-0000-0000-00000D0C0000}"/>
    <cellStyle name="20% - Accent1 8 2 3 2" xfId="5679" xr:uid="{00000000-0005-0000-0000-00000E0C0000}"/>
    <cellStyle name="20% - Accent1 8 2 3 2 2" xfId="11329" xr:uid="{00000000-0005-0000-0000-00000F0C0000}"/>
    <cellStyle name="20% - Accent1 8 2 3 2 2 2" xfId="22630" xr:uid="{00000000-0005-0000-0000-0000100C0000}"/>
    <cellStyle name="20% - Accent1 8 2 3 2 2 2 2" xfId="45232" xr:uid="{00000000-0005-0000-0000-0000110C0000}"/>
    <cellStyle name="20% - Accent1 8 2 3 2 2 3" xfId="33931" xr:uid="{00000000-0005-0000-0000-0000120C0000}"/>
    <cellStyle name="20% - Accent1 8 2 3 2 3" xfId="16980" xr:uid="{00000000-0005-0000-0000-0000130C0000}"/>
    <cellStyle name="20% - Accent1 8 2 3 2 3 2" xfId="39582" xr:uid="{00000000-0005-0000-0000-0000140C0000}"/>
    <cellStyle name="20% - Accent1 8 2 3 2 4" xfId="28281" xr:uid="{00000000-0005-0000-0000-0000150C0000}"/>
    <cellStyle name="20% - Accent1 8 2 3 3" xfId="8496" xr:uid="{00000000-0005-0000-0000-0000160C0000}"/>
    <cellStyle name="20% - Accent1 8 2 3 3 2" xfId="19797" xr:uid="{00000000-0005-0000-0000-0000170C0000}"/>
    <cellStyle name="20% - Accent1 8 2 3 3 2 2" xfId="42399" xr:uid="{00000000-0005-0000-0000-0000180C0000}"/>
    <cellStyle name="20% - Accent1 8 2 3 3 3" xfId="31098" xr:uid="{00000000-0005-0000-0000-0000190C0000}"/>
    <cellStyle name="20% - Accent1 8 2 3 4" xfId="14147" xr:uid="{00000000-0005-0000-0000-00001A0C0000}"/>
    <cellStyle name="20% - Accent1 8 2 3 4 2" xfId="36749" xr:uid="{00000000-0005-0000-0000-00001B0C0000}"/>
    <cellStyle name="20% - Accent1 8 2 3 5" xfId="25448" xr:uid="{00000000-0005-0000-0000-00001C0C0000}"/>
    <cellStyle name="20% - Accent1 8 2 4" xfId="4445" xr:uid="{00000000-0005-0000-0000-00001D0C0000}"/>
    <cellStyle name="20% - Accent1 8 2 4 2" xfId="10095" xr:uid="{00000000-0005-0000-0000-00001E0C0000}"/>
    <cellStyle name="20% - Accent1 8 2 4 2 2" xfId="21396" xr:uid="{00000000-0005-0000-0000-00001F0C0000}"/>
    <cellStyle name="20% - Accent1 8 2 4 2 2 2" xfId="43998" xr:uid="{00000000-0005-0000-0000-0000200C0000}"/>
    <cellStyle name="20% - Accent1 8 2 4 2 3" xfId="32697" xr:uid="{00000000-0005-0000-0000-0000210C0000}"/>
    <cellStyle name="20% - Accent1 8 2 4 3" xfId="15746" xr:uid="{00000000-0005-0000-0000-0000220C0000}"/>
    <cellStyle name="20% - Accent1 8 2 4 3 2" xfId="38348" xr:uid="{00000000-0005-0000-0000-0000230C0000}"/>
    <cellStyle name="20% - Accent1 8 2 4 4" xfId="27047" xr:uid="{00000000-0005-0000-0000-0000240C0000}"/>
    <cellStyle name="20% - Accent1 8 2 5" xfId="7241" xr:uid="{00000000-0005-0000-0000-0000250C0000}"/>
    <cellStyle name="20% - Accent1 8 2 5 2" xfId="18542" xr:uid="{00000000-0005-0000-0000-0000260C0000}"/>
    <cellStyle name="20% - Accent1 8 2 5 2 2" xfId="41144" xr:uid="{00000000-0005-0000-0000-0000270C0000}"/>
    <cellStyle name="20% - Accent1 8 2 5 3" xfId="29843" xr:uid="{00000000-0005-0000-0000-0000280C0000}"/>
    <cellStyle name="20% - Accent1 8 2 6" xfId="12892" xr:uid="{00000000-0005-0000-0000-0000290C0000}"/>
    <cellStyle name="20% - Accent1 8 2 6 2" xfId="35494" xr:uid="{00000000-0005-0000-0000-00002A0C0000}"/>
    <cellStyle name="20% - Accent1 8 2 7" xfId="24193" xr:uid="{00000000-0005-0000-0000-00002B0C0000}"/>
    <cellStyle name="20% - Accent1 8 3" xfId="959" xr:uid="{00000000-0005-0000-0000-00002C0C0000}"/>
    <cellStyle name="20% - Accent1 8 3 2" xfId="3023" xr:uid="{00000000-0005-0000-0000-00002D0C0000}"/>
    <cellStyle name="20% - Accent1 8 3 2 2" xfId="5995" xr:uid="{00000000-0005-0000-0000-00002E0C0000}"/>
    <cellStyle name="20% - Accent1 8 3 2 2 2" xfId="11645" xr:uid="{00000000-0005-0000-0000-00002F0C0000}"/>
    <cellStyle name="20% - Accent1 8 3 2 2 2 2" xfId="22946" xr:uid="{00000000-0005-0000-0000-0000300C0000}"/>
    <cellStyle name="20% - Accent1 8 3 2 2 2 2 2" xfId="45548" xr:uid="{00000000-0005-0000-0000-0000310C0000}"/>
    <cellStyle name="20% - Accent1 8 3 2 2 2 3" xfId="34247" xr:uid="{00000000-0005-0000-0000-0000320C0000}"/>
    <cellStyle name="20% - Accent1 8 3 2 2 3" xfId="17296" xr:uid="{00000000-0005-0000-0000-0000330C0000}"/>
    <cellStyle name="20% - Accent1 8 3 2 2 3 2" xfId="39898" xr:uid="{00000000-0005-0000-0000-0000340C0000}"/>
    <cellStyle name="20% - Accent1 8 3 2 2 4" xfId="28597" xr:uid="{00000000-0005-0000-0000-0000350C0000}"/>
    <cellStyle name="20% - Accent1 8 3 2 3" xfId="8813" xr:uid="{00000000-0005-0000-0000-0000360C0000}"/>
    <cellStyle name="20% - Accent1 8 3 2 3 2" xfId="20114" xr:uid="{00000000-0005-0000-0000-0000370C0000}"/>
    <cellStyle name="20% - Accent1 8 3 2 3 2 2" xfId="42716" xr:uid="{00000000-0005-0000-0000-0000380C0000}"/>
    <cellStyle name="20% - Accent1 8 3 2 3 3" xfId="31415" xr:uid="{00000000-0005-0000-0000-0000390C0000}"/>
    <cellStyle name="20% - Accent1 8 3 2 4" xfId="14464" xr:uid="{00000000-0005-0000-0000-00003A0C0000}"/>
    <cellStyle name="20% - Accent1 8 3 2 4 2" xfId="37066" xr:uid="{00000000-0005-0000-0000-00003B0C0000}"/>
    <cellStyle name="20% - Accent1 8 3 2 5" xfId="25765" xr:uid="{00000000-0005-0000-0000-00003C0C0000}"/>
    <cellStyle name="20% - Accent1 8 3 3" xfId="4761" xr:uid="{00000000-0005-0000-0000-00003D0C0000}"/>
    <cellStyle name="20% - Accent1 8 3 3 2" xfId="10411" xr:uid="{00000000-0005-0000-0000-00003E0C0000}"/>
    <cellStyle name="20% - Accent1 8 3 3 2 2" xfId="21712" xr:uid="{00000000-0005-0000-0000-00003F0C0000}"/>
    <cellStyle name="20% - Accent1 8 3 3 2 2 2" xfId="44314" xr:uid="{00000000-0005-0000-0000-0000400C0000}"/>
    <cellStyle name="20% - Accent1 8 3 3 2 3" xfId="33013" xr:uid="{00000000-0005-0000-0000-0000410C0000}"/>
    <cellStyle name="20% - Accent1 8 3 3 3" xfId="16062" xr:uid="{00000000-0005-0000-0000-0000420C0000}"/>
    <cellStyle name="20% - Accent1 8 3 3 3 2" xfId="38664" xr:uid="{00000000-0005-0000-0000-0000430C0000}"/>
    <cellStyle name="20% - Accent1 8 3 3 4" xfId="27363" xr:uid="{00000000-0005-0000-0000-0000440C0000}"/>
    <cellStyle name="20% - Accent1 8 3 4" xfId="6948" xr:uid="{00000000-0005-0000-0000-0000450C0000}"/>
    <cellStyle name="20% - Accent1 8 3 4 2" xfId="18249" xr:uid="{00000000-0005-0000-0000-0000460C0000}"/>
    <cellStyle name="20% - Accent1 8 3 4 2 2" xfId="40851" xr:uid="{00000000-0005-0000-0000-0000470C0000}"/>
    <cellStyle name="20% - Accent1 8 3 4 3" xfId="29550" xr:uid="{00000000-0005-0000-0000-0000480C0000}"/>
    <cellStyle name="20% - Accent1 8 3 5" xfId="12599" xr:uid="{00000000-0005-0000-0000-0000490C0000}"/>
    <cellStyle name="20% - Accent1 8 3 5 2" xfId="35201" xr:uid="{00000000-0005-0000-0000-00004A0C0000}"/>
    <cellStyle name="20% - Accent1 8 3 6" xfId="23900" xr:uid="{00000000-0005-0000-0000-00004B0C0000}"/>
    <cellStyle name="20% - Accent1 8 4" xfId="1579" xr:uid="{00000000-0005-0000-0000-00004C0C0000}"/>
    <cellStyle name="20% - Accent1 8 4 2" xfId="3508" xr:uid="{00000000-0005-0000-0000-00004D0C0000}"/>
    <cellStyle name="20% - Accent1 8 4 2 2" xfId="9274" xr:uid="{00000000-0005-0000-0000-00004E0C0000}"/>
    <cellStyle name="20% - Accent1 8 4 2 2 2" xfId="20575" xr:uid="{00000000-0005-0000-0000-00004F0C0000}"/>
    <cellStyle name="20% - Accent1 8 4 2 2 2 2" xfId="43177" xr:uid="{00000000-0005-0000-0000-0000500C0000}"/>
    <cellStyle name="20% - Accent1 8 4 2 2 3" xfId="31876" xr:uid="{00000000-0005-0000-0000-0000510C0000}"/>
    <cellStyle name="20% - Accent1 8 4 2 3" xfId="14925" xr:uid="{00000000-0005-0000-0000-0000520C0000}"/>
    <cellStyle name="20% - Accent1 8 4 2 3 2" xfId="37527" xr:uid="{00000000-0005-0000-0000-0000530C0000}"/>
    <cellStyle name="20% - Accent1 8 4 2 4" xfId="26226" xr:uid="{00000000-0005-0000-0000-0000540C0000}"/>
    <cellStyle name="20% - Accent1 8 4 3" xfId="5371" xr:uid="{00000000-0005-0000-0000-0000550C0000}"/>
    <cellStyle name="20% - Accent1 8 4 3 2" xfId="11021" xr:uid="{00000000-0005-0000-0000-0000560C0000}"/>
    <cellStyle name="20% - Accent1 8 4 3 2 2" xfId="22322" xr:uid="{00000000-0005-0000-0000-0000570C0000}"/>
    <cellStyle name="20% - Accent1 8 4 3 2 2 2" xfId="44924" xr:uid="{00000000-0005-0000-0000-0000580C0000}"/>
    <cellStyle name="20% - Accent1 8 4 3 2 3" xfId="33623" xr:uid="{00000000-0005-0000-0000-0000590C0000}"/>
    <cellStyle name="20% - Accent1 8 4 3 3" xfId="16672" xr:uid="{00000000-0005-0000-0000-00005A0C0000}"/>
    <cellStyle name="20% - Accent1 8 4 3 3 2" xfId="39274" xr:uid="{00000000-0005-0000-0000-00005B0C0000}"/>
    <cellStyle name="20% - Accent1 8 4 3 4" xfId="27973" xr:uid="{00000000-0005-0000-0000-00005C0C0000}"/>
    <cellStyle name="20% - Accent1 8 4 4" xfId="7435" xr:uid="{00000000-0005-0000-0000-00005D0C0000}"/>
    <cellStyle name="20% - Accent1 8 4 4 2" xfId="18736" xr:uid="{00000000-0005-0000-0000-00005E0C0000}"/>
    <cellStyle name="20% - Accent1 8 4 4 2 2" xfId="41338" xr:uid="{00000000-0005-0000-0000-00005F0C0000}"/>
    <cellStyle name="20% - Accent1 8 4 4 3" xfId="30037" xr:uid="{00000000-0005-0000-0000-0000600C0000}"/>
    <cellStyle name="20% - Accent1 8 4 5" xfId="13086" xr:uid="{00000000-0005-0000-0000-0000610C0000}"/>
    <cellStyle name="20% - Accent1 8 4 5 2" xfId="35688" xr:uid="{00000000-0005-0000-0000-0000620C0000}"/>
    <cellStyle name="20% - Accent1 8 4 6" xfId="24387" xr:uid="{00000000-0005-0000-0000-0000630C0000}"/>
    <cellStyle name="20% - Accent1 8 5" xfId="2352" xr:uid="{00000000-0005-0000-0000-0000640C0000}"/>
    <cellStyle name="20% - Accent1 8 5 2" xfId="8188" xr:uid="{00000000-0005-0000-0000-0000650C0000}"/>
    <cellStyle name="20% - Accent1 8 5 2 2" xfId="19489" xr:uid="{00000000-0005-0000-0000-0000660C0000}"/>
    <cellStyle name="20% - Accent1 8 5 2 2 2" xfId="42091" xr:uid="{00000000-0005-0000-0000-0000670C0000}"/>
    <cellStyle name="20% - Accent1 8 5 2 3" xfId="30790" xr:uid="{00000000-0005-0000-0000-0000680C0000}"/>
    <cellStyle name="20% - Accent1 8 5 3" xfId="13839" xr:uid="{00000000-0005-0000-0000-0000690C0000}"/>
    <cellStyle name="20% - Accent1 8 5 3 2" xfId="36441" xr:uid="{00000000-0005-0000-0000-00006A0C0000}"/>
    <cellStyle name="20% - Accent1 8 5 4" xfId="25140" xr:uid="{00000000-0005-0000-0000-00006B0C0000}"/>
    <cellStyle name="20% - Accent1 8 6" xfId="4137" xr:uid="{00000000-0005-0000-0000-00006C0C0000}"/>
    <cellStyle name="20% - Accent1 8 6 2" xfId="9787" xr:uid="{00000000-0005-0000-0000-00006D0C0000}"/>
    <cellStyle name="20% - Accent1 8 6 2 2" xfId="21088" xr:uid="{00000000-0005-0000-0000-00006E0C0000}"/>
    <cellStyle name="20% - Accent1 8 6 2 2 2" xfId="43690" xr:uid="{00000000-0005-0000-0000-00006F0C0000}"/>
    <cellStyle name="20% - Accent1 8 6 2 3" xfId="32389" xr:uid="{00000000-0005-0000-0000-0000700C0000}"/>
    <cellStyle name="20% - Accent1 8 6 3" xfId="15438" xr:uid="{00000000-0005-0000-0000-0000710C0000}"/>
    <cellStyle name="20% - Accent1 8 6 3 2" xfId="38040" xr:uid="{00000000-0005-0000-0000-0000720C0000}"/>
    <cellStyle name="20% - Accent1 8 6 4" xfId="26739" xr:uid="{00000000-0005-0000-0000-0000730C0000}"/>
    <cellStyle name="20% - Accent1 8 7" xfId="6588" xr:uid="{00000000-0005-0000-0000-0000740C0000}"/>
    <cellStyle name="20% - Accent1 8 7 2" xfId="17889" xr:uid="{00000000-0005-0000-0000-0000750C0000}"/>
    <cellStyle name="20% - Accent1 8 7 2 2" xfId="40491" xr:uid="{00000000-0005-0000-0000-0000760C0000}"/>
    <cellStyle name="20% - Accent1 8 7 3" xfId="29190" xr:uid="{00000000-0005-0000-0000-0000770C0000}"/>
    <cellStyle name="20% - Accent1 8 8" xfId="12239" xr:uid="{00000000-0005-0000-0000-0000780C0000}"/>
    <cellStyle name="20% - Accent1 8 8 2" xfId="34841" xr:uid="{00000000-0005-0000-0000-0000790C0000}"/>
    <cellStyle name="20% - Accent1 8 9" xfId="23540" xr:uid="{00000000-0005-0000-0000-00007A0C0000}"/>
    <cellStyle name="20% - Accent1 9" xfId="693" xr:uid="{00000000-0005-0000-0000-00007B0C0000}"/>
    <cellStyle name="20% - Accent1 9 2" xfId="748" xr:uid="{00000000-0005-0000-0000-00007C0C0000}"/>
    <cellStyle name="20% - Accent1 9 2 2" xfId="3163" xr:uid="{00000000-0005-0000-0000-00007D0C0000}"/>
    <cellStyle name="20% - Accent1 9 2 2 2" xfId="6135" xr:uid="{00000000-0005-0000-0000-00007E0C0000}"/>
    <cellStyle name="20% - Accent1 9 2 2 2 2" xfId="11785" xr:uid="{00000000-0005-0000-0000-00007F0C0000}"/>
    <cellStyle name="20% - Accent1 9 2 2 2 2 2" xfId="23086" xr:uid="{00000000-0005-0000-0000-0000800C0000}"/>
    <cellStyle name="20% - Accent1 9 2 2 2 2 2 2" xfId="45688" xr:uid="{00000000-0005-0000-0000-0000810C0000}"/>
    <cellStyle name="20% - Accent1 9 2 2 2 2 3" xfId="34387" xr:uid="{00000000-0005-0000-0000-0000820C0000}"/>
    <cellStyle name="20% - Accent1 9 2 2 2 3" xfId="17436" xr:uid="{00000000-0005-0000-0000-0000830C0000}"/>
    <cellStyle name="20% - Accent1 9 2 2 2 3 2" xfId="40038" xr:uid="{00000000-0005-0000-0000-0000840C0000}"/>
    <cellStyle name="20% - Accent1 9 2 2 2 4" xfId="28737" xr:uid="{00000000-0005-0000-0000-0000850C0000}"/>
    <cellStyle name="20% - Accent1 9 2 2 3" xfId="8953" xr:uid="{00000000-0005-0000-0000-0000860C0000}"/>
    <cellStyle name="20% - Accent1 9 2 2 3 2" xfId="20254" xr:uid="{00000000-0005-0000-0000-0000870C0000}"/>
    <cellStyle name="20% - Accent1 9 2 2 3 2 2" xfId="42856" xr:uid="{00000000-0005-0000-0000-0000880C0000}"/>
    <cellStyle name="20% - Accent1 9 2 2 3 3" xfId="31555" xr:uid="{00000000-0005-0000-0000-0000890C0000}"/>
    <cellStyle name="20% - Accent1 9 2 2 4" xfId="14604" xr:uid="{00000000-0005-0000-0000-00008A0C0000}"/>
    <cellStyle name="20% - Accent1 9 2 2 4 2" xfId="37206" xr:uid="{00000000-0005-0000-0000-00008B0C0000}"/>
    <cellStyle name="20% - Accent1 9 2 2 5" xfId="25905" xr:uid="{00000000-0005-0000-0000-00008C0C0000}"/>
    <cellStyle name="20% - Accent1 9 2 3" xfId="4901" xr:uid="{00000000-0005-0000-0000-00008D0C0000}"/>
    <cellStyle name="20% - Accent1 9 2 3 2" xfId="10551" xr:uid="{00000000-0005-0000-0000-00008E0C0000}"/>
    <cellStyle name="20% - Accent1 9 2 3 2 2" xfId="21852" xr:uid="{00000000-0005-0000-0000-00008F0C0000}"/>
    <cellStyle name="20% - Accent1 9 2 3 2 2 2" xfId="44454" xr:uid="{00000000-0005-0000-0000-0000900C0000}"/>
    <cellStyle name="20% - Accent1 9 2 3 2 3" xfId="33153" xr:uid="{00000000-0005-0000-0000-0000910C0000}"/>
    <cellStyle name="20% - Accent1 9 2 3 3" xfId="16202" xr:uid="{00000000-0005-0000-0000-0000920C0000}"/>
    <cellStyle name="20% - Accent1 9 2 3 3 2" xfId="38804" xr:uid="{00000000-0005-0000-0000-0000930C0000}"/>
    <cellStyle name="20% - Accent1 9 2 3 4" xfId="27503" xr:uid="{00000000-0005-0000-0000-0000940C0000}"/>
    <cellStyle name="20% - Accent1 9 2 4" xfId="6777" xr:uid="{00000000-0005-0000-0000-0000950C0000}"/>
    <cellStyle name="20% - Accent1 9 2 4 2" xfId="18078" xr:uid="{00000000-0005-0000-0000-0000960C0000}"/>
    <cellStyle name="20% - Accent1 9 2 4 2 2" xfId="40680" xr:uid="{00000000-0005-0000-0000-0000970C0000}"/>
    <cellStyle name="20% - Accent1 9 2 4 3" xfId="29379" xr:uid="{00000000-0005-0000-0000-0000980C0000}"/>
    <cellStyle name="20% - Accent1 9 2 5" xfId="12428" xr:uid="{00000000-0005-0000-0000-0000990C0000}"/>
    <cellStyle name="20% - Accent1 9 2 5 2" xfId="35030" xr:uid="{00000000-0005-0000-0000-00009A0C0000}"/>
    <cellStyle name="20% - Accent1 9 2 6" xfId="23729" xr:uid="{00000000-0005-0000-0000-00009B0C0000}"/>
    <cellStyle name="20% - Accent1 9 3" xfId="1581" xr:uid="{00000000-0005-0000-0000-00009C0C0000}"/>
    <cellStyle name="20% - Accent1 9 3 2" xfId="3484" xr:uid="{00000000-0005-0000-0000-00009D0C0000}"/>
    <cellStyle name="20% - Accent1 9 3 2 2" xfId="9267" xr:uid="{00000000-0005-0000-0000-00009E0C0000}"/>
    <cellStyle name="20% - Accent1 9 3 2 2 2" xfId="20568" xr:uid="{00000000-0005-0000-0000-00009F0C0000}"/>
    <cellStyle name="20% - Accent1 9 3 2 2 2 2" xfId="43170" xr:uid="{00000000-0005-0000-0000-0000A00C0000}"/>
    <cellStyle name="20% - Accent1 9 3 2 2 3" xfId="31869" xr:uid="{00000000-0005-0000-0000-0000A10C0000}"/>
    <cellStyle name="20% - Accent1 9 3 2 3" xfId="14918" xr:uid="{00000000-0005-0000-0000-0000A20C0000}"/>
    <cellStyle name="20% - Accent1 9 3 2 3 2" xfId="37520" xr:uid="{00000000-0005-0000-0000-0000A30C0000}"/>
    <cellStyle name="20% - Accent1 9 3 2 4" xfId="26219" xr:uid="{00000000-0005-0000-0000-0000A40C0000}"/>
    <cellStyle name="20% - Accent1 9 3 3" xfId="5511" xr:uid="{00000000-0005-0000-0000-0000A50C0000}"/>
    <cellStyle name="20% - Accent1 9 3 3 2" xfId="11161" xr:uid="{00000000-0005-0000-0000-0000A60C0000}"/>
    <cellStyle name="20% - Accent1 9 3 3 2 2" xfId="22462" xr:uid="{00000000-0005-0000-0000-0000A70C0000}"/>
    <cellStyle name="20% - Accent1 9 3 3 2 2 2" xfId="45064" xr:uid="{00000000-0005-0000-0000-0000A80C0000}"/>
    <cellStyle name="20% - Accent1 9 3 3 2 3" xfId="33763" xr:uid="{00000000-0005-0000-0000-0000A90C0000}"/>
    <cellStyle name="20% - Accent1 9 3 3 3" xfId="16812" xr:uid="{00000000-0005-0000-0000-0000AA0C0000}"/>
    <cellStyle name="20% - Accent1 9 3 3 3 2" xfId="39414" xr:uid="{00000000-0005-0000-0000-0000AB0C0000}"/>
    <cellStyle name="20% - Accent1 9 3 3 4" xfId="28113" xr:uid="{00000000-0005-0000-0000-0000AC0C0000}"/>
    <cellStyle name="20% - Accent1 9 3 4" xfId="7437" xr:uid="{00000000-0005-0000-0000-0000AD0C0000}"/>
    <cellStyle name="20% - Accent1 9 3 4 2" xfId="18738" xr:uid="{00000000-0005-0000-0000-0000AE0C0000}"/>
    <cellStyle name="20% - Accent1 9 3 4 2 2" xfId="41340" xr:uid="{00000000-0005-0000-0000-0000AF0C0000}"/>
    <cellStyle name="20% - Accent1 9 3 4 3" xfId="30039" xr:uid="{00000000-0005-0000-0000-0000B00C0000}"/>
    <cellStyle name="20% - Accent1 9 3 5" xfId="13088" xr:uid="{00000000-0005-0000-0000-0000B10C0000}"/>
    <cellStyle name="20% - Accent1 9 3 5 2" xfId="35690" xr:uid="{00000000-0005-0000-0000-0000B20C0000}"/>
    <cellStyle name="20% - Accent1 9 3 6" xfId="24389" xr:uid="{00000000-0005-0000-0000-0000B30C0000}"/>
    <cellStyle name="20% - Accent1 9 4" xfId="2492" xr:uid="{00000000-0005-0000-0000-0000B40C0000}"/>
    <cellStyle name="20% - Accent1 9 4 2" xfId="8328" xr:uid="{00000000-0005-0000-0000-0000B50C0000}"/>
    <cellStyle name="20% - Accent1 9 4 2 2" xfId="19629" xr:uid="{00000000-0005-0000-0000-0000B60C0000}"/>
    <cellStyle name="20% - Accent1 9 4 2 2 2" xfId="42231" xr:uid="{00000000-0005-0000-0000-0000B70C0000}"/>
    <cellStyle name="20% - Accent1 9 4 2 3" xfId="30930" xr:uid="{00000000-0005-0000-0000-0000B80C0000}"/>
    <cellStyle name="20% - Accent1 9 4 3" xfId="13979" xr:uid="{00000000-0005-0000-0000-0000B90C0000}"/>
    <cellStyle name="20% - Accent1 9 4 3 2" xfId="36581" xr:uid="{00000000-0005-0000-0000-0000BA0C0000}"/>
    <cellStyle name="20% - Accent1 9 4 4" xfId="25280" xr:uid="{00000000-0005-0000-0000-0000BB0C0000}"/>
    <cellStyle name="20% - Accent1 9 5" xfId="4277" xr:uid="{00000000-0005-0000-0000-0000BC0C0000}"/>
    <cellStyle name="20% - Accent1 9 5 2" xfId="9927" xr:uid="{00000000-0005-0000-0000-0000BD0C0000}"/>
    <cellStyle name="20% - Accent1 9 5 2 2" xfId="21228" xr:uid="{00000000-0005-0000-0000-0000BE0C0000}"/>
    <cellStyle name="20% - Accent1 9 5 2 2 2" xfId="43830" xr:uid="{00000000-0005-0000-0000-0000BF0C0000}"/>
    <cellStyle name="20% - Accent1 9 5 2 3" xfId="32529" xr:uid="{00000000-0005-0000-0000-0000C00C0000}"/>
    <cellStyle name="20% - Accent1 9 5 3" xfId="15578" xr:uid="{00000000-0005-0000-0000-0000C10C0000}"/>
    <cellStyle name="20% - Accent1 9 5 3 2" xfId="38180" xr:uid="{00000000-0005-0000-0000-0000C20C0000}"/>
    <cellStyle name="20% - Accent1 9 5 4" xfId="26879" xr:uid="{00000000-0005-0000-0000-0000C30C0000}"/>
    <cellStyle name="20% - Accent1 9 6" xfId="6756" xr:uid="{00000000-0005-0000-0000-0000C40C0000}"/>
    <cellStyle name="20% - Accent1 9 6 2" xfId="18057" xr:uid="{00000000-0005-0000-0000-0000C50C0000}"/>
    <cellStyle name="20% - Accent1 9 6 2 2" xfId="40659" xr:uid="{00000000-0005-0000-0000-0000C60C0000}"/>
    <cellStyle name="20% - Accent1 9 6 3" xfId="29358" xr:uid="{00000000-0005-0000-0000-0000C70C0000}"/>
    <cellStyle name="20% - Accent1 9 7" xfId="12407" xr:uid="{00000000-0005-0000-0000-0000C80C0000}"/>
    <cellStyle name="20% - Accent1 9 7 2" xfId="35009" xr:uid="{00000000-0005-0000-0000-0000C90C0000}"/>
    <cellStyle name="20% - Accent1 9 8" xfId="23708" xr:uid="{00000000-0005-0000-0000-0000CA0C0000}"/>
    <cellStyle name="20% - Accent2" xfId="23" builtinId="34" customBuiltin="1"/>
    <cellStyle name="20% - Accent2 10" xfId="795" xr:uid="{00000000-0005-0000-0000-0000CC0C0000}"/>
    <cellStyle name="20% - Accent2 10 2" xfId="1582" xr:uid="{00000000-0005-0000-0000-0000CD0C0000}"/>
    <cellStyle name="20% - Accent2 10 2 2" xfId="3202" xr:uid="{00000000-0005-0000-0000-0000CE0C0000}"/>
    <cellStyle name="20% - Accent2 10 2 2 2" xfId="6174" xr:uid="{00000000-0005-0000-0000-0000CF0C0000}"/>
    <cellStyle name="20% - Accent2 10 2 2 2 2" xfId="11824" xr:uid="{00000000-0005-0000-0000-0000D00C0000}"/>
    <cellStyle name="20% - Accent2 10 2 2 2 2 2" xfId="23125" xr:uid="{00000000-0005-0000-0000-0000D10C0000}"/>
    <cellStyle name="20% - Accent2 10 2 2 2 2 2 2" xfId="45727" xr:uid="{00000000-0005-0000-0000-0000D20C0000}"/>
    <cellStyle name="20% - Accent2 10 2 2 2 2 3" xfId="34426" xr:uid="{00000000-0005-0000-0000-0000D30C0000}"/>
    <cellStyle name="20% - Accent2 10 2 2 2 3" xfId="17475" xr:uid="{00000000-0005-0000-0000-0000D40C0000}"/>
    <cellStyle name="20% - Accent2 10 2 2 2 3 2" xfId="40077" xr:uid="{00000000-0005-0000-0000-0000D50C0000}"/>
    <cellStyle name="20% - Accent2 10 2 2 2 4" xfId="28776" xr:uid="{00000000-0005-0000-0000-0000D60C0000}"/>
    <cellStyle name="20% - Accent2 10 2 2 3" xfId="8992" xr:uid="{00000000-0005-0000-0000-0000D70C0000}"/>
    <cellStyle name="20% - Accent2 10 2 2 3 2" xfId="20293" xr:uid="{00000000-0005-0000-0000-0000D80C0000}"/>
    <cellStyle name="20% - Accent2 10 2 2 3 2 2" xfId="42895" xr:uid="{00000000-0005-0000-0000-0000D90C0000}"/>
    <cellStyle name="20% - Accent2 10 2 2 3 3" xfId="31594" xr:uid="{00000000-0005-0000-0000-0000DA0C0000}"/>
    <cellStyle name="20% - Accent2 10 2 2 4" xfId="14643" xr:uid="{00000000-0005-0000-0000-0000DB0C0000}"/>
    <cellStyle name="20% - Accent2 10 2 2 4 2" xfId="37245" xr:uid="{00000000-0005-0000-0000-0000DC0C0000}"/>
    <cellStyle name="20% - Accent2 10 2 2 5" xfId="25944" xr:uid="{00000000-0005-0000-0000-0000DD0C0000}"/>
    <cellStyle name="20% - Accent2 10 2 3" xfId="4940" xr:uid="{00000000-0005-0000-0000-0000DE0C0000}"/>
    <cellStyle name="20% - Accent2 10 2 3 2" xfId="10590" xr:uid="{00000000-0005-0000-0000-0000DF0C0000}"/>
    <cellStyle name="20% - Accent2 10 2 3 2 2" xfId="21891" xr:uid="{00000000-0005-0000-0000-0000E00C0000}"/>
    <cellStyle name="20% - Accent2 10 2 3 2 2 2" xfId="44493" xr:uid="{00000000-0005-0000-0000-0000E10C0000}"/>
    <cellStyle name="20% - Accent2 10 2 3 2 3" xfId="33192" xr:uid="{00000000-0005-0000-0000-0000E20C0000}"/>
    <cellStyle name="20% - Accent2 10 2 3 3" xfId="16241" xr:uid="{00000000-0005-0000-0000-0000E30C0000}"/>
    <cellStyle name="20% - Accent2 10 2 3 3 2" xfId="38843" xr:uid="{00000000-0005-0000-0000-0000E40C0000}"/>
    <cellStyle name="20% - Accent2 10 2 3 4" xfId="27542" xr:uid="{00000000-0005-0000-0000-0000E50C0000}"/>
    <cellStyle name="20% - Accent2 10 2 4" xfId="7438" xr:uid="{00000000-0005-0000-0000-0000E60C0000}"/>
    <cellStyle name="20% - Accent2 10 2 4 2" xfId="18739" xr:uid="{00000000-0005-0000-0000-0000E70C0000}"/>
    <cellStyle name="20% - Accent2 10 2 4 2 2" xfId="41341" xr:uid="{00000000-0005-0000-0000-0000E80C0000}"/>
    <cellStyle name="20% - Accent2 10 2 4 3" xfId="30040" xr:uid="{00000000-0005-0000-0000-0000E90C0000}"/>
    <cellStyle name="20% - Accent2 10 2 5" xfId="13089" xr:uid="{00000000-0005-0000-0000-0000EA0C0000}"/>
    <cellStyle name="20% - Accent2 10 2 5 2" xfId="35691" xr:uid="{00000000-0005-0000-0000-0000EB0C0000}"/>
    <cellStyle name="20% - Accent2 10 2 6" xfId="24390" xr:uid="{00000000-0005-0000-0000-0000EC0C0000}"/>
    <cellStyle name="20% - Accent2 10 3" xfId="2531" xr:uid="{00000000-0005-0000-0000-0000ED0C0000}"/>
    <cellStyle name="20% - Accent2 10 3 2" xfId="5550" xr:uid="{00000000-0005-0000-0000-0000EE0C0000}"/>
    <cellStyle name="20% - Accent2 10 3 2 2" xfId="11200" xr:uid="{00000000-0005-0000-0000-0000EF0C0000}"/>
    <cellStyle name="20% - Accent2 10 3 2 2 2" xfId="22501" xr:uid="{00000000-0005-0000-0000-0000F00C0000}"/>
    <cellStyle name="20% - Accent2 10 3 2 2 2 2" xfId="45103" xr:uid="{00000000-0005-0000-0000-0000F10C0000}"/>
    <cellStyle name="20% - Accent2 10 3 2 2 3" xfId="33802" xr:uid="{00000000-0005-0000-0000-0000F20C0000}"/>
    <cellStyle name="20% - Accent2 10 3 2 3" xfId="16851" xr:uid="{00000000-0005-0000-0000-0000F30C0000}"/>
    <cellStyle name="20% - Accent2 10 3 2 3 2" xfId="39453" xr:uid="{00000000-0005-0000-0000-0000F40C0000}"/>
    <cellStyle name="20% - Accent2 10 3 2 4" xfId="28152" xr:uid="{00000000-0005-0000-0000-0000F50C0000}"/>
    <cellStyle name="20% - Accent2 10 3 3" xfId="8367" xr:uid="{00000000-0005-0000-0000-0000F60C0000}"/>
    <cellStyle name="20% - Accent2 10 3 3 2" xfId="19668" xr:uid="{00000000-0005-0000-0000-0000F70C0000}"/>
    <cellStyle name="20% - Accent2 10 3 3 2 2" xfId="42270" xr:uid="{00000000-0005-0000-0000-0000F80C0000}"/>
    <cellStyle name="20% - Accent2 10 3 3 3" xfId="30969" xr:uid="{00000000-0005-0000-0000-0000F90C0000}"/>
    <cellStyle name="20% - Accent2 10 3 4" xfId="14018" xr:uid="{00000000-0005-0000-0000-0000FA0C0000}"/>
    <cellStyle name="20% - Accent2 10 3 4 2" xfId="36620" xr:uid="{00000000-0005-0000-0000-0000FB0C0000}"/>
    <cellStyle name="20% - Accent2 10 3 5" xfId="25319" xr:uid="{00000000-0005-0000-0000-0000FC0C0000}"/>
    <cellStyle name="20% - Accent2 10 4" xfId="4316" xr:uid="{00000000-0005-0000-0000-0000FD0C0000}"/>
    <cellStyle name="20% - Accent2 10 4 2" xfId="9966" xr:uid="{00000000-0005-0000-0000-0000FE0C0000}"/>
    <cellStyle name="20% - Accent2 10 4 2 2" xfId="21267" xr:uid="{00000000-0005-0000-0000-0000FF0C0000}"/>
    <cellStyle name="20% - Accent2 10 4 2 2 2" xfId="43869" xr:uid="{00000000-0005-0000-0000-0000000D0000}"/>
    <cellStyle name="20% - Accent2 10 4 2 3" xfId="32568" xr:uid="{00000000-0005-0000-0000-0000010D0000}"/>
    <cellStyle name="20% - Accent2 10 4 3" xfId="15617" xr:uid="{00000000-0005-0000-0000-0000020D0000}"/>
    <cellStyle name="20% - Accent2 10 4 3 2" xfId="38219" xr:uid="{00000000-0005-0000-0000-0000030D0000}"/>
    <cellStyle name="20% - Accent2 10 4 4" xfId="26918" xr:uid="{00000000-0005-0000-0000-0000040D0000}"/>
    <cellStyle name="20% - Accent2 10 5" xfId="6806" xr:uid="{00000000-0005-0000-0000-0000050D0000}"/>
    <cellStyle name="20% - Accent2 10 5 2" xfId="18107" xr:uid="{00000000-0005-0000-0000-0000060D0000}"/>
    <cellStyle name="20% - Accent2 10 5 2 2" xfId="40709" xr:uid="{00000000-0005-0000-0000-0000070D0000}"/>
    <cellStyle name="20% - Accent2 10 5 3" xfId="29408" xr:uid="{00000000-0005-0000-0000-0000080D0000}"/>
    <cellStyle name="20% - Accent2 10 6" xfId="12457" xr:uid="{00000000-0005-0000-0000-0000090D0000}"/>
    <cellStyle name="20% - Accent2 10 6 2" xfId="35059" xr:uid="{00000000-0005-0000-0000-00000A0D0000}"/>
    <cellStyle name="20% - Accent2 10 7" xfId="23758" xr:uid="{00000000-0005-0000-0000-00000B0D0000}"/>
    <cellStyle name="20% - Accent2 11" xfId="1428" xr:uid="{00000000-0005-0000-0000-00000C0D0000}"/>
    <cellStyle name="20% - Accent2 11 2" xfId="1583" xr:uid="{00000000-0005-0000-0000-00000D0D0000}"/>
    <cellStyle name="20% - Accent2 11 2 2" xfId="3566" xr:uid="{00000000-0005-0000-0000-00000E0D0000}"/>
    <cellStyle name="20% - Accent2 11 2 2 2" xfId="9298" xr:uid="{00000000-0005-0000-0000-00000F0D0000}"/>
    <cellStyle name="20% - Accent2 11 2 2 2 2" xfId="20599" xr:uid="{00000000-0005-0000-0000-0000100D0000}"/>
    <cellStyle name="20% - Accent2 11 2 2 2 2 2" xfId="43201" xr:uid="{00000000-0005-0000-0000-0000110D0000}"/>
    <cellStyle name="20% - Accent2 11 2 2 2 3" xfId="31900" xr:uid="{00000000-0005-0000-0000-0000120D0000}"/>
    <cellStyle name="20% - Accent2 11 2 2 3" xfId="14949" xr:uid="{00000000-0005-0000-0000-0000130D0000}"/>
    <cellStyle name="20% - Accent2 11 2 2 3 2" xfId="37551" xr:uid="{00000000-0005-0000-0000-0000140D0000}"/>
    <cellStyle name="20% - Accent2 11 2 2 4" xfId="26250" xr:uid="{00000000-0005-0000-0000-0000150D0000}"/>
    <cellStyle name="20% - Accent2 11 2 3" xfId="7439" xr:uid="{00000000-0005-0000-0000-0000160D0000}"/>
    <cellStyle name="20% - Accent2 11 2 3 2" xfId="18740" xr:uid="{00000000-0005-0000-0000-0000170D0000}"/>
    <cellStyle name="20% - Accent2 11 2 3 2 2" xfId="41342" xr:uid="{00000000-0005-0000-0000-0000180D0000}"/>
    <cellStyle name="20% - Accent2 11 2 3 3" xfId="30041" xr:uid="{00000000-0005-0000-0000-0000190D0000}"/>
    <cellStyle name="20% - Accent2 11 2 4" xfId="13090" xr:uid="{00000000-0005-0000-0000-00001A0D0000}"/>
    <cellStyle name="20% - Accent2 11 2 4 2" xfId="35692" xr:uid="{00000000-0005-0000-0000-00001B0D0000}"/>
    <cellStyle name="20% - Accent2 11 2 5" xfId="24391" xr:uid="{00000000-0005-0000-0000-00001C0D0000}"/>
    <cellStyle name="20% - Accent2 11 3" xfId="2175" xr:uid="{00000000-0005-0000-0000-00001D0D0000}"/>
    <cellStyle name="20% - Accent2 11 3 2" xfId="8019" xr:uid="{00000000-0005-0000-0000-00001E0D0000}"/>
    <cellStyle name="20% - Accent2 11 3 2 2" xfId="19320" xr:uid="{00000000-0005-0000-0000-00001F0D0000}"/>
    <cellStyle name="20% - Accent2 11 3 2 2 2" xfId="41922" xr:uid="{00000000-0005-0000-0000-0000200D0000}"/>
    <cellStyle name="20% - Accent2 11 3 2 3" xfId="30621" xr:uid="{00000000-0005-0000-0000-0000210D0000}"/>
    <cellStyle name="20% - Accent2 11 3 3" xfId="13670" xr:uid="{00000000-0005-0000-0000-0000220D0000}"/>
    <cellStyle name="20% - Accent2 11 3 3 2" xfId="36272" xr:uid="{00000000-0005-0000-0000-0000230D0000}"/>
    <cellStyle name="20% - Accent2 11 3 4" xfId="24971" xr:uid="{00000000-0005-0000-0000-0000240D0000}"/>
    <cellStyle name="20% - Accent2 11 4" xfId="3972" xr:uid="{00000000-0005-0000-0000-0000250D0000}"/>
    <cellStyle name="20% - Accent2 11 4 2" xfId="9622" xr:uid="{00000000-0005-0000-0000-0000260D0000}"/>
    <cellStyle name="20% - Accent2 11 4 2 2" xfId="20923" xr:uid="{00000000-0005-0000-0000-0000270D0000}"/>
    <cellStyle name="20% - Accent2 11 4 2 2 2" xfId="43525" xr:uid="{00000000-0005-0000-0000-0000280D0000}"/>
    <cellStyle name="20% - Accent2 11 4 2 3" xfId="32224" xr:uid="{00000000-0005-0000-0000-0000290D0000}"/>
    <cellStyle name="20% - Accent2 11 4 3" xfId="15273" xr:uid="{00000000-0005-0000-0000-00002A0D0000}"/>
    <cellStyle name="20% - Accent2 11 4 3 2" xfId="37875" xr:uid="{00000000-0005-0000-0000-00002B0D0000}"/>
    <cellStyle name="20% - Accent2 11 4 4" xfId="26574" xr:uid="{00000000-0005-0000-0000-00002C0D0000}"/>
    <cellStyle name="20% - Accent2 11 5" xfId="7380" xr:uid="{00000000-0005-0000-0000-00002D0D0000}"/>
    <cellStyle name="20% - Accent2 11 5 2" xfId="18681" xr:uid="{00000000-0005-0000-0000-00002E0D0000}"/>
    <cellStyle name="20% - Accent2 11 5 2 2" xfId="41283" xr:uid="{00000000-0005-0000-0000-00002F0D0000}"/>
    <cellStyle name="20% - Accent2 11 5 3" xfId="29982" xr:uid="{00000000-0005-0000-0000-0000300D0000}"/>
    <cellStyle name="20% - Accent2 11 6" xfId="13031" xr:uid="{00000000-0005-0000-0000-0000310D0000}"/>
    <cellStyle name="20% - Accent2 11 6 2" xfId="35633" xr:uid="{00000000-0005-0000-0000-0000320D0000}"/>
    <cellStyle name="20% - Accent2 11 7" xfId="24332" xr:uid="{00000000-0005-0000-0000-0000330D0000}"/>
    <cellStyle name="20% - Accent2 12" xfId="1526" xr:uid="{00000000-0005-0000-0000-0000340D0000}"/>
    <cellStyle name="20% - Accent2 12 2" xfId="3897" xr:uid="{00000000-0005-0000-0000-0000350D0000}"/>
    <cellStyle name="20% - Accent2 12 2 2" xfId="9597" xr:uid="{00000000-0005-0000-0000-0000360D0000}"/>
    <cellStyle name="20% - Accent2 12 2 2 2" xfId="20898" xr:uid="{00000000-0005-0000-0000-0000370D0000}"/>
    <cellStyle name="20% - Accent2 12 2 2 2 2" xfId="43500" xr:uid="{00000000-0005-0000-0000-0000380D0000}"/>
    <cellStyle name="20% - Accent2 12 2 2 3" xfId="32199" xr:uid="{00000000-0005-0000-0000-0000390D0000}"/>
    <cellStyle name="20% - Accent2 12 2 3" xfId="15248" xr:uid="{00000000-0005-0000-0000-00003A0D0000}"/>
    <cellStyle name="20% - Accent2 12 2 3 2" xfId="37850" xr:uid="{00000000-0005-0000-0000-00003B0D0000}"/>
    <cellStyle name="20% - Accent2 12 2 4" xfId="26549" xr:uid="{00000000-0005-0000-0000-00003C0D0000}"/>
    <cellStyle name="20% - Accent2 13" xfId="2205" xr:uid="{00000000-0005-0000-0000-00003D0D0000}"/>
    <cellStyle name="20% - Accent2 14" xfId="104" xr:uid="{00000000-0005-0000-0000-00003E0D0000}"/>
    <cellStyle name="20% - Accent2 2" xfId="48" xr:uid="{00000000-0005-0000-0000-00003F0D0000}"/>
    <cellStyle name="20% - Accent2 2 2" xfId="381" xr:uid="{00000000-0005-0000-0000-0000400D0000}"/>
    <cellStyle name="20% - Accent2 2 2 10" xfId="23482" xr:uid="{00000000-0005-0000-0000-0000410D0000}"/>
    <cellStyle name="20% - Accent2 2 2 2" xfId="632" xr:uid="{00000000-0005-0000-0000-0000420D0000}"/>
    <cellStyle name="20% - Accent2 2 2 2 2" xfId="1342" xr:uid="{00000000-0005-0000-0000-0000430D0000}"/>
    <cellStyle name="20% - Accent2 2 2 2 2 2" xfId="1586" xr:uid="{00000000-0005-0000-0000-0000440D0000}"/>
    <cellStyle name="20% - Accent2 2 2 2 2 2 2" xfId="3411" xr:uid="{00000000-0005-0000-0000-0000450D0000}"/>
    <cellStyle name="20% - Accent2 2 2 2 2 2 2 2" xfId="6383" xr:uid="{00000000-0005-0000-0000-0000460D0000}"/>
    <cellStyle name="20% - Accent2 2 2 2 2 2 2 2 2" xfId="12033" xr:uid="{00000000-0005-0000-0000-0000470D0000}"/>
    <cellStyle name="20% - Accent2 2 2 2 2 2 2 2 2 2" xfId="23334" xr:uid="{00000000-0005-0000-0000-0000480D0000}"/>
    <cellStyle name="20% - Accent2 2 2 2 2 2 2 2 2 2 2" xfId="45936" xr:uid="{00000000-0005-0000-0000-0000490D0000}"/>
    <cellStyle name="20% - Accent2 2 2 2 2 2 2 2 2 3" xfId="34635" xr:uid="{00000000-0005-0000-0000-00004A0D0000}"/>
    <cellStyle name="20% - Accent2 2 2 2 2 2 2 2 3" xfId="17684" xr:uid="{00000000-0005-0000-0000-00004B0D0000}"/>
    <cellStyle name="20% - Accent2 2 2 2 2 2 2 2 3 2" xfId="40286" xr:uid="{00000000-0005-0000-0000-00004C0D0000}"/>
    <cellStyle name="20% - Accent2 2 2 2 2 2 2 2 4" xfId="28985" xr:uid="{00000000-0005-0000-0000-00004D0D0000}"/>
    <cellStyle name="20% - Accent2 2 2 2 2 2 2 3" xfId="9201" xr:uid="{00000000-0005-0000-0000-00004E0D0000}"/>
    <cellStyle name="20% - Accent2 2 2 2 2 2 2 3 2" xfId="20502" xr:uid="{00000000-0005-0000-0000-00004F0D0000}"/>
    <cellStyle name="20% - Accent2 2 2 2 2 2 2 3 2 2" xfId="43104" xr:uid="{00000000-0005-0000-0000-0000500D0000}"/>
    <cellStyle name="20% - Accent2 2 2 2 2 2 2 3 3" xfId="31803" xr:uid="{00000000-0005-0000-0000-0000510D0000}"/>
    <cellStyle name="20% - Accent2 2 2 2 2 2 2 4" xfId="14852" xr:uid="{00000000-0005-0000-0000-0000520D0000}"/>
    <cellStyle name="20% - Accent2 2 2 2 2 2 2 4 2" xfId="37454" xr:uid="{00000000-0005-0000-0000-0000530D0000}"/>
    <cellStyle name="20% - Accent2 2 2 2 2 2 2 5" xfId="26153" xr:uid="{00000000-0005-0000-0000-0000540D0000}"/>
    <cellStyle name="20% - Accent2 2 2 2 2 2 3" xfId="5149" xr:uid="{00000000-0005-0000-0000-0000550D0000}"/>
    <cellStyle name="20% - Accent2 2 2 2 2 2 3 2" xfId="10799" xr:uid="{00000000-0005-0000-0000-0000560D0000}"/>
    <cellStyle name="20% - Accent2 2 2 2 2 2 3 2 2" xfId="22100" xr:uid="{00000000-0005-0000-0000-0000570D0000}"/>
    <cellStyle name="20% - Accent2 2 2 2 2 2 3 2 2 2" xfId="44702" xr:uid="{00000000-0005-0000-0000-0000580D0000}"/>
    <cellStyle name="20% - Accent2 2 2 2 2 2 3 2 3" xfId="33401" xr:uid="{00000000-0005-0000-0000-0000590D0000}"/>
    <cellStyle name="20% - Accent2 2 2 2 2 2 3 3" xfId="16450" xr:uid="{00000000-0005-0000-0000-00005A0D0000}"/>
    <cellStyle name="20% - Accent2 2 2 2 2 2 3 3 2" xfId="39052" xr:uid="{00000000-0005-0000-0000-00005B0D0000}"/>
    <cellStyle name="20% - Accent2 2 2 2 2 2 3 4" xfId="27751" xr:uid="{00000000-0005-0000-0000-00005C0D0000}"/>
    <cellStyle name="20% - Accent2 2 2 2 2 2 4" xfId="7442" xr:uid="{00000000-0005-0000-0000-00005D0D0000}"/>
    <cellStyle name="20% - Accent2 2 2 2 2 2 4 2" xfId="18743" xr:uid="{00000000-0005-0000-0000-00005E0D0000}"/>
    <cellStyle name="20% - Accent2 2 2 2 2 2 4 2 2" xfId="41345" xr:uid="{00000000-0005-0000-0000-00005F0D0000}"/>
    <cellStyle name="20% - Accent2 2 2 2 2 2 4 3" xfId="30044" xr:uid="{00000000-0005-0000-0000-0000600D0000}"/>
    <cellStyle name="20% - Accent2 2 2 2 2 2 5" xfId="13093" xr:uid="{00000000-0005-0000-0000-0000610D0000}"/>
    <cellStyle name="20% - Accent2 2 2 2 2 2 5 2" xfId="35695" xr:uid="{00000000-0005-0000-0000-0000620D0000}"/>
    <cellStyle name="20% - Accent2 2 2 2 2 2 6" xfId="24394" xr:uid="{00000000-0005-0000-0000-0000630D0000}"/>
    <cellStyle name="20% - Accent2 2 2 2 2 3" xfId="2740" xr:uid="{00000000-0005-0000-0000-0000640D0000}"/>
    <cellStyle name="20% - Accent2 2 2 2 2 3 2" xfId="5759" xr:uid="{00000000-0005-0000-0000-0000650D0000}"/>
    <cellStyle name="20% - Accent2 2 2 2 2 3 2 2" xfId="11409" xr:uid="{00000000-0005-0000-0000-0000660D0000}"/>
    <cellStyle name="20% - Accent2 2 2 2 2 3 2 2 2" xfId="22710" xr:uid="{00000000-0005-0000-0000-0000670D0000}"/>
    <cellStyle name="20% - Accent2 2 2 2 2 3 2 2 2 2" xfId="45312" xr:uid="{00000000-0005-0000-0000-0000680D0000}"/>
    <cellStyle name="20% - Accent2 2 2 2 2 3 2 2 3" xfId="34011" xr:uid="{00000000-0005-0000-0000-0000690D0000}"/>
    <cellStyle name="20% - Accent2 2 2 2 2 3 2 3" xfId="17060" xr:uid="{00000000-0005-0000-0000-00006A0D0000}"/>
    <cellStyle name="20% - Accent2 2 2 2 2 3 2 3 2" xfId="39662" xr:uid="{00000000-0005-0000-0000-00006B0D0000}"/>
    <cellStyle name="20% - Accent2 2 2 2 2 3 2 4" xfId="28361" xr:uid="{00000000-0005-0000-0000-00006C0D0000}"/>
    <cellStyle name="20% - Accent2 2 2 2 2 3 3" xfId="8576" xr:uid="{00000000-0005-0000-0000-00006D0D0000}"/>
    <cellStyle name="20% - Accent2 2 2 2 2 3 3 2" xfId="19877" xr:uid="{00000000-0005-0000-0000-00006E0D0000}"/>
    <cellStyle name="20% - Accent2 2 2 2 2 3 3 2 2" xfId="42479" xr:uid="{00000000-0005-0000-0000-00006F0D0000}"/>
    <cellStyle name="20% - Accent2 2 2 2 2 3 3 3" xfId="31178" xr:uid="{00000000-0005-0000-0000-0000700D0000}"/>
    <cellStyle name="20% - Accent2 2 2 2 2 3 4" xfId="14227" xr:uid="{00000000-0005-0000-0000-0000710D0000}"/>
    <cellStyle name="20% - Accent2 2 2 2 2 3 4 2" xfId="36829" xr:uid="{00000000-0005-0000-0000-0000720D0000}"/>
    <cellStyle name="20% - Accent2 2 2 2 2 3 5" xfId="25528" xr:uid="{00000000-0005-0000-0000-0000730D0000}"/>
    <cellStyle name="20% - Accent2 2 2 2 2 4" xfId="4525" xr:uid="{00000000-0005-0000-0000-0000740D0000}"/>
    <cellStyle name="20% - Accent2 2 2 2 2 4 2" xfId="10175" xr:uid="{00000000-0005-0000-0000-0000750D0000}"/>
    <cellStyle name="20% - Accent2 2 2 2 2 4 2 2" xfId="21476" xr:uid="{00000000-0005-0000-0000-0000760D0000}"/>
    <cellStyle name="20% - Accent2 2 2 2 2 4 2 2 2" xfId="44078" xr:uid="{00000000-0005-0000-0000-0000770D0000}"/>
    <cellStyle name="20% - Accent2 2 2 2 2 4 2 3" xfId="32777" xr:uid="{00000000-0005-0000-0000-0000780D0000}"/>
    <cellStyle name="20% - Accent2 2 2 2 2 4 3" xfId="15826" xr:uid="{00000000-0005-0000-0000-0000790D0000}"/>
    <cellStyle name="20% - Accent2 2 2 2 2 4 3 2" xfId="38428" xr:uid="{00000000-0005-0000-0000-00007A0D0000}"/>
    <cellStyle name="20% - Accent2 2 2 2 2 4 4" xfId="27127" xr:uid="{00000000-0005-0000-0000-00007B0D0000}"/>
    <cellStyle name="20% - Accent2 2 2 2 2 5" xfId="7321" xr:uid="{00000000-0005-0000-0000-00007C0D0000}"/>
    <cellStyle name="20% - Accent2 2 2 2 2 5 2" xfId="18622" xr:uid="{00000000-0005-0000-0000-00007D0D0000}"/>
    <cellStyle name="20% - Accent2 2 2 2 2 5 2 2" xfId="41224" xr:uid="{00000000-0005-0000-0000-00007E0D0000}"/>
    <cellStyle name="20% - Accent2 2 2 2 2 5 3" xfId="29923" xr:uid="{00000000-0005-0000-0000-00007F0D0000}"/>
    <cellStyle name="20% - Accent2 2 2 2 2 6" xfId="12972" xr:uid="{00000000-0005-0000-0000-0000800D0000}"/>
    <cellStyle name="20% - Accent2 2 2 2 2 6 2" xfId="35574" xr:uid="{00000000-0005-0000-0000-0000810D0000}"/>
    <cellStyle name="20% - Accent2 2 2 2 2 7" xfId="24273" xr:uid="{00000000-0005-0000-0000-0000820D0000}"/>
    <cellStyle name="20% - Accent2 2 2 2 3" xfId="1040" xr:uid="{00000000-0005-0000-0000-0000830D0000}"/>
    <cellStyle name="20% - Accent2 2 2 2 3 2" xfId="3103" xr:uid="{00000000-0005-0000-0000-0000840D0000}"/>
    <cellStyle name="20% - Accent2 2 2 2 3 2 2" xfId="6075" xr:uid="{00000000-0005-0000-0000-0000850D0000}"/>
    <cellStyle name="20% - Accent2 2 2 2 3 2 2 2" xfId="11725" xr:uid="{00000000-0005-0000-0000-0000860D0000}"/>
    <cellStyle name="20% - Accent2 2 2 2 3 2 2 2 2" xfId="23026" xr:uid="{00000000-0005-0000-0000-0000870D0000}"/>
    <cellStyle name="20% - Accent2 2 2 2 3 2 2 2 2 2" xfId="45628" xr:uid="{00000000-0005-0000-0000-0000880D0000}"/>
    <cellStyle name="20% - Accent2 2 2 2 3 2 2 2 3" xfId="34327" xr:uid="{00000000-0005-0000-0000-0000890D0000}"/>
    <cellStyle name="20% - Accent2 2 2 2 3 2 2 3" xfId="17376" xr:uid="{00000000-0005-0000-0000-00008A0D0000}"/>
    <cellStyle name="20% - Accent2 2 2 2 3 2 2 3 2" xfId="39978" xr:uid="{00000000-0005-0000-0000-00008B0D0000}"/>
    <cellStyle name="20% - Accent2 2 2 2 3 2 2 4" xfId="28677" xr:uid="{00000000-0005-0000-0000-00008C0D0000}"/>
    <cellStyle name="20% - Accent2 2 2 2 3 2 3" xfId="8893" xr:uid="{00000000-0005-0000-0000-00008D0D0000}"/>
    <cellStyle name="20% - Accent2 2 2 2 3 2 3 2" xfId="20194" xr:uid="{00000000-0005-0000-0000-00008E0D0000}"/>
    <cellStyle name="20% - Accent2 2 2 2 3 2 3 2 2" xfId="42796" xr:uid="{00000000-0005-0000-0000-00008F0D0000}"/>
    <cellStyle name="20% - Accent2 2 2 2 3 2 3 3" xfId="31495" xr:uid="{00000000-0005-0000-0000-0000900D0000}"/>
    <cellStyle name="20% - Accent2 2 2 2 3 2 4" xfId="14544" xr:uid="{00000000-0005-0000-0000-0000910D0000}"/>
    <cellStyle name="20% - Accent2 2 2 2 3 2 4 2" xfId="37146" xr:uid="{00000000-0005-0000-0000-0000920D0000}"/>
    <cellStyle name="20% - Accent2 2 2 2 3 2 5" xfId="25845" xr:uid="{00000000-0005-0000-0000-0000930D0000}"/>
    <cellStyle name="20% - Accent2 2 2 2 3 3" xfId="4841" xr:uid="{00000000-0005-0000-0000-0000940D0000}"/>
    <cellStyle name="20% - Accent2 2 2 2 3 3 2" xfId="10491" xr:uid="{00000000-0005-0000-0000-0000950D0000}"/>
    <cellStyle name="20% - Accent2 2 2 2 3 3 2 2" xfId="21792" xr:uid="{00000000-0005-0000-0000-0000960D0000}"/>
    <cellStyle name="20% - Accent2 2 2 2 3 3 2 2 2" xfId="44394" xr:uid="{00000000-0005-0000-0000-0000970D0000}"/>
    <cellStyle name="20% - Accent2 2 2 2 3 3 2 3" xfId="33093" xr:uid="{00000000-0005-0000-0000-0000980D0000}"/>
    <cellStyle name="20% - Accent2 2 2 2 3 3 3" xfId="16142" xr:uid="{00000000-0005-0000-0000-0000990D0000}"/>
    <cellStyle name="20% - Accent2 2 2 2 3 3 3 2" xfId="38744" xr:uid="{00000000-0005-0000-0000-00009A0D0000}"/>
    <cellStyle name="20% - Accent2 2 2 2 3 3 4" xfId="27443" xr:uid="{00000000-0005-0000-0000-00009B0D0000}"/>
    <cellStyle name="20% - Accent2 2 2 2 3 4" xfId="7028" xr:uid="{00000000-0005-0000-0000-00009C0D0000}"/>
    <cellStyle name="20% - Accent2 2 2 2 3 4 2" xfId="18329" xr:uid="{00000000-0005-0000-0000-00009D0D0000}"/>
    <cellStyle name="20% - Accent2 2 2 2 3 4 2 2" xfId="40931" xr:uid="{00000000-0005-0000-0000-00009E0D0000}"/>
    <cellStyle name="20% - Accent2 2 2 2 3 4 3" xfId="29630" xr:uid="{00000000-0005-0000-0000-00009F0D0000}"/>
    <cellStyle name="20% - Accent2 2 2 2 3 5" xfId="12679" xr:uid="{00000000-0005-0000-0000-0000A00D0000}"/>
    <cellStyle name="20% - Accent2 2 2 2 3 5 2" xfId="35281" xr:uid="{00000000-0005-0000-0000-0000A10D0000}"/>
    <cellStyle name="20% - Accent2 2 2 2 3 6" xfId="23980" xr:uid="{00000000-0005-0000-0000-0000A20D0000}"/>
    <cellStyle name="20% - Accent2 2 2 2 4" xfId="1585" xr:uid="{00000000-0005-0000-0000-0000A30D0000}"/>
    <cellStyle name="20% - Accent2 2 2 2 4 2" xfId="3518" xr:uid="{00000000-0005-0000-0000-0000A40D0000}"/>
    <cellStyle name="20% - Accent2 2 2 2 4 2 2" xfId="9279" xr:uid="{00000000-0005-0000-0000-0000A50D0000}"/>
    <cellStyle name="20% - Accent2 2 2 2 4 2 2 2" xfId="20580" xr:uid="{00000000-0005-0000-0000-0000A60D0000}"/>
    <cellStyle name="20% - Accent2 2 2 2 4 2 2 2 2" xfId="43182" xr:uid="{00000000-0005-0000-0000-0000A70D0000}"/>
    <cellStyle name="20% - Accent2 2 2 2 4 2 2 3" xfId="31881" xr:uid="{00000000-0005-0000-0000-0000A80D0000}"/>
    <cellStyle name="20% - Accent2 2 2 2 4 2 3" xfId="14930" xr:uid="{00000000-0005-0000-0000-0000A90D0000}"/>
    <cellStyle name="20% - Accent2 2 2 2 4 2 3 2" xfId="37532" xr:uid="{00000000-0005-0000-0000-0000AA0D0000}"/>
    <cellStyle name="20% - Accent2 2 2 2 4 2 4" xfId="26231" xr:uid="{00000000-0005-0000-0000-0000AB0D0000}"/>
    <cellStyle name="20% - Accent2 2 2 2 4 3" xfId="5451" xr:uid="{00000000-0005-0000-0000-0000AC0D0000}"/>
    <cellStyle name="20% - Accent2 2 2 2 4 3 2" xfId="11101" xr:uid="{00000000-0005-0000-0000-0000AD0D0000}"/>
    <cellStyle name="20% - Accent2 2 2 2 4 3 2 2" xfId="22402" xr:uid="{00000000-0005-0000-0000-0000AE0D0000}"/>
    <cellStyle name="20% - Accent2 2 2 2 4 3 2 2 2" xfId="45004" xr:uid="{00000000-0005-0000-0000-0000AF0D0000}"/>
    <cellStyle name="20% - Accent2 2 2 2 4 3 2 3" xfId="33703" xr:uid="{00000000-0005-0000-0000-0000B00D0000}"/>
    <cellStyle name="20% - Accent2 2 2 2 4 3 3" xfId="16752" xr:uid="{00000000-0005-0000-0000-0000B10D0000}"/>
    <cellStyle name="20% - Accent2 2 2 2 4 3 3 2" xfId="39354" xr:uid="{00000000-0005-0000-0000-0000B20D0000}"/>
    <cellStyle name="20% - Accent2 2 2 2 4 3 4" xfId="28053" xr:uid="{00000000-0005-0000-0000-0000B30D0000}"/>
    <cellStyle name="20% - Accent2 2 2 2 4 4" xfId="7441" xr:uid="{00000000-0005-0000-0000-0000B40D0000}"/>
    <cellStyle name="20% - Accent2 2 2 2 4 4 2" xfId="18742" xr:uid="{00000000-0005-0000-0000-0000B50D0000}"/>
    <cellStyle name="20% - Accent2 2 2 2 4 4 2 2" xfId="41344" xr:uid="{00000000-0005-0000-0000-0000B60D0000}"/>
    <cellStyle name="20% - Accent2 2 2 2 4 4 3" xfId="30043" xr:uid="{00000000-0005-0000-0000-0000B70D0000}"/>
    <cellStyle name="20% - Accent2 2 2 2 4 5" xfId="13092" xr:uid="{00000000-0005-0000-0000-0000B80D0000}"/>
    <cellStyle name="20% - Accent2 2 2 2 4 5 2" xfId="35694" xr:uid="{00000000-0005-0000-0000-0000B90D0000}"/>
    <cellStyle name="20% - Accent2 2 2 2 4 6" xfId="24393" xr:uid="{00000000-0005-0000-0000-0000BA0D0000}"/>
    <cellStyle name="20% - Accent2 2 2 2 5" xfId="2432" xr:uid="{00000000-0005-0000-0000-0000BB0D0000}"/>
    <cellStyle name="20% - Accent2 2 2 2 5 2" xfId="8268" xr:uid="{00000000-0005-0000-0000-0000BC0D0000}"/>
    <cellStyle name="20% - Accent2 2 2 2 5 2 2" xfId="19569" xr:uid="{00000000-0005-0000-0000-0000BD0D0000}"/>
    <cellStyle name="20% - Accent2 2 2 2 5 2 2 2" xfId="42171" xr:uid="{00000000-0005-0000-0000-0000BE0D0000}"/>
    <cellStyle name="20% - Accent2 2 2 2 5 2 3" xfId="30870" xr:uid="{00000000-0005-0000-0000-0000BF0D0000}"/>
    <cellStyle name="20% - Accent2 2 2 2 5 3" xfId="13919" xr:uid="{00000000-0005-0000-0000-0000C00D0000}"/>
    <cellStyle name="20% - Accent2 2 2 2 5 3 2" xfId="36521" xr:uid="{00000000-0005-0000-0000-0000C10D0000}"/>
    <cellStyle name="20% - Accent2 2 2 2 5 4" xfId="25220" xr:uid="{00000000-0005-0000-0000-0000C20D0000}"/>
    <cellStyle name="20% - Accent2 2 2 2 6" xfId="4217" xr:uid="{00000000-0005-0000-0000-0000C30D0000}"/>
    <cellStyle name="20% - Accent2 2 2 2 6 2" xfId="9867" xr:uid="{00000000-0005-0000-0000-0000C40D0000}"/>
    <cellStyle name="20% - Accent2 2 2 2 6 2 2" xfId="21168" xr:uid="{00000000-0005-0000-0000-0000C50D0000}"/>
    <cellStyle name="20% - Accent2 2 2 2 6 2 2 2" xfId="43770" xr:uid="{00000000-0005-0000-0000-0000C60D0000}"/>
    <cellStyle name="20% - Accent2 2 2 2 6 2 3" xfId="32469" xr:uid="{00000000-0005-0000-0000-0000C70D0000}"/>
    <cellStyle name="20% - Accent2 2 2 2 6 3" xfId="15518" xr:uid="{00000000-0005-0000-0000-0000C80D0000}"/>
    <cellStyle name="20% - Accent2 2 2 2 6 3 2" xfId="38120" xr:uid="{00000000-0005-0000-0000-0000C90D0000}"/>
    <cellStyle name="20% - Accent2 2 2 2 6 4" xfId="26819" xr:uid="{00000000-0005-0000-0000-0000CA0D0000}"/>
    <cellStyle name="20% - Accent2 2 2 2 7" xfId="6697" xr:uid="{00000000-0005-0000-0000-0000CB0D0000}"/>
    <cellStyle name="20% - Accent2 2 2 2 7 2" xfId="17998" xr:uid="{00000000-0005-0000-0000-0000CC0D0000}"/>
    <cellStyle name="20% - Accent2 2 2 2 7 2 2" xfId="40600" xr:uid="{00000000-0005-0000-0000-0000CD0D0000}"/>
    <cellStyle name="20% - Accent2 2 2 2 7 3" xfId="29299" xr:uid="{00000000-0005-0000-0000-0000CE0D0000}"/>
    <cellStyle name="20% - Accent2 2 2 2 8" xfId="12348" xr:uid="{00000000-0005-0000-0000-0000CF0D0000}"/>
    <cellStyle name="20% - Accent2 2 2 2 8 2" xfId="34950" xr:uid="{00000000-0005-0000-0000-0000D00D0000}"/>
    <cellStyle name="20% - Accent2 2 2 2 9" xfId="23649" xr:uid="{00000000-0005-0000-0000-0000D10D0000}"/>
    <cellStyle name="20% - Accent2 2 2 3" xfId="1204" xr:uid="{00000000-0005-0000-0000-0000D20D0000}"/>
    <cellStyle name="20% - Accent2 2 2 3 2" xfId="1587" xr:uid="{00000000-0005-0000-0000-0000D30D0000}"/>
    <cellStyle name="20% - Accent2 2 2 3 2 2" xfId="3272" xr:uid="{00000000-0005-0000-0000-0000D40D0000}"/>
    <cellStyle name="20% - Accent2 2 2 3 2 2 2" xfId="6244" xr:uid="{00000000-0005-0000-0000-0000D50D0000}"/>
    <cellStyle name="20% - Accent2 2 2 3 2 2 2 2" xfId="11894" xr:uid="{00000000-0005-0000-0000-0000D60D0000}"/>
    <cellStyle name="20% - Accent2 2 2 3 2 2 2 2 2" xfId="23195" xr:uid="{00000000-0005-0000-0000-0000D70D0000}"/>
    <cellStyle name="20% - Accent2 2 2 3 2 2 2 2 2 2" xfId="45797" xr:uid="{00000000-0005-0000-0000-0000D80D0000}"/>
    <cellStyle name="20% - Accent2 2 2 3 2 2 2 2 3" xfId="34496" xr:uid="{00000000-0005-0000-0000-0000D90D0000}"/>
    <cellStyle name="20% - Accent2 2 2 3 2 2 2 3" xfId="17545" xr:uid="{00000000-0005-0000-0000-0000DA0D0000}"/>
    <cellStyle name="20% - Accent2 2 2 3 2 2 2 3 2" xfId="40147" xr:uid="{00000000-0005-0000-0000-0000DB0D0000}"/>
    <cellStyle name="20% - Accent2 2 2 3 2 2 2 4" xfId="28846" xr:uid="{00000000-0005-0000-0000-0000DC0D0000}"/>
    <cellStyle name="20% - Accent2 2 2 3 2 2 3" xfId="9062" xr:uid="{00000000-0005-0000-0000-0000DD0D0000}"/>
    <cellStyle name="20% - Accent2 2 2 3 2 2 3 2" xfId="20363" xr:uid="{00000000-0005-0000-0000-0000DE0D0000}"/>
    <cellStyle name="20% - Accent2 2 2 3 2 2 3 2 2" xfId="42965" xr:uid="{00000000-0005-0000-0000-0000DF0D0000}"/>
    <cellStyle name="20% - Accent2 2 2 3 2 2 3 3" xfId="31664" xr:uid="{00000000-0005-0000-0000-0000E00D0000}"/>
    <cellStyle name="20% - Accent2 2 2 3 2 2 4" xfId="14713" xr:uid="{00000000-0005-0000-0000-0000E10D0000}"/>
    <cellStyle name="20% - Accent2 2 2 3 2 2 4 2" xfId="37315" xr:uid="{00000000-0005-0000-0000-0000E20D0000}"/>
    <cellStyle name="20% - Accent2 2 2 3 2 2 5" xfId="26014" xr:uid="{00000000-0005-0000-0000-0000E30D0000}"/>
    <cellStyle name="20% - Accent2 2 2 3 2 3" xfId="5010" xr:uid="{00000000-0005-0000-0000-0000E40D0000}"/>
    <cellStyle name="20% - Accent2 2 2 3 2 3 2" xfId="10660" xr:uid="{00000000-0005-0000-0000-0000E50D0000}"/>
    <cellStyle name="20% - Accent2 2 2 3 2 3 2 2" xfId="21961" xr:uid="{00000000-0005-0000-0000-0000E60D0000}"/>
    <cellStyle name="20% - Accent2 2 2 3 2 3 2 2 2" xfId="44563" xr:uid="{00000000-0005-0000-0000-0000E70D0000}"/>
    <cellStyle name="20% - Accent2 2 2 3 2 3 2 3" xfId="33262" xr:uid="{00000000-0005-0000-0000-0000E80D0000}"/>
    <cellStyle name="20% - Accent2 2 2 3 2 3 3" xfId="16311" xr:uid="{00000000-0005-0000-0000-0000E90D0000}"/>
    <cellStyle name="20% - Accent2 2 2 3 2 3 3 2" xfId="38913" xr:uid="{00000000-0005-0000-0000-0000EA0D0000}"/>
    <cellStyle name="20% - Accent2 2 2 3 2 3 4" xfId="27612" xr:uid="{00000000-0005-0000-0000-0000EB0D0000}"/>
    <cellStyle name="20% - Accent2 2 2 3 2 4" xfId="7443" xr:uid="{00000000-0005-0000-0000-0000EC0D0000}"/>
    <cellStyle name="20% - Accent2 2 2 3 2 4 2" xfId="18744" xr:uid="{00000000-0005-0000-0000-0000ED0D0000}"/>
    <cellStyle name="20% - Accent2 2 2 3 2 4 2 2" xfId="41346" xr:uid="{00000000-0005-0000-0000-0000EE0D0000}"/>
    <cellStyle name="20% - Accent2 2 2 3 2 4 3" xfId="30045" xr:uid="{00000000-0005-0000-0000-0000EF0D0000}"/>
    <cellStyle name="20% - Accent2 2 2 3 2 5" xfId="13094" xr:uid="{00000000-0005-0000-0000-0000F00D0000}"/>
    <cellStyle name="20% - Accent2 2 2 3 2 5 2" xfId="35696" xr:uid="{00000000-0005-0000-0000-0000F10D0000}"/>
    <cellStyle name="20% - Accent2 2 2 3 2 6" xfId="24395" xr:uid="{00000000-0005-0000-0000-0000F20D0000}"/>
    <cellStyle name="20% - Accent2 2 2 3 3" xfId="2601" xr:uid="{00000000-0005-0000-0000-0000F30D0000}"/>
    <cellStyle name="20% - Accent2 2 2 3 3 2" xfId="5620" xr:uid="{00000000-0005-0000-0000-0000F40D0000}"/>
    <cellStyle name="20% - Accent2 2 2 3 3 2 2" xfId="11270" xr:uid="{00000000-0005-0000-0000-0000F50D0000}"/>
    <cellStyle name="20% - Accent2 2 2 3 3 2 2 2" xfId="22571" xr:uid="{00000000-0005-0000-0000-0000F60D0000}"/>
    <cellStyle name="20% - Accent2 2 2 3 3 2 2 2 2" xfId="45173" xr:uid="{00000000-0005-0000-0000-0000F70D0000}"/>
    <cellStyle name="20% - Accent2 2 2 3 3 2 2 3" xfId="33872" xr:uid="{00000000-0005-0000-0000-0000F80D0000}"/>
    <cellStyle name="20% - Accent2 2 2 3 3 2 3" xfId="16921" xr:uid="{00000000-0005-0000-0000-0000F90D0000}"/>
    <cellStyle name="20% - Accent2 2 2 3 3 2 3 2" xfId="39523" xr:uid="{00000000-0005-0000-0000-0000FA0D0000}"/>
    <cellStyle name="20% - Accent2 2 2 3 3 2 4" xfId="28222" xr:uid="{00000000-0005-0000-0000-0000FB0D0000}"/>
    <cellStyle name="20% - Accent2 2 2 3 3 3" xfId="8437" xr:uid="{00000000-0005-0000-0000-0000FC0D0000}"/>
    <cellStyle name="20% - Accent2 2 2 3 3 3 2" xfId="19738" xr:uid="{00000000-0005-0000-0000-0000FD0D0000}"/>
    <cellStyle name="20% - Accent2 2 2 3 3 3 2 2" xfId="42340" xr:uid="{00000000-0005-0000-0000-0000FE0D0000}"/>
    <cellStyle name="20% - Accent2 2 2 3 3 3 3" xfId="31039" xr:uid="{00000000-0005-0000-0000-0000FF0D0000}"/>
    <cellStyle name="20% - Accent2 2 2 3 3 4" xfId="14088" xr:uid="{00000000-0005-0000-0000-0000000E0000}"/>
    <cellStyle name="20% - Accent2 2 2 3 3 4 2" xfId="36690" xr:uid="{00000000-0005-0000-0000-0000010E0000}"/>
    <cellStyle name="20% - Accent2 2 2 3 3 5" xfId="25389" xr:uid="{00000000-0005-0000-0000-0000020E0000}"/>
    <cellStyle name="20% - Accent2 2 2 3 4" xfId="4386" xr:uid="{00000000-0005-0000-0000-0000030E0000}"/>
    <cellStyle name="20% - Accent2 2 2 3 4 2" xfId="10036" xr:uid="{00000000-0005-0000-0000-0000040E0000}"/>
    <cellStyle name="20% - Accent2 2 2 3 4 2 2" xfId="21337" xr:uid="{00000000-0005-0000-0000-0000050E0000}"/>
    <cellStyle name="20% - Accent2 2 2 3 4 2 2 2" xfId="43939" xr:uid="{00000000-0005-0000-0000-0000060E0000}"/>
    <cellStyle name="20% - Accent2 2 2 3 4 2 3" xfId="32638" xr:uid="{00000000-0005-0000-0000-0000070E0000}"/>
    <cellStyle name="20% - Accent2 2 2 3 4 3" xfId="15687" xr:uid="{00000000-0005-0000-0000-0000080E0000}"/>
    <cellStyle name="20% - Accent2 2 2 3 4 3 2" xfId="38289" xr:uid="{00000000-0005-0000-0000-0000090E0000}"/>
    <cellStyle name="20% - Accent2 2 2 3 4 4" xfId="26988" xr:uid="{00000000-0005-0000-0000-00000A0E0000}"/>
    <cellStyle name="20% - Accent2 2 2 3 5" xfId="7183" xr:uid="{00000000-0005-0000-0000-00000B0E0000}"/>
    <cellStyle name="20% - Accent2 2 2 3 5 2" xfId="18484" xr:uid="{00000000-0005-0000-0000-00000C0E0000}"/>
    <cellStyle name="20% - Accent2 2 2 3 5 2 2" xfId="41086" xr:uid="{00000000-0005-0000-0000-00000D0E0000}"/>
    <cellStyle name="20% - Accent2 2 2 3 5 3" xfId="29785" xr:uid="{00000000-0005-0000-0000-00000E0E0000}"/>
    <cellStyle name="20% - Accent2 2 2 3 6" xfId="12834" xr:uid="{00000000-0005-0000-0000-00000F0E0000}"/>
    <cellStyle name="20% - Accent2 2 2 3 6 2" xfId="35436" xr:uid="{00000000-0005-0000-0000-0000100E0000}"/>
    <cellStyle name="20% - Accent2 2 2 3 7" xfId="24135" xr:uid="{00000000-0005-0000-0000-0000110E0000}"/>
    <cellStyle name="20% - Accent2 2 2 4" xfId="894" xr:uid="{00000000-0005-0000-0000-0000120E0000}"/>
    <cellStyle name="20% - Accent2 2 2 4 2" xfId="2965" xr:uid="{00000000-0005-0000-0000-0000130E0000}"/>
    <cellStyle name="20% - Accent2 2 2 4 2 2" xfId="5937" xr:uid="{00000000-0005-0000-0000-0000140E0000}"/>
    <cellStyle name="20% - Accent2 2 2 4 2 2 2" xfId="11587" xr:uid="{00000000-0005-0000-0000-0000150E0000}"/>
    <cellStyle name="20% - Accent2 2 2 4 2 2 2 2" xfId="22888" xr:uid="{00000000-0005-0000-0000-0000160E0000}"/>
    <cellStyle name="20% - Accent2 2 2 4 2 2 2 2 2" xfId="45490" xr:uid="{00000000-0005-0000-0000-0000170E0000}"/>
    <cellStyle name="20% - Accent2 2 2 4 2 2 2 3" xfId="34189" xr:uid="{00000000-0005-0000-0000-0000180E0000}"/>
    <cellStyle name="20% - Accent2 2 2 4 2 2 3" xfId="17238" xr:uid="{00000000-0005-0000-0000-0000190E0000}"/>
    <cellStyle name="20% - Accent2 2 2 4 2 2 3 2" xfId="39840" xr:uid="{00000000-0005-0000-0000-00001A0E0000}"/>
    <cellStyle name="20% - Accent2 2 2 4 2 2 4" xfId="28539" xr:uid="{00000000-0005-0000-0000-00001B0E0000}"/>
    <cellStyle name="20% - Accent2 2 2 4 2 3" xfId="8755" xr:uid="{00000000-0005-0000-0000-00001C0E0000}"/>
    <cellStyle name="20% - Accent2 2 2 4 2 3 2" xfId="20056" xr:uid="{00000000-0005-0000-0000-00001D0E0000}"/>
    <cellStyle name="20% - Accent2 2 2 4 2 3 2 2" xfId="42658" xr:uid="{00000000-0005-0000-0000-00001E0E0000}"/>
    <cellStyle name="20% - Accent2 2 2 4 2 3 3" xfId="31357" xr:uid="{00000000-0005-0000-0000-00001F0E0000}"/>
    <cellStyle name="20% - Accent2 2 2 4 2 4" xfId="14406" xr:uid="{00000000-0005-0000-0000-0000200E0000}"/>
    <cellStyle name="20% - Accent2 2 2 4 2 4 2" xfId="37008" xr:uid="{00000000-0005-0000-0000-0000210E0000}"/>
    <cellStyle name="20% - Accent2 2 2 4 2 5" xfId="25707" xr:uid="{00000000-0005-0000-0000-0000220E0000}"/>
    <cellStyle name="20% - Accent2 2 2 4 3" xfId="4703" xr:uid="{00000000-0005-0000-0000-0000230E0000}"/>
    <cellStyle name="20% - Accent2 2 2 4 3 2" xfId="10353" xr:uid="{00000000-0005-0000-0000-0000240E0000}"/>
    <cellStyle name="20% - Accent2 2 2 4 3 2 2" xfId="21654" xr:uid="{00000000-0005-0000-0000-0000250E0000}"/>
    <cellStyle name="20% - Accent2 2 2 4 3 2 2 2" xfId="44256" xr:uid="{00000000-0005-0000-0000-0000260E0000}"/>
    <cellStyle name="20% - Accent2 2 2 4 3 2 3" xfId="32955" xr:uid="{00000000-0005-0000-0000-0000270E0000}"/>
    <cellStyle name="20% - Accent2 2 2 4 3 3" xfId="16004" xr:uid="{00000000-0005-0000-0000-0000280E0000}"/>
    <cellStyle name="20% - Accent2 2 2 4 3 3 2" xfId="38606" xr:uid="{00000000-0005-0000-0000-0000290E0000}"/>
    <cellStyle name="20% - Accent2 2 2 4 3 4" xfId="27305" xr:uid="{00000000-0005-0000-0000-00002A0E0000}"/>
    <cellStyle name="20% - Accent2 2 2 4 4" xfId="6890" xr:uid="{00000000-0005-0000-0000-00002B0E0000}"/>
    <cellStyle name="20% - Accent2 2 2 4 4 2" xfId="18191" xr:uid="{00000000-0005-0000-0000-00002C0E0000}"/>
    <cellStyle name="20% - Accent2 2 2 4 4 2 2" xfId="40793" xr:uid="{00000000-0005-0000-0000-00002D0E0000}"/>
    <cellStyle name="20% - Accent2 2 2 4 4 3" xfId="29492" xr:uid="{00000000-0005-0000-0000-00002E0E0000}"/>
    <cellStyle name="20% - Accent2 2 2 4 5" xfId="12541" xr:uid="{00000000-0005-0000-0000-00002F0E0000}"/>
    <cellStyle name="20% - Accent2 2 2 4 5 2" xfId="35143" xr:uid="{00000000-0005-0000-0000-0000300E0000}"/>
    <cellStyle name="20% - Accent2 2 2 4 6" xfId="23842" xr:uid="{00000000-0005-0000-0000-0000310E0000}"/>
    <cellStyle name="20% - Accent2 2 2 5" xfId="1584" xr:uid="{00000000-0005-0000-0000-0000320E0000}"/>
    <cellStyle name="20% - Accent2 2 2 5 2" xfId="3511" xr:uid="{00000000-0005-0000-0000-0000330E0000}"/>
    <cellStyle name="20% - Accent2 2 2 5 2 2" xfId="9276" xr:uid="{00000000-0005-0000-0000-0000340E0000}"/>
    <cellStyle name="20% - Accent2 2 2 5 2 2 2" xfId="20577" xr:uid="{00000000-0005-0000-0000-0000350E0000}"/>
    <cellStyle name="20% - Accent2 2 2 5 2 2 2 2" xfId="43179" xr:uid="{00000000-0005-0000-0000-0000360E0000}"/>
    <cellStyle name="20% - Accent2 2 2 5 2 2 3" xfId="31878" xr:uid="{00000000-0005-0000-0000-0000370E0000}"/>
    <cellStyle name="20% - Accent2 2 2 5 2 3" xfId="14927" xr:uid="{00000000-0005-0000-0000-0000380E0000}"/>
    <cellStyle name="20% - Accent2 2 2 5 2 3 2" xfId="37529" xr:uid="{00000000-0005-0000-0000-0000390E0000}"/>
    <cellStyle name="20% - Accent2 2 2 5 2 4" xfId="26228" xr:uid="{00000000-0005-0000-0000-00003A0E0000}"/>
    <cellStyle name="20% - Accent2 2 2 5 3" xfId="5313" xr:uid="{00000000-0005-0000-0000-00003B0E0000}"/>
    <cellStyle name="20% - Accent2 2 2 5 3 2" xfId="10963" xr:uid="{00000000-0005-0000-0000-00003C0E0000}"/>
    <cellStyle name="20% - Accent2 2 2 5 3 2 2" xfId="22264" xr:uid="{00000000-0005-0000-0000-00003D0E0000}"/>
    <cellStyle name="20% - Accent2 2 2 5 3 2 2 2" xfId="44866" xr:uid="{00000000-0005-0000-0000-00003E0E0000}"/>
    <cellStyle name="20% - Accent2 2 2 5 3 2 3" xfId="33565" xr:uid="{00000000-0005-0000-0000-00003F0E0000}"/>
    <cellStyle name="20% - Accent2 2 2 5 3 3" xfId="16614" xr:uid="{00000000-0005-0000-0000-0000400E0000}"/>
    <cellStyle name="20% - Accent2 2 2 5 3 3 2" xfId="39216" xr:uid="{00000000-0005-0000-0000-0000410E0000}"/>
    <cellStyle name="20% - Accent2 2 2 5 3 4" xfId="27915" xr:uid="{00000000-0005-0000-0000-0000420E0000}"/>
    <cellStyle name="20% - Accent2 2 2 5 4" xfId="7440" xr:uid="{00000000-0005-0000-0000-0000430E0000}"/>
    <cellStyle name="20% - Accent2 2 2 5 4 2" xfId="18741" xr:uid="{00000000-0005-0000-0000-0000440E0000}"/>
    <cellStyle name="20% - Accent2 2 2 5 4 2 2" xfId="41343" xr:uid="{00000000-0005-0000-0000-0000450E0000}"/>
    <cellStyle name="20% - Accent2 2 2 5 4 3" xfId="30042" xr:uid="{00000000-0005-0000-0000-0000460E0000}"/>
    <cellStyle name="20% - Accent2 2 2 5 5" xfId="13091" xr:uid="{00000000-0005-0000-0000-0000470E0000}"/>
    <cellStyle name="20% - Accent2 2 2 5 5 2" xfId="35693" xr:uid="{00000000-0005-0000-0000-0000480E0000}"/>
    <cellStyle name="20% - Accent2 2 2 5 6" xfId="24392" xr:uid="{00000000-0005-0000-0000-0000490E0000}"/>
    <cellStyle name="20% - Accent2 2 2 6" xfId="2292" xr:uid="{00000000-0005-0000-0000-00004A0E0000}"/>
    <cellStyle name="20% - Accent2 2 2 6 2" xfId="8128" xr:uid="{00000000-0005-0000-0000-00004B0E0000}"/>
    <cellStyle name="20% - Accent2 2 2 6 2 2" xfId="19429" xr:uid="{00000000-0005-0000-0000-00004C0E0000}"/>
    <cellStyle name="20% - Accent2 2 2 6 2 2 2" xfId="42031" xr:uid="{00000000-0005-0000-0000-00004D0E0000}"/>
    <cellStyle name="20% - Accent2 2 2 6 2 3" xfId="30730" xr:uid="{00000000-0005-0000-0000-00004E0E0000}"/>
    <cellStyle name="20% - Accent2 2 2 6 3" xfId="13779" xr:uid="{00000000-0005-0000-0000-00004F0E0000}"/>
    <cellStyle name="20% - Accent2 2 2 6 3 2" xfId="36381" xr:uid="{00000000-0005-0000-0000-0000500E0000}"/>
    <cellStyle name="20% - Accent2 2 2 6 4" xfId="25080" xr:uid="{00000000-0005-0000-0000-0000510E0000}"/>
    <cellStyle name="20% - Accent2 2 2 7" xfId="4079" xr:uid="{00000000-0005-0000-0000-0000520E0000}"/>
    <cellStyle name="20% - Accent2 2 2 7 2" xfId="9729" xr:uid="{00000000-0005-0000-0000-0000530E0000}"/>
    <cellStyle name="20% - Accent2 2 2 7 2 2" xfId="21030" xr:uid="{00000000-0005-0000-0000-0000540E0000}"/>
    <cellStyle name="20% - Accent2 2 2 7 2 2 2" xfId="43632" xr:uid="{00000000-0005-0000-0000-0000550E0000}"/>
    <cellStyle name="20% - Accent2 2 2 7 2 3" xfId="32331" xr:uid="{00000000-0005-0000-0000-0000560E0000}"/>
    <cellStyle name="20% - Accent2 2 2 7 3" xfId="15380" xr:uid="{00000000-0005-0000-0000-0000570E0000}"/>
    <cellStyle name="20% - Accent2 2 2 7 3 2" xfId="37982" xr:uid="{00000000-0005-0000-0000-0000580E0000}"/>
    <cellStyle name="20% - Accent2 2 2 7 4" xfId="26681" xr:uid="{00000000-0005-0000-0000-0000590E0000}"/>
    <cellStyle name="20% - Accent2 2 2 8" xfId="6530" xr:uid="{00000000-0005-0000-0000-00005A0E0000}"/>
    <cellStyle name="20% - Accent2 2 2 8 2" xfId="17831" xr:uid="{00000000-0005-0000-0000-00005B0E0000}"/>
    <cellStyle name="20% - Accent2 2 2 8 2 2" xfId="40433" xr:uid="{00000000-0005-0000-0000-00005C0E0000}"/>
    <cellStyle name="20% - Accent2 2 2 8 3" xfId="29132" xr:uid="{00000000-0005-0000-0000-00005D0E0000}"/>
    <cellStyle name="20% - Accent2 2 2 9" xfId="12181" xr:uid="{00000000-0005-0000-0000-00005E0E0000}"/>
    <cellStyle name="20% - Accent2 2 2 9 2" xfId="34783" xr:uid="{00000000-0005-0000-0000-00005F0E0000}"/>
    <cellStyle name="20% - Accent2 2 3" xfId="2810" xr:uid="{00000000-0005-0000-0000-0000600E0000}"/>
    <cellStyle name="20% - Accent2 2 3 2" xfId="3536" xr:uid="{00000000-0005-0000-0000-0000610E0000}"/>
    <cellStyle name="20% - Accent2 2 3 2 2" xfId="5825" xr:uid="{00000000-0005-0000-0000-0000620E0000}"/>
    <cellStyle name="20% - Accent2 2 3 2 2 2" xfId="11475" xr:uid="{00000000-0005-0000-0000-0000630E0000}"/>
    <cellStyle name="20% - Accent2 2 3 2 2 2 2" xfId="22776" xr:uid="{00000000-0005-0000-0000-0000640E0000}"/>
    <cellStyle name="20% - Accent2 2 3 2 2 2 2 2" xfId="45378" xr:uid="{00000000-0005-0000-0000-0000650E0000}"/>
    <cellStyle name="20% - Accent2 2 3 2 2 2 3" xfId="34077" xr:uid="{00000000-0005-0000-0000-0000660E0000}"/>
    <cellStyle name="20% - Accent2 2 3 2 2 3" xfId="17126" xr:uid="{00000000-0005-0000-0000-0000670E0000}"/>
    <cellStyle name="20% - Accent2 2 3 2 2 3 2" xfId="39728" xr:uid="{00000000-0005-0000-0000-0000680E0000}"/>
    <cellStyle name="20% - Accent2 2 3 2 2 4" xfId="28427" xr:uid="{00000000-0005-0000-0000-0000690E0000}"/>
    <cellStyle name="20% - Accent2 2 3 2 3" xfId="9286" xr:uid="{00000000-0005-0000-0000-00006A0E0000}"/>
    <cellStyle name="20% - Accent2 2 3 2 3 2" xfId="20587" xr:uid="{00000000-0005-0000-0000-00006B0E0000}"/>
    <cellStyle name="20% - Accent2 2 3 2 3 2 2" xfId="43189" xr:uid="{00000000-0005-0000-0000-00006C0E0000}"/>
    <cellStyle name="20% - Accent2 2 3 2 3 3" xfId="31888" xr:uid="{00000000-0005-0000-0000-00006D0E0000}"/>
    <cellStyle name="20% - Accent2 2 3 2 4" xfId="14937" xr:uid="{00000000-0005-0000-0000-00006E0E0000}"/>
    <cellStyle name="20% - Accent2 2 3 2 4 2" xfId="37539" xr:uid="{00000000-0005-0000-0000-00006F0E0000}"/>
    <cellStyle name="20% - Accent2 2 3 2 5" xfId="26238" xr:uid="{00000000-0005-0000-0000-0000700E0000}"/>
    <cellStyle name="20% - Accent2 2 3 3" xfId="4591" xr:uid="{00000000-0005-0000-0000-0000710E0000}"/>
    <cellStyle name="20% - Accent2 2 3 3 2" xfId="10241" xr:uid="{00000000-0005-0000-0000-0000720E0000}"/>
    <cellStyle name="20% - Accent2 2 3 3 2 2" xfId="21542" xr:uid="{00000000-0005-0000-0000-0000730E0000}"/>
    <cellStyle name="20% - Accent2 2 3 3 2 2 2" xfId="44144" xr:uid="{00000000-0005-0000-0000-0000740E0000}"/>
    <cellStyle name="20% - Accent2 2 3 3 2 3" xfId="32843" xr:uid="{00000000-0005-0000-0000-0000750E0000}"/>
    <cellStyle name="20% - Accent2 2 3 3 3" xfId="15892" xr:uid="{00000000-0005-0000-0000-0000760E0000}"/>
    <cellStyle name="20% - Accent2 2 3 3 3 2" xfId="38494" xr:uid="{00000000-0005-0000-0000-0000770E0000}"/>
    <cellStyle name="20% - Accent2 2 3 3 4" xfId="27193" xr:uid="{00000000-0005-0000-0000-0000780E0000}"/>
    <cellStyle name="20% - Accent2 2 3 4" xfId="8643" xr:uid="{00000000-0005-0000-0000-0000790E0000}"/>
    <cellStyle name="20% - Accent2 2 3 4 2" xfId="19944" xr:uid="{00000000-0005-0000-0000-00007A0E0000}"/>
    <cellStyle name="20% - Accent2 2 3 4 2 2" xfId="42546" xr:uid="{00000000-0005-0000-0000-00007B0E0000}"/>
    <cellStyle name="20% - Accent2 2 3 4 3" xfId="31245" xr:uid="{00000000-0005-0000-0000-00007C0E0000}"/>
    <cellStyle name="20% - Accent2 2 3 5" xfId="14294" xr:uid="{00000000-0005-0000-0000-00007D0E0000}"/>
    <cellStyle name="20% - Accent2 2 3 5 2" xfId="36896" xr:uid="{00000000-0005-0000-0000-00007E0E0000}"/>
    <cellStyle name="20% - Accent2 2 3 6" xfId="25595" xr:uid="{00000000-0005-0000-0000-00007F0E0000}"/>
    <cellStyle name="20% - Accent2 2 4" xfId="2835" xr:uid="{00000000-0005-0000-0000-0000800E0000}"/>
    <cellStyle name="20% - Accent2 2 5" xfId="3902" xr:uid="{00000000-0005-0000-0000-0000810E0000}"/>
    <cellStyle name="20% - Accent2 2 5 2" xfId="9601" xr:uid="{00000000-0005-0000-0000-0000820E0000}"/>
    <cellStyle name="20% - Accent2 2 5 2 2" xfId="20902" xr:uid="{00000000-0005-0000-0000-0000830E0000}"/>
    <cellStyle name="20% - Accent2 2 5 2 2 2" xfId="43504" xr:uid="{00000000-0005-0000-0000-0000840E0000}"/>
    <cellStyle name="20% - Accent2 2 5 2 3" xfId="32203" xr:uid="{00000000-0005-0000-0000-0000850E0000}"/>
    <cellStyle name="20% - Accent2 2 5 3" xfId="15252" xr:uid="{00000000-0005-0000-0000-0000860E0000}"/>
    <cellStyle name="20% - Accent2 2 5 3 2" xfId="37854" xr:uid="{00000000-0005-0000-0000-0000870E0000}"/>
    <cellStyle name="20% - Accent2 2 5 4" xfId="26553" xr:uid="{00000000-0005-0000-0000-0000880E0000}"/>
    <cellStyle name="20% - Accent2 2 6" xfId="3716" xr:uid="{00000000-0005-0000-0000-0000890E0000}"/>
    <cellStyle name="20% - Accent2 2 7" xfId="155" xr:uid="{00000000-0005-0000-0000-00008A0E0000}"/>
    <cellStyle name="20% - Accent2 3" xfId="211" xr:uid="{00000000-0005-0000-0000-00008B0E0000}"/>
    <cellStyle name="20% - Accent2 3 2" xfId="341" xr:uid="{00000000-0005-0000-0000-00008C0E0000}"/>
    <cellStyle name="20% - Accent2 3 2 10" xfId="23452" xr:uid="{00000000-0005-0000-0000-00008D0E0000}"/>
    <cellStyle name="20% - Accent2 3 2 2" xfId="602" xr:uid="{00000000-0005-0000-0000-00008E0E0000}"/>
    <cellStyle name="20% - Accent2 3 2 2 2" xfId="1312" xr:uid="{00000000-0005-0000-0000-00008F0E0000}"/>
    <cellStyle name="20% - Accent2 3 2 2 2 2" xfId="1590" xr:uid="{00000000-0005-0000-0000-0000900E0000}"/>
    <cellStyle name="20% - Accent2 3 2 2 2 2 2" xfId="3381" xr:uid="{00000000-0005-0000-0000-0000910E0000}"/>
    <cellStyle name="20% - Accent2 3 2 2 2 2 2 2" xfId="6353" xr:uid="{00000000-0005-0000-0000-0000920E0000}"/>
    <cellStyle name="20% - Accent2 3 2 2 2 2 2 2 2" xfId="12003" xr:uid="{00000000-0005-0000-0000-0000930E0000}"/>
    <cellStyle name="20% - Accent2 3 2 2 2 2 2 2 2 2" xfId="23304" xr:uid="{00000000-0005-0000-0000-0000940E0000}"/>
    <cellStyle name="20% - Accent2 3 2 2 2 2 2 2 2 2 2" xfId="45906" xr:uid="{00000000-0005-0000-0000-0000950E0000}"/>
    <cellStyle name="20% - Accent2 3 2 2 2 2 2 2 2 3" xfId="34605" xr:uid="{00000000-0005-0000-0000-0000960E0000}"/>
    <cellStyle name="20% - Accent2 3 2 2 2 2 2 2 3" xfId="17654" xr:uid="{00000000-0005-0000-0000-0000970E0000}"/>
    <cellStyle name="20% - Accent2 3 2 2 2 2 2 2 3 2" xfId="40256" xr:uid="{00000000-0005-0000-0000-0000980E0000}"/>
    <cellStyle name="20% - Accent2 3 2 2 2 2 2 2 4" xfId="28955" xr:uid="{00000000-0005-0000-0000-0000990E0000}"/>
    <cellStyle name="20% - Accent2 3 2 2 2 2 2 3" xfId="9171" xr:uid="{00000000-0005-0000-0000-00009A0E0000}"/>
    <cellStyle name="20% - Accent2 3 2 2 2 2 2 3 2" xfId="20472" xr:uid="{00000000-0005-0000-0000-00009B0E0000}"/>
    <cellStyle name="20% - Accent2 3 2 2 2 2 2 3 2 2" xfId="43074" xr:uid="{00000000-0005-0000-0000-00009C0E0000}"/>
    <cellStyle name="20% - Accent2 3 2 2 2 2 2 3 3" xfId="31773" xr:uid="{00000000-0005-0000-0000-00009D0E0000}"/>
    <cellStyle name="20% - Accent2 3 2 2 2 2 2 4" xfId="14822" xr:uid="{00000000-0005-0000-0000-00009E0E0000}"/>
    <cellStyle name="20% - Accent2 3 2 2 2 2 2 4 2" xfId="37424" xr:uid="{00000000-0005-0000-0000-00009F0E0000}"/>
    <cellStyle name="20% - Accent2 3 2 2 2 2 2 5" xfId="26123" xr:uid="{00000000-0005-0000-0000-0000A00E0000}"/>
    <cellStyle name="20% - Accent2 3 2 2 2 2 3" xfId="5119" xr:uid="{00000000-0005-0000-0000-0000A10E0000}"/>
    <cellStyle name="20% - Accent2 3 2 2 2 2 3 2" xfId="10769" xr:uid="{00000000-0005-0000-0000-0000A20E0000}"/>
    <cellStyle name="20% - Accent2 3 2 2 2 2 3 2 2" xfId="22070" xr:uid="{00000000-0005-0000-0000-0000A30E0000}"/>
    <cellStyle name="20% - Accent2 3 2 2 2 2 3 2 2 2" xfId="44672" xr:uid="{00000000-0005-0000-0000-0000A40E0000}"/>
    <cellStyle name="20% - Accent2 3 2 2 2 2 3 2 3" xfId="33371" xr:uid="{00000000-0005-0000-0000-0000A50E0000}"/>
    <cellStyle name="20% - Accent2 3 2 2 2 2 3 3" xfId="16420" xr:uid="{00000000-0005-0000-0000-0000A60E0000}"/>
    <cellStyle name="20% - Accent2 3 2 2 2 2 3 3 2" xfId="39022" xr:uid="{00000000-0005-0000-0000-0000A70E0000}"/>
    <cellStyle name="20% - Accent2 3 2 2 2 2 3 4" xfId="27721" xr:uid="{00000000-0005-0000-0000-0000A80E0000}"/>
    <cellStyle name="20% - Accent2 3 2 2 2 2 4" xfId="7446" xr:uid="{00000000-0005-0000-0000-0000A90E0000}"/>
    <cellStyle name="20% - Accent2 3 2 2 2 2 4 2" xfId="18747" xr:uid="{00000000-0005-0000-0000-0000AA0E0000}"/>
    <cellStyle name="20% - Accent2 3 2 2 2 2 4 2 2" xfId="41349" xr:uid="{00000000-0005-0000-0000-0000AB0E0000}"/>
    <cellStyle name="20% - Accent2 3 2 2 2 2 4 3" xfId="30048" xr:uid="{00000000-0005-0000-0000-0000AC0E0000}"/>
    <cellStyle name="20% - Accent2 3 2 2 2 2 5" xfId="13097" xr:uid="{00000000-0005-0000-0000-0000AD0E0000}"/>
    <cellStyle name="20% - Accent2 3 2 2 2 2 5 2" xfId="35699" xr:uid="{00000000-0005-0000-0000-0000AE0E0000}"/>
    <cellStyle name="20% - Accent2 3 2 2 2 2 6" xfId="24398" xr:uid="{00000000-0005-0000-0000-0000AF0E0000}"/>
    <cellStyle name="20% - Accent2 3 2 2 2 3" xfId="2710" xr:uid="{00000000-0005-0000-0000-0000B00E0000}"/>
    <cellStyle name="20% - Accent2 3 2 2 2 3 2" xfId="5729" xr:uid="{00000000-0005-0000-0000-0000B10E0000}"/>
    <cellStyle name="20% - Accent2 3 2 2 2 3 2 2" xfId="11379" xr:uid="{00000000-0005-0000-0000-0000B20E0000}"/>
    <cellStyle name="20% - Accent2 3 2 2 2 3 2 2 2" xfId="22680" xr:uid="{00000000-0005-0000-0000-0000B30E0000}"/>
    <cellStyle name="20% - Accent2 3 2 2 2 3 2 2 2 2" xfId="45282" xr:uid="{00000000-0005-0000-0000-0000B40E0000}"/>
    <cellStyle name="20% - Accent2 3 2 2 2 3 2 2 3" xfId="33981" xr:uid="{00000000-0005-0000-0000-0000B50E0000}"/>
    <cellStyle name="20% - Accent2 3 2 2 2 3 2 3" xfId="17030" xr:uid="{00000000-0005-0000-0000-0000B60E0000}"/>
    <cellStyle name="20% - Accent2 3 2 2 2 3 2 3 2" xfId="39632" xr:uid="{00000000-0005-0000-0000-0000B70E0000}"/>
    <cellStyle name="20% - Accent2 3 2 2 2 3 2 4" xfId="28331" xr:uid="{00000000-0005-0000-0000-0000B80E0000}"/>
    <cellStyle name="20% - Accent2 3 2 2 2 3 3" xfId="8546" xr:uid="{00000000-0005-0000-0000-0000B90E0000}"/>
    <cellStyle name="20% - Accent2 3 2 2 2 3 3 2" xfId="19847" xr:uid="{00000000-0005-0000-0000-0000BA0E0000}"/>
    <cellStyle name="20% - Accent2 3 2 2 2 3 3 2 2" xfId="42449" xr:uid="{00000000-0005-0000-0000-0000BB0E0000}"/>
    <cellStyle name="20% - Accent2 3 2 2 2 3 3 3" xfId="31148" xr:uid="{00000000-0005-0000-0000-0000BC0E0000}"/>
    <cellStyle name="20% - Accent2 3 2 2 2 3 4" xfId="14197" xr:uid="{00000000-0005-0000-0000-0000BD0E0000}"/>
    <cellStyle name="20% - Accent2 3 2 2 2 3 4 2" xfId="36799" xr:uid="{00000000-0005-0000-0000-0000BE0E0000}"/>
    <cellStyle name="20% - Accent2 3 2 2 2 3 5" xfId="25498" xr:uid="{00000000-0005-0000-0000-0000BF0E0000}"/>
    <cellStyle name="20% - Accent2 3 2 2 2 4" xfId="4495" xr:uid="{00000000-0005-0000-0000-0000C00E0000}"/>
    <cellStyle name="20% - Accent2 3 2 2 2 4 2" xfId="10145" xr:uid="{00000000-0005-0000-0000-0000C10E0000}"/>
    <cellStyle name="20% - Accent2 3 2 2 2 4 2 2" xfId="21446" xr:uid="{00000000-0005-0000-0000-0000C20E0000}"/>
    <cellStyle name="20% - Accent2 3 2 2 2 4 2 2 2" xfId="44048" xr:uid="{00000000-0005-0000-0000-0000C30E0000}"/>
    <cellStyle name="20% - Accent2 3 2 2 2 4 2 3" xfId="32747" xr:uid="{00000000-0005-0000-0000-0000C40E0000}"/>
    <cellStyle name="20% - Accent2 3 2 2 2 4 3" xfId="15796" xr:uid="{00000000-0005-0000-0000-0000C50E0000}"/>
    <cellStyle name="20% - Accent2 3 2 2 2 4 3 2" xfId="38398" xr:uid="{00000000-0005-0000-0000-0000C60E0000}"/>
    <cellStyle name="20% - Accent2 3 2 2 2 4 4" xfId="27097" xr:uid="{00000000-0005-0000-0000-0000C70E0000}"/>
    <cellStyle name="20% - Accent2 3 2 2 2 5" xfId="7291" xr:uid="{00000000-0005-0000-0000-0000C80E0000}"/>
    <cellStyle name="20% - Accent2 3 2 2 2 5 2" xfId="18592" xr:uid="{00000000-0005-0000-0000-0000C90E0000}"/>
    <cellStyle name="20% - Accent2 3 2 2 2 5 2 2" xfId="41194" xr:uid="{00000000-0005-0000-0000-0000CA0E0000}"/>
    <cellStyle name="20% - Accent2 3 2 2 2 5 3" xfId="29893" xr:uid="{00000000-0005-0000-0000-0000CB0E0000}"/>
    <cellStyle name="20% - Accent2 3 2 2 2 6" xfId="12942" xr:uid="{00000000-0005-0000-0000-0000CC0E0000}"/>
    <cellStyle name="20% - Accent2 3 2 2 2 6 2" xfId="35544" xr:uid="{00000000-0005-0000-0000-0000CD0E0000}"/>
    <cellStyle name="20% - Accent2 3 2 2 2 7" xfId="24243" xr:uid="{00000000-0005-0000-0000-0000CE0E0000}"/>
    <cellStyle name="20% - Accent2 3 2 2 3" xfId="1010" xr:uid="{00000000-0005-0000-0000-0000CF0E0000}"/>
    <cellStyle name="20% - Accent2 3 2 2 3 2" xfId="3073" xr:uid="{00000000-0005-0000-0000-0000D00E0000}"/>
    <cellStyle name="20% - Accent2 3 2 2 3 2 2" xfId="6045" xr:uid="{00000000-0005-0000-0000-0000D10E0000}"/>
    <cellStyle name="20% - Accent2 3 2 2 3 2 2 2" xfId="11695" xr:uid="{00000000-0005-0000-0000-0000D20E0000}"/>
    <cellStyle name="20% - Accent2 3 2 2 3 2 2 2 2" xfId="22996" xr:uid="{00000000-0005-0000-0000-0000D30E0000}"/>
    <cellStyle name="20% - Accent2 3 2 2 3 2 2 2 2 2" xfId="45598" xr:uid="{00000000-0005-0000-0000-0000D40E0000}"/>
    <cellStyle name="20% - Accent2 3 2 2 3 2 2 2 3" xfId="34297" xr:uid="{00000000-0005-0000-0000-0000D50E0000}"/>
    <cellStyle name="20% - Accent2 3 2 2 3 2 2 3" xfId="17346" xr:uid="{00000000-0005-0000-0000-0000D60E0000}"/>
    <cellStyle name="20% - Accent2 3 2 2 3 2 2 3 2" xfId="39948" xr:uid="{00000000-0005-0000-0000-0000D70E0000}"/>
    <cellStyle name="20% - Accent2 3 2 2 3 2 2 4" xfId="28647" xr:uid="{00000000-0005-0000-0000-0000D80E0000}"/>
    <cellStyle name="20% - Accent2 3 2 2 3 2 3" xfId="8863" xr:uid="{00000000-0005-0000-0000-0000D90E0000}"/>
    <cellStyle name="20% - Accent2 3 2 2 3 2 3 2" xfId="20164" xr:uid="{00000000-0005-0000-0000-0000DA0E0000}"/>
    <cellStyle name="20% - Accent2 3 2 2 3 2 3 2 2" xfId="42766" xr:uid="{00000000-0005-0000-0000-0000DB0E0000}"/>
    <cellStyle name="20% - Accent2 3 2 2 3 2 3 3" xfId="31465" xr:uid="{00000000-0005-0000-0000-0000DC0E0000}"/>
    <cellStyle name="20% - Accent2 3 2 2 3 2 4" xfId="14514" xr:uid="{00000000-0005-0000-0000-0000DD0E0000}"/>
    <cellStyle name="20% - Accent2 3 2 2 3 2 4 2" xfId="37116" xr:uid="{00000000-0005-0000-0000-0000DE0E0000}"/>
    <cellStyle name="20% - Accent2 3 2 2 3 2 5" xfId="25815" xr:uid="{00000000-0005-0000-0000-0000DF0E0000}"/>
    <cellStyle name="20% - Accent2 3 2 2 3 3" xfId="4811" xr:uid="{00000000-0005-0000-0000-0000E00E0000}"/>
    <cellStyle name="20% - Accent2 3 2 2 3 3 2" xfId="10461" xr:uid="{00000000-0005-0000-0000-0000E10E0000}"/>
    <cellStyle name="20% - Accent2 3 2 2 3 3 2 2" xfId="21762" xr:uid="{00000000-0005-0000-0000-0000E20E0000}"/>
    <cellStyle name="20% - Accent2 3 2 2 3 3 2 2 2" xfId="44364" xr:uid="{00000000-0005-0000-0000-0000E30E0000}"/>
    <cellStyle name="20% - Accent2 3 2 2 3 3 2 3" xfId="33063" xr:uid="{00000000-0005-0000-0000-0000E40E0000}"/>
    <cellStyle name="20% - Accent2 3 2 2 3 3 3" xfId="16112" xr:uid="{00000000-0005-0000-0000-0000E50E0000}"/>
    <cellStyle name="20% - Accent2 3 2 2 3 3 3 2" xfId="38714" xr:uid="{00000000-0005-0000-0000-0000E60E0000}"/>
    <cellStyle name="20% - Accent2 3 2 2 3 3 4" xfId="27413" xr:uid="{00000000-0005-0000-0000-0000E70E0000}"/>
    <cellStyle name="20% - Accent2 3 2 2 3 4" xfId="6998" xr:uid="{00000000-0005-0000-0000-0000E80E0000}"/>
    <cellStyle name="20% - Accent2 3 2 2 3 4 2" xfId="18299" xr:uid="{00000000-0005-0000-0000-0000E90E0000}"/>
    <cellStyle name="20% - Accent2 3 2 2 3 4 2 2" xfId="40901" xr:uid="{00000000-0005-0000-0000-0000EA0E0000}"/>
    <cellStyle name="20% - Accent2 3 2 2 3 4 3" xfId="29600" xr:uid="{00000000-0005-0000-0000-0000EB0E0000}"/>
    <cellStyle name="20% - Accent2 3 2 2 3 5" xfId="12649" xr:uid="{00000000-0005-0000-0000-0000EC0E0000}"/>
    <cellStyle name="20% - Accent2 3 2 2 3 5 2" xfId="35251" xr:uid="{00000000-0005-0000-0000-0000ED0E0000}"/>
    <cellStyle name="20% - Accent2 3 2 2 3 6" xfId="23950" xr:uid="{00000000-0005-0000-0000-0000EE0E0000}"/>
    <cellStyle name="20% - Accent2 3 2 2 4" xfId="1589" xr:uid="{00000000-0005-0000-0000-0000EF0E0000}"/>
    <cellStyle name="20% - Accent2 3 2 2 4 2" xfId="3562" xr:uid="{00000000-0005-0000-0000-0000F00E0000}"/>
    <cellStyle name="20% - Accent2 3 2 2 4 2 2" xfId="9296" xr:uid="{00000000-0005-0000-0000-0000F10E0000}"/>
    <cellStyle name="20% - Accent2 3 2 2 4 2 2 2" xfId="20597" xr:uid="{00000000-0005-0000-0000-0000F20E0000}"/>
    <cellStyle name="20% - Accent2 3 2 2 4 2 2 2 2" xfId="43199" xr:uid="{00000000-0005-0000-0000-0000F30E0000}"/>
    <cellStyle name="20% - Accent2 3 2 2 4 2 2 3" xfId="31898" xr:uid="{00000000-0005-0000-0000-0000F40E0000}"/>
    <cellStyle name="20% - Accent2 3 2 2 4 2 3" xfId="14947" xr:uid="{00000000-0005-0000-0000-0000F50E0000}"/>
    <cellStyle name="20% - Accent2 3 2 2 4 2 3 2" xfId="37549" xr:uid="{00000000-0005-0000-0000-0000F60E0000}"/>
    <cellStyle name="20% - Accent2 3 2 2 4 2 4" xfId="26248" xr:uid="{00000000-0005-0000-0000-0000F70E0000}"/>
    <cellStyle name="20% - Accent2 3 2 2 4 3" xfId="5421" xr:uid="{00000000-0005-0000-0000-0000F80E0000}"/>
    <cellStyle name="20% - Accent2 3 2 2 4 3 2" xfId="11071" xr:uid="{00000000-0005-0000-0000-0000F90E0000}"/>
    <cellStyle name="20% - Accent2 3 2 2 4 3 2 2" xfId="22372" xr:uid="{00000000-0005-0000-0000-0000FA0E0000}"/>
    <cellStyle name="20% - Accent2 3 2 2 4 3 2 2 2" xfId="44974" xr:uid="{00000000-0005-0000-0000-0000FB0E0000}"/>
    <cellStyle name="20% - Accent2 3 2 2 4 3 2 3" xfId="33673" xr:uid="{00000000-0005-0000-0000-0000FC0E0000}"/>
    <cellStyle name="20% - Accent2 3 2 2 4 3 3" xfId="16722" xr:uid="{00000000-0005-0000-0000-0000FD0E0000}"/>
    <cellStyle name="20% - Accent2 3 2 2 4 3 3 2" xfId="39324" xr:uid="{00000000-0005-0000-0000-0000FE0E0000}"/>
    <cellStyle name="20% - Accent2 3 2 2 4 3 4" xfId="28023" xr:uid="{00000000-0005-0000-0000-0000FF0E0000}"/>
    <cellStyle name="20% - Accent2 3 2 2 4 4" xfId="7445" xr:uid="{00000000-0005-0000-0000-0000000F0000}"/>
    <cellStyle name="20% - Accent2 3 2 2 4 4 2" xfId="18746" xr:uid="{00000000-0005-0000-0000-0000010F0000}"/>
    <cellStyle name="20% - Accent2 3 2 2 4 4 2 2" xfId="41348" xr:uid="{00000000-0005-0000-0000-0000020F0000}"/>
    <cellStyle name="20% - Accent2 3 2 2 4 4 3" xfId="30047" xr:uid="{00000000-0005-0000-0000-0000030F0000}"/>
    <cellStyle name="20% - Accent2 3 2 2 4 5" xfId="13096" xr:uid="{00000000-0005-0000-0000-0000040F0000}"/>
    <cellStyle name="20% - Accent2 3 2 2 4 5 2" xfId="35698" xr:uid="{00000000-0005-0000-0000-0000050F0000}"/>
    <cellStyle name="20% - Accent2 3 2 2 4 6" xfId="24397" xr:uid="{00000000-0005-0000-0000-0000060F0000}"/>
    <cellStyle name="20% - Accent2 3 2 2 5" xfId="2402" xr:uid="{00000000-0005-0000-0000-0000070F0000}"/>
    <cellStyle name="20% - Accent2 3 2 2 5 2" xfId="8238" xr:uid="{00000000-0005-0000-0000-0000080F0000}"/>
    <cellStyle name="20% - Accent2 3 2 2 5 2 2" xfId="19539" xr:uid="{00000000-0005-0000-0000-0000090F0000}"/>
    <cellStyle name="20% - Accent2 3 2 2 5 2 2 2" xfId="42141" xr:uid="{00000000-0005-0000-0000-00000A0F0000}"/>
    <cellStyle name="20% - Accent2 3 2 2 5 2 3" xfId="30840" xr:uid="{00000000-0005-0000-0000-00000B0F0000}"/>
    <cellStyle name="20% - Accent2 3 2 2 5 3" xfId="13889" xr:uid="{00000000-0005-0000-0000-00000C0F0000}"/>
    <cellStyle name="20% - Accent2 3 2 2 5 3 2" xfId="36491" xr:uid="{00000000-0005-0000-0000-00000D0F0000}"/>
    <cellStyle name="20% - Accent2 3 2 2 5 4" xfId="25190" xr:uid="{00000000-0005-0000-0000-00000E0F0000}"/>
    <cellStyle name="20% - Accent2 3 2 2 6" xfId="4187" xr:uid="{00000000-0005-0000-0000-00000F0F0000}"/>
    <cellStyle name="20% - Accent2 3 2 2 6 2" xfId="9837" xr:uid="{00000000-0005-0000-0000-0000100F0000}"/>
    <cellStyle name="20% - Accent2 3 2 2 6 2 2" xfId="21138" xr:uid="{00000000-0005-0000-0000-0000110F0000}"/>
    <cellStyle name="20% - Accent2 3 2 2 6 2 2 2" xfId="43740" xr:uid="{00000000-0005-0000-0000-0000120F0000}"/>
    <cellStyle name="20% - Accent2 3 2 2 6 2 3" xfId="32439" xr:uid="{00000000-0005-0000-0000-0000130F0000}"/>
    <cellStyle name="20% - Accent2 3 2 2 6 3" xfId="15488" xr:uid="{00000000-0005-0000-0000-0000140F0000}"/>
    <cellStyle name="20% - Accent2 3 2 2 6 3 2" xfId="38090" xr:uid="{00000000-0005-0000-0000-0000150F0000}"/>
    <cellStyle name="20% - Accent2 3 2 2 6 4" xfId="26789" xr:uid="{00000000-0005-0000-0000-0000160F0000}"/>
    <cellStyle name="20% - Accent2 3 2 2 7" xfId="6667" xr:uid="{00000000-0005-0000-0000-0000170F0000}"/>
    <cellStyle name="20% - Accent2 3 2 2 7 2" xfId="17968" xr:uid="{00000000-0005-0000-0000-0000180F0000}"/>
    <cellStyle name="20% - Accent2 3 2 2 7 2 2" xfId="40570" xr:uid="{00000000-0005-0000-0000-0000190F0000}"/>
    <cellStyle name="20% - Accent2 3 2 2 7 3" xfId="29269" xr:uid="{00000000-0005-0000-0000-00001A0F0000}"/>
    <cellStyle name="20% - Accent2 3 2 2 8" xfId="12318" xr:uid="{00000000-0005-0000-0000-00001B0F0000}"/>
    <cellStyle name="20% - Accent2 3 2 2 8 2" xfId="34920" xr:uid="{00000000-0005-0000-0000-00001C0F0000}"/>
    <cellStyle name="20% - Accent2 3 2 2 9" xfId="23619" xr:uid="{00000000-0005-0000-0000-00001D0F0000}"/>
    <cellStyle name="20% - Accent2 3 2 3" xfId="1174" xr:uid="{00000000-0005-0000-0000-00001E0F0000}"/>
    <cellStyle name="20% - Accent2 3 2 3 2" xfId="1591" xr:uid="{00000000-0005-0000-0000-00001F0F0000}"/>
    <cellStyle name="20% - Accent2 3 2 3 2 2" xfId="3242" xr:uid="{00000000-0005-0000-0000-0000200F0000}"/>
    <cellStyle name="20% - Accent2 3 2 3 2 2 2" xfId="6214" xr:uid="{00000000-0005-0000-0000-0000210F0000}"/>
    <cellStyle name="20% - Accent2 3 2 3 2 2 2 2" xfId="11864" xr:uid="{00000000-0005-0000-0000-0000220F0000}"/>
    <cellStyle name="20% - Accent2 3 2 3 2 2 2 2 2" xfId="23165" xr:uid="{00000000-0005-0000-0000-0000230F0000}"/>
    <cellStyle name="20% - Accent2 3 2 3 2 2 2 2 2 2" xfId="45767" xr:uid="{00000000-0005-0000-0000-0000240F0000}"/>
    <cellStyle name="20% - Accent2 3 2 3 2 2 2 2 3" xfId="34466" xr:uid="{00000000-0005-0000-0000-0000250F0000}"/>
    <cellStyle name="20% - Accent2 3 2 3 2 2 2 3" xfId="17515" xr:uid="{00000000-0005-0000-0000-0000260F0000}"/>
    <cellStyle name="20% - Accent2 3 2 3 2 2 2 3 2" xfId="40117" xr:uid="{00000000-0005-0000-0000-0000270F0000}"/>
    <cellStyle name="20% - Accent2 3 2 3 2 2 2 4" xfId="28816" xr:uid="{00000000-0005-0000-0000-0000280F0000}"/>
    <cellStyle name="20% - Accent2 3 2 3 2 2 3" xfId="9032" xr:uid="{00000000-0005-0000-0000-0000290F0000}"/>
    <cellStyle name="20% - Accent2 3 2 3 2 2 3 2" xfId="20333" xr:uid="{00000000-0005-0000-0000-00002A0F0000}"/>
    <cellStyle name="20% - Accent2 3 2 3 2 2 3 2 2" xfId="42935" xr:uid="{00000000-0005-0000-0000-00002B0F0000}"/>
    <cellStyle name="20% - Accent2 3 2 3 2 2 3 3" xfId="31634" xr:uid="{00000000-0005-0000-0000-00002C0F0000}"/>
    <cellStyle name="20% - Accent2 3 2 3 2 2 4" xfId="14683" xr:uid="{00000000-0005-0000-0000-00002D0F0000}"/>
    <cellStyle name="20% - Accent2 3 2 3 2 2 4 2" xfId="37285" xr:uid="{00000000-0005-0000-0000-00002E0F0000}"/>
    <cellStyle name="20% - Accent2 3 2 3 2 2 5" xfId="25984" xr:uid="{00000000-0005-0000-0000-00002F0F0000}"/>
    <cellStyle name="20% - Accent2 3 2 3 2 3" xfId="4980" xr:uid="{00000000-0005-0000-0000-0000300F0000}"/>
    <cellStyle name="20% - Accent2 3 2 3 2 3 2" xfId="10630" xr:uid="{00000000-0005-0000-0000-0000310F0000}"/>
    <cellStyle name="20% - Accent2 3 2 3 2 3 2 2" xfId="21931" xr:uid="{00000000-0005-0000-0000-0000320F0000}"/>
    <cellStyle name="20% - Accent2 3 2 3 2 3 2 2 2" xfId="44533" xr:uid="{00000000-0005-0000-0000-0000330F0000}"/>
    <cellStyle name="20% - Accent2 3 2 3 2 3 2 3" xfId="33232" xr:uid="{00000000-0005-0000-0000-0000340F0000}"/>
    <cellStyle name="20% - Accent2 3 2 3 2 3 3" xfId="16281" xr:uid="{00000000-0005-0000-0000-0000350F0000}"/>
    <cellStyle name="20% - Accent2 3 2 3 2 3 3 2" xfId="38883" xr:uid="{00000000-0005-0000-0000-0000360F0000}"/>
    <cellStyle name="20% - Accent2 3 2 3 2 3 4" xfId="27582" xr:uid="{00000000-0005-0000-0000-0000370F0000}"/>
    <cellStyle name="20% - Accent2 3 2 3 2 4" xfId="7447" xr:uid="{00000000-0005-0000-0000-0000380F0000}"/>
    <cellStyle name="20% - Accent2 3 2 3 2 4 2" xfId="18748" xr:uid="{00000000-0005-0000-0000-0000390F0000}"/>
    <cellStyle name="20% - Accent2 3 2 3 2 4 2 2" xfId="41350" xr:uid="{00000000-0005-0000-0000-00003A0F0000}"/>
    <cellStyle name="20% - Accent2 3 2 3 2 4 3" xfId="30049" xr:uid="{00000000-0005-0000-0000-00003B0F0000}"/>
    <cellStyle name="20% - Accent2 3 2 3 2 5" xfId="13098" xr:uid="{00000000-0005-0000-0000-00003C0F0000}"/>
    <cellStyle name="20% - Accent2 3 2 3 2 5 2" xfId="35700" xr:uid="{00000000-0005-0000-0000-00003D0F0000}"/>
    <cellStyle name="20% - Accent2 3 2 3 2 6" xfId="24399" xr:uid="{00000000-0005-0000-0000-00003E0F0000}"/>
    <cellStyle name="20% - Accent2 3 2 3 3" xfId="2571" xr:uid="{00000000-0005-0000-0000-00003F0F0000}"/>
    <cellStyle name="20% - Accent2 3 2 3 3 2" xfId="5590" xr:uid="{00000000-0005-0000-0000-0000400F0000}"/>
    <cellStyle name="20% - Accent2 3 2 3 3 2 2" xfId="11240" xr:uid="{00000000-0005-0000-0000-0000410F0000}"/>
    <cellStyle name="20% - Accent2 3 2 3 3 2 2 2" xfId="22541" xr:uid="{00000000-0005-0000-0000-0000420F0000}"/>
    <cellStyle name="20% - Accent2 3 2 3 3 2 2 2 2" xfId="45143" xr:uid="{00000000-0005-0000-0000-0000430F0000}"/>
    <cellStyle name="20% - Accent2 3 2 3 3 2 2 3" xfId="33842" xr:uid="{00000000-0005-0000-0000-0000440F0000}"/>
    <cellStyle name="20% - Accent2 3 2 3 3 2 3" xfId="16891" xr:uid="{00000000-0005-0000-0000-0000450F0000}"/>
    <cellStyle name="20% - Accent2 3 2 3 3 2 3 2" xfId="39493" xr:uid="{00000000-0005-0000-0000-0000460F0000}"/>
    <cellStyle name="20% - Accent2 3 2 3 3 2 4" xfId="28192" xr:uid="{00000000-0005-0000-0000-0000470F0000}"/>
    <cellStyle name="20% - Accent2 3 2 3 3 3" xfId="8407" xr:uid="{00000000-0005-0000-0000-0000480F0000}"/>
    <cellStyle name="20% - Accent2 3 2 3 3 3 2" xfId="19708" xr:uid="{00000000-0005-0000-0000-0000490F0000}"/>
    <cellStyle name="20% - Accent2 3 2 3 3 3 2 2" xfId="42310" xr:uid="{00000000-0005-0000-0000-00004A0F0000}"/>
    <cellStyle name="20% - Accent2 3 2 3 3 3 3" xfId="31009" xr:uid="{00000000-0005-0000-0000-00004B0F0000}"/>
    <cellStyle name="20% - Accent2 3 2 3 3 4" xfId="14058" xr:uid="{00000000-0005-0000-0000-00004C0F0000}"/>
    <cellStyle name="20% - Accent2 3 2 3 3 4 2" xfId="36660" xr:uid="{00000000-0005-0000-0000-00004D0F0000}"/>
    <cellStyle name="20% - Accent2 3 2 3 3 5" xfId="25359" xr:uid="{00000000-0005-0000-0000-00004E0F0000}"/>
    <cellStyle name="20% - Accent2 3 2 3 4" xfId="4356" xr:uid="{00000000-0005-0000-0000-00004F0F0000}"/>
    <cellStyle name="20% - Accent2 3 2 3 4 2" xfId="10006" xr:uid="{00000000-0005-0000-0000-0000500F0000}"/>
    <cellStyle name="20% - Accent2 3 2 3 4 2 2" xfId="21307" xr:uid="{00000000-0005-0000-0000-0000510F0000}"/>
    <cellStyle name="20% - Accent2 3 2 3 4 2 2 2" xfId="43909" xr:uid="{00000000-0005-0000-0000-0000520F0000}"/>
    <cellStyle name="20% - Accent2 3 2 3 4 2 3" xfId="32608" xr:uid="{00000000-0005-0000-0000-0000530F0000}"/>
    <cellStyle name="20% - Accent2 3 2 3 4 3" xfId="15657" xr:uid="{00000000-0005-0000-0000-0000540F0000}"/>
    <cellStyle name="20% - Accent2 3 2 3 4 3 2" xfId="38259" xr:uid="{00000000-0005-0000-0000-0000550F0000}"/>
    <cellStyle name="20% - Accent2 3 2 3 4 4" xfId="26958" xr:uid="{00000000-0005-0000-0000-0000560F0000}"/>
    <cellStyle name="20% - Accent2 3 2 3 5" xfId="7153" xr:uid="{00000000-0005-0000-0000-0000570F0000}"/>
    <cellStyle name="20% - Accent2 3 2 3 5 2" xfId="18454" xr:uid="{00000000-0005-0000-0000-0000580F0000}"/>
    <cellStyle name="20% - Accent2 3 2 3 5 2 2" xfId="41056" xr:uid="{00000000-0005-0000-0000-0000590F0000}"/>
    <cellStyle name="20% - Accent2 3 2 3 5 3" xfId="29755" xr:uid="{00000000-0005-0000-0000-00005A0F0000}"/>
    <cellStyle name="20% - Accent2 3 2 3 6" xfId="12804" xr:uid="{00000000-0005-0000-0000-00005B0F0000}"/>
    <cellStyle name="20% - Accent2 3 2 3 6 2" xfId="35406" xr:uid="{00000000-0005-0000-0000-00005C0F0000}"/>
    <cellStyle name="20% - Accent2 3 2 3 7" xfId="24105" xr:uid="{00000000-0005-0000-0000-00005D0F0000}"/>
    <cellStyle name="20% - Accent2 3 2 4" xfId="863" xr:uid="{00000000-0005-0000-0000-00005E0F0000}"/>
    <cellStyle name="20% - Accent2 3 2 4 2" xfId="2935" xr:uid="{00000000-0005-0000-0000-00005F0F0000}"/>
    <cellStyle name="20% - Accent2 3 2 4 2 2" xfId="5907" xr:uid="{00000000-0005-0000-0000-0000600F0000}"/>
    <cellStyle name="20% - Accent2 3 2 4 2 2 2" xfId="11557" xr:uid="{00000000-0005-0000-0000-0000610F0000}"/>
    <cellStyle name="20% - Accent2 3 2 4 2 2 2 2" xfId="22858" xr:uid="{00000000-0005-0000-0000-0000620F0000}"/>
    <cellStyle name="20% - Accent2 3 2 4 2 2 2 2 2" xfId="45460" xr:uid="{00000000-0005-0000-0000-0000630F0000}"/>
    <cellStyle name="20% - Accent2 3 2 4 2 2 2 3" xfId="34159" xr:uid="{00000000-0005-0000-0000-0000640F0000}"/>
    <cellStyle name="20% - Accent2 3 2 4 2 2 3" xfId="17208" xr:uid="{00000000-0005-0000-0000-0000650F0000}"/>
    <cellStyle name="20% - Accent2 3 2 4 2 2 3 2" xfId="39810" xr:uid="{00000000-0005-0000-0000-0000660F0000}"/>
    <cellStyle name="20% - Accent2 3 2 4 2 2 4" xfId="28509" xr:uid="{00000000-0005-0000-0000-0000670F0000}"/>
    <cellStyle name="20% - Accent2 3 2 4 2 3" xfId="8725" xr:uid="{00000000-0005-0000-0000-0000680F0000}"/>
    <cellStyle name="20% - Accent2 3 2 4 2 3 2" xfId="20026" xr:uid="{00000000-0005-0000-0000-0000690F0000}"/>
    <cellStyle name="20% - Accent2 3 2 4 2 3 2 2" xfId="42628" xr:uid="{00000000-0005-0000-0000-00006A0F0000}"/>
    <cellStyle name="20% - Accent2 3 2 4 2 3 3" xfId="31327" xr:uid="{00000000-0005-0000-0000-00006B0F0000}"/>
    <cellStyle name="20% - Accent2 3 2 4 2 4" xfId="14376" xr:uid="{00000000-0005-0000-0000-00006C0F0000}"/>
    <cellStyle name="20% - Accent2 3 2 4 2 4 2" xfId="36978" xr:uid="{00000000-0005-0000-0000-00006D0F0000}"/>
    <cellStyle name="20% - Accent2 3 2 4 2 5" xfId="25677" xr:uid="{00000000-0005-0000-0000-00006E0F0000}"/>
    <cellStyle name="20% - Accent2 3 2 4 3" xfId="4673" xr:uid="{00000000-0005-0000-0000-00006F0F0000}"/>
    <cellStyle name="20% - Accent2 3 2 4 3 2" xfId="10323" xr:uid="{00000000-0005-0000-0000-0000700F0000}"/>
    <cellStyle name="20% - Accent2 3 2 4 3 2 2" xfId="21624" xr:uid="{00000000-0005-0000-0000-0000710F0000}"/>
    <cellStyle name="20% - Accent2 3 2 4 3 2 2 2" xfId="44226" xr:uid="{00000000-0005-0000-0000-0000720F0000}"/>
    <cellStyle name="20% - Accent2 3 2 4 3 2 3" xfId="32925" xr:uid="{00000000-0005-0000-0000-0000730F0000}"/>
    <cellStyle name="20% - Accent2 3 2 4 3 3" xfId="15974" xr:uid="{00000000-0005-0000-0000-0000740F0000}"/>
    <cellStyle name="20% - Accent2 3 2 4 3 3 2" xfId="38576" xr:uid="{00000000-0005-0000-0000-0000750F0000}"/>
    <cellStyle name="20% - Accent2 3 2 4 3 4" xfId="27275" xr:uid="{00000000-0005-0000-0000-0000760F0000}"/>
    <cellStyle name="20% - Accent2 3 2 4 4" xfId="6860" xr:uid="{00000000-0005-0000-0000-0000770F0000}"/>
    <cellStyle name="20% - Accent2 3 2 4 4 2" xfId="18161" xr:uid="{00000000-0005-0000-0000-0000780F0000}"/>
    <cellStyle name="20% - Accent2 3 2 4 4 2 2" xfId="40763" xr:uid="{00000000-0005-0000-0000-0000790F0000}"/>
    <cellStyle name="20% - Accent2 3 2 4 4 3" xfId="29462" xr:uid="{00000000-0005-0000-0000-00007A0F0000}"/>
    <cellStyle name="20% - Accent2 3 2 4 5" xfId="12511" xr:uid="{00000000-0005-0000-0000-00007B0F0000}"/>
    <cellStyle name="20% - Accent2 3 2 4 5 2" xfId="35113" xr:uid="{00000000-0005-0000-0000-00007C0F0000}"/>
    <cellStyle name="20% - Accent2 3 2 4 6" xfId="23812" xr:uid="{00000000-0005-0000-0000-00007D0F0000}"/>
    <cellStyle name="20% - Accent2 3 2 5" xfId="1588" xr:uid="{00000000-0005-0000-0000-00007E0F0000}"/>
    <cellStyle name="20% - Accent2 3 2 5 2" xfId="3530" xr:uid="{00000000-0005-0000-0000-00007F0F0000}"/>
    <cellStyle name="20% - Accent2 3 2 5 2 2" xfId="9283" xr:uid="{00000000-0005-0000-0000-0000800F0000}"/>
    <cellStyle name="20% - Accent2 3 2 5 2 2 2" xfId="20584" xr:uid="{00000000-0005-0000-0000-0000810F0000}"/>
    <cellStyle name="20% - Accent2 3 2 5 2 2 2 2" xfId="43186" xr:uid="{00000000-0005-0000-0000-0000820F0000}"/>
    <cellStyle name="20% - Accent2 3 2 5 2 2 3" xfId="31885" xr:uid="{00000000-0005-0000-0000-0000830F0000}"/>
    <cellStyle name="20% - Accent2 3 2 5 2 3" xfId="14934" xr:uid="{00000000-0005-0000-0000-0000840F0000}"/>
    <cellStyle name="20% - Accent2 3 2 5 2 3 2" xfId="37536" xr:uid="{00000000-0005-0000-0000-0000850F0000}"/>
    <cellStyle name="20% - Accent2 3 2 5 2 4" xfId="26235" xr:uid="{00000000-0005-0000-0000-0000860F0000}"/>
    <cellStyle name="20% - Accent2 3 2 5 3" xfId="5283" xr:uid="{00000000-0005-0000-0000-0000870F0000}"/>
    <cellStyle name="20% - Accent2 3 2 5 3 2" xfId="10933" xr:uid="{00000000-0005-0000-0000-0000880F0000}"/>
    <cellStyle name="20% - Accent2 3 2 5 3 2 2" xfId="22234" xr:uid="{00000000-0005-0000-0000-0000890F0000}"/>
    <cellStyle name="20% - Accent2 3 2 5 3 2 2 2" xfId="44836" xr:uid="{00000000-0005-0000-0000-00008A0F0000}"/>
    <cellStyle name="20% - Accent2 3 2 5 3 2 3" xfId="33535" xr:uid="{00000000-0005-0000-0000-00008B0F0000}"/>
    <cellStyle name="20% - Accent2 3 2 5 3 3" xfId="16584" xr:uid="{00000000-0005-0000-0000-00008C0F0000}"/>
    <cellStyle name="20% - Accent2 3 2 5 3 3 2" xfId="39186" xr:uid="{00000000-0005-0000-0000-00008D0F0000}"/>
    <cellStyle name="20% - Accent2 3 2 5 3 4" xfId="27885" xr:uid="{00000000-0005-0000-0000-00008E0F0000}"/>
    <cellStyle name="20% - Accent2 3 2 5 4" xfId="7444" xr:uid="{00000000-0005-0000-0000-00008F0F0000}"/>
    <cellStyle name="20% - Accent2 3 2 5 4 2" xfId="18745" xr:uid="{00000000-0005-0000-0000-0000900F0000}"/>
    <cellStyle name="20% - Accent2 3 2 5 4 2 2" xfId="41347" xr:uid="{00000000-0005-0000-0000-0000910F0000}"/>
    <cellStyle name="20% - Accent2 3 2 5 4 3" xfId="30046" xr:uid="{00000000-0005-0000-0000-0000920F0000}"/>
    <cellStyle name="20% - Accent2 3 2 5 5" xfId="13095" xr:uid="{00000000-0005-0000-0000-0000930F0000}"/>
    <cellStyle name="20% - Accent2 3 2 5 5 2" xfId="35697" xr:uid="{00000000-0005-0000-0000-0000940F0000}"/>
    <cellStyle name="20% - Accent2 3 2 5 6" xfId="24396" xr:uid="{00000000-0005-0000-0000-0000950F0000}"/>
    <cellStyle name="20% - Accent2 3 2 6" xfId="2261" xr:uid="{00000000-0005-0000-0000-0000960F0000}"/>
    <cellStyle name="20% - Accent2 3 2 6 2" xfId="8097" xr:uid="{00000000-0005-0000-0000-0000970F0000}"/>
    <cellStyle name="20% - Accent2 3 2 6 2 2" xfId="19398" xr:uid="{00000000-0005-0000-0000-0000980F0000}"/>
    <cellStyle name="20% - Accent2 3 2 6 2 2 2" xfId="42000" xr:uid="{00000000-0005-0000-0000-0000990F0000}"/>
    <cellStyle name="20% - Accent2 3 2 6 2 3" xfId="30699" xr:uid="{00000000-0005-0000-0000-00009A0F0000}"/>
    <cellStyle name="20% - Accent2 3 2 6 3" xfId="13748" xr:uid="{00000000-0005-0000-0000-00009B0F0000}"/>
    <cellStyle name="20% - Accent2 3 2 6 3 2" xfId="36350" xr:uid="{00000000-0005-0000-0000-00009C0F0000}"/>
    <cellStyle name="20% - Accent2 3 2 6 4" xfId="25049" xr:uid="{00000000-0005-0000-0000-00009D0F0000}"/>
    <cellStyle name="20% - Accent2 3 2 7" xfId="4049" xr:uid="{00000000-0005-0000-0000-00009E0F0000}"/>
    <cellStyle name="20% - Accent2 3 2 7 2" xfId="9699" xr:uid="{00000000-0005-0000-0000-00009F0F0000}"/>
    <cellStyle name="20% - Accent2 3 2 7 2 2" xfId="21000" xr:uid="{00000000-0005-0000-0000-0000A00F0000}"/>
    <cellStyle name="20% - Accent2 3 2 7 2 2 2" xfId="43602" xr:uid="{00000000-0005-0000-0000-0000A10F0000}"/>
    <cellStyle name="20% - Accent2 3 2 7 2 3" xfId="32301" xr:uid="{00000000-0005-0000-0000-0000A20F0000}"/>
    <cellStyle name="20% - Accent2 3 2 7 3" xfId="15350" xr:uid="{00000000-0005-0000-0000-0000A30F0000}"/>
    <cellStyle name="20% - Accent2 3 2 7 3 2" xfId="37952" xr:uid="{00000000-0005-0000-0000-0000A40F0000}"/>
    <cellStyle name="20% - Accent2 3 2 7 4" xfId="26651" xr:uid="{00000000-0005-0000-0000-0000A50F0000}"/>
    <cellStyle name="20% - Accent2 3 2 8" xfId="6500" xr:uid="{00000000-0005-0000-0000-0000A60F0000}"/>
    <cellStyle name="20% - Accent2 3 2 8 2" xfId="17801" xr:uid="{00000000-0005-0000-0000-0000A70F0000}"/>
    <cellStyle name="20% - Accent2 3 2 8 2 2" xfId="40403" xr:uid="{00000000-0005-0000-0000-0000A80F0000}"/>
    <cellStyle name="20% - Accent2 3 2 8 3" xfId="29102" xr:uid="{00000000-0005-0000-0000-0000A90F0000}"/>
    <cellStyle name="20% - Accent2 3 2 9" xfId="12151" xr:uid="{00000000-0005-0000-0000-0000AA0F0000}"/>
    <cellStyle name="20% - Accent2 3 2 9 2" xfId="34753" xr:uid="{00000000-0005-0000-0000-0000AB0F0000}"/>
    <cellStyle name="20% - Accent2 3 3" xfId="406" xr:uid="{00000000-0005-0000-0000-0000AC0F0000}"/>
    <cellStyle name="20% - Accent2 3 3 10" xfId="23501" xr:uid="{00000000-0005-0000-0000-0000AD0F0000}"/>
    <cellStyle name="20% - Accent2 3 3 2" xfId="651" xr:uid="{00000000-0005-0000-0000-0000AE0F0000}"/>
    <cellStyle name="20% - Accent2 3 3 2 2" xfId="1361" xr:uid="{00000000-0005-0000-0000-0000AF0F0000}"/>
    <cellStyle name="20% - Accent2 3 3 2 2 2" xfId="1594" xr:uid="{00000000-0005-0000-0000-0000B00F0000}"/>
    <cellStyle name="20% - Accent2 3 3 2 2 2 2" xfId="3430" xr:uid="{00000000-0005-0000-0000-0000B10F0000}"/>
    <cellStyle name="20% - Accent2 3 3 2 2 2 2 2" xfId="6402" xr:uid="{00000000-0005-0000-0000-0000B20F0000}"/>
    <cellStyle name="20% - Accent2 3 3 2 2 2 2 2 2" xfId="12052" xr:uid="{00000000-0005-0000-0000-0000B30F0000}"/>
    <cellStyle name="20% - Accent2 3 3 2 2 2 2 2 2 2" xfId="23353" xr:uid="{00000000-0005-0000-0000-0000B40F0000}"/>
    <cellStyle name="20% - Accent2 3 3 2 2 2 2 2 2 2 2" xfId="45955" xr:uid="{00000000-0005-0000-0000-0000B50F0000}"/>
    <cellStyle name="20% - Accent2 3 3 2 2 2 2 2 2 3" xfId="34654" xr:uid="{00000000-0005-0000-0000-0000B60F0000}"/>
    <cellStyle name="20% - Accent2 3 3 2 2 2 2 2 3" xfId="17703" xr:uid="{00000000-0005-0000-0000-0000B70F0000}"/>
    <cellStyle name="20% - Accent2 3 3 2 2 2 2 2 3 2" xfId="40305" xr:uid="{00000000-0005-0000-0000-0000B80F0000}"/>
    <cellStyle name="20% - Accent2 3 3 2 2 2 2 2 4" xfId="29004" xr:uid="{00000000-0005-0000-0000-0000B90F0000}"/>
    <cellStyle name="20% - Accent2 3 3 2 2 2 2 3" xfId="9220" xr:uid="{00000000-0005-0000-0000-0000BA0F0000}"/>
    <cellStyle name="20% - Accent2 3 3 2 2 2 2 3 2" xfId="20521" xr:uid="{00000000-0005-0000-0000-0000BB0F0000}"/>
    <cellStyle name="20% - Accent2 3 3 2 2 2 2 3 2 2" xfId="43123" xr:uid="{00000000-0005-0000-0000-0000BC0F0000}"/>
    <cellStyle name="20% - Accent2 3 3 2 2 2 2 3 3" xfId="31822" xr:uid="{00000000-0005-0000-0000-0000BD0F0000}"/>
    <cellStyle name="20% - Accent2 3 3 2 2 2 2 4" xfId="14871" xr:uid="{00000000-0005-0000-0000-0000BE0F0000}"/>
    <cellStyle name="20% - Accent2 3 3 2 2 2 2 4 2" xfId="37473" xr:uid="{00000000-0005-0000-0000-0000BF0F0000}"/>
    <cellStyle name="20% - Accent2 3 3 2 2 2 2 5" xfId="26172" xr:uid="{00000000-0005-0000-0000-0000C00F0000}"/>
    <cellStyle name="20% - Accent2 3 3 2 2 2 3" xfId="5168" xr:uid="{00000000-0005-0000-0000-0000C10F0000}"/>
    <cellStyle name="20% - Accent2 3 3 2 2 2 3 2" xfId="10818" xr:uid="{00000000-0005-0000-0000-0000C20F0000}"/>
    <cellStyle name="20% - Accent2 3 3 2 2 2 3 2 2" xfId="22119" xr:uid="{00000000-0005-0000-0000-0000C30F0000}"/>
    <cellStyle name="20% - Accent2 3 3 2 2 2 3 2 2 2" xfId="44721" xr:uid="{00000000-0005-0000-0000-0000C40F0000}"/>
    <cellStyle name="20% - Accent2 3 3 2 2 2 3 2 3" xfId="33420" xr:uid="{00000000-0005-0000-0000-0000C50F0000}"/>
    <cellStyle name="20% - Accent2 3 3 2 2 2 3 3" xfId="16469" xr:uid="{00000000-0005-0000-0000-0000C60F0000}"/>
    <cellStyle name="20% - Accent2 3 3 2 2 2 3 3 2" xfId="39071" xr:uid="{00000000-0005-0000-0000-0000C70F0000}"/>
    <cellStyle name="20% - Accent2 3 3 2 2 2 3 4" xfId="27770" xr:uid="{00000000-0005-0000-0000-0000C80F0000}"/>
    <cellStyle name="20% - Accent2 3 3 2 2 2 4" xfId="7450" xr:uid="{00000000-0005-0000-0000-0000C90F0000}"/>
    <cellStyle name="20% - Accent2 3 3 2 2 2 4 2" xfId="18751" xr:uid="{00000000-0005-0000-0000-0000CA0F0000}"/>
    <cellStyle name="20% - Accent2 3 3 2 2 2 4 2 2" xfId="41353" xr:uid="{00000000-0005-0000-0000-0000CB0F0000}"/>
    <cellStyle name="20% - Accent2 3 3 2 2 2 4 3" xfId="30052" xr:uid="{00000000-0005-0000-0000-0000CC0F0000}"/>
    <cellStyle name="20% - Accent2 3 3 2 2 2 5" xfId="13101" xr:uid="{00000000-0005-0000-0000-0000CD0F0000}"/>
    <cellStyle name="20% - Accent2 3 3 2 2 2 5 2" xfId="35703" xr:uid="{00000000-0005-0000-0000-0000CE0F0000}"/>
    <cellStyle name="20% - Accent2 3 3 2 2 2 6" xfId="24402" xr:uid="{00000000-0005-0000-0000-0000CF0F0000}"/>
    <cellStyle name="20% - Accent2 3 3 2 2 3" xfId="2759" xr:uid="{00000000-0005-0000-0000-0000D00F0000}"/>
    <cellStyle name="20% - Accent2 3 3 2 2 3 2" xfId="5778" xr:uid="{00000000-0005-0000-0000-0000D10F0000}"/>
    <cellStyle name="20% - Accent2 3 3 2 2 3 2 2" xfId="11428" xr:uid="{00000000-0005-0000-0000-0000D20F0000}"/>
    <cellStyle name="20% - Accent2 3 3 2 2 3 2 2 2" xfId="22729" xr:uid="{00000000-0005-0000-0000-0000D30F0000}"/>
    <cellStyle name="20% - Accent2 3 3 2 2 3 2 2 2 2" xfId="45331" xr:uid="{00000000-0005-0000-0000-0000D40F0000}"/>
    <cellStyle name="20% - Accent2 3 3 2 2 3 2 2 3" xfId="34030" xr:uid="{00000000-0005-0000-0000-0000D50F0000}"/>
    <cellStyle name="20% - Accent2 3 3 2 2 3 2 3" xfId="17079" xr:uid="{00000000-0005-0000-0000-0000D60F0000}"/>
    <cellStyle name="20% - Accent2 3 3 2 2 3 2 3 2" xfId="39681" xr:uid="{00000000-0005-0000-0000-0000D70F0000}"/>
    <cellStyle name="20% - Accent2 3 3 2 2 3 2 4" xfId="28380" xr:uid="{00000000-0005-0000-0000-0000D80F0000}"/>
    <cellStyle name="20% - Accent2 3 3 2 2 3 3" xfId="8595" xr:uid="{00000000-0005-0000-0000-0000D90F0000}"/>
    <cellStyle name="20% - Accent2 3 3 2 2 3 3 2" xfId="19896" xr:uid="{00000000-0005-0000-0000-0000DA0F0000}"/>
    <cellStyle name="20% - Accent2 3 3 2 2 3 3 2 2" xfId="42498" xr:uid="{00000000-0005-0000-0000-0000DB0F0000}"/>
    <cellStyle name="20% - Accent2 3 3 2 2 3 3 3" xfId="31197" xr:uid="{00000000-0005-0000-0000-0000DC0F0000}"/>
    <cellStyle name="20% - Accent2 3 3 2 2 3 4" xfId="14246" xr:uid="{00000000-0005-0000-0000-0000DD0F0000}"/>
    <cellStyle name="20% - Accent2 3 3 2 2 3 4 2" xfId="36848" xr:uid="{00000000-0005-0000-0000-0000DE0F0000}"/>
    <cellStyle name="20% - Accent2 3 3 2 2 3 5" xfId="25547" xr:uid="{00000000-0005-0000-0000-0000DF0F0000}"/>
    <cellStyle name="20% - Accent2 3 3 2 2 4" xfId="4544" xr:uid="{00000000-0005-0000-0000-0000E00F0000}"/>
    <cellStyle name="20% - Accent2 3 3 2 2 4 2" xfId="10194" xr:uid="{00000000-0005-0000-0000-0000E10F0000}"/>
    <cellStyle name="20% - Accent2 3 3 2 2 4 2 2" xfId="21495" xr:uid="{00000000-0005-0000-0000-0000E20F0000}"/>
    <cellStyle name="20% - Accent2 3 3 2 2 4 2 2 2" xfId="44097" xr:uid="{00000000-0005-0000-0000-0000E30F0000}"/>
    <cellStyle name="20% - Accent2 3 3 2 2 4 2 3" xfId="32796" xr:uid="{00000000-0005-0000-0000-0000E40F0000}"/>
    <cellStyle name="20% - Accent2 3 3 2 2 4 3" xfId="15845" xr:uid="{00000000-0005-0000-0000-0000E50F0000}"/>
    <cellStyle name="20% - Accent2 3 3 2 2 4 3 2" xfId="38447" xr:uid="{00000000-0005-0000-0000-0000E60F0000}"/>
    <cellStyle name="20% - Accent2 3 3 2 2 4 4" xfId="27146" xr:uid="{00000000-0005-0000-0000-0000E70F0000}"/>
    <cellStyle name="20% - Accent2 3 3 2 2 5" xfId="7340" xr:uid="{00000000-0005-0000-0000-0000E80F0000}"/>
    <cellStyle name="20% - Accent2 3 3 2 2 5 2" xfId="18641" xr:uid="{00000000-0005-0000-0000-0000E90F0000}"/>
    <cellStyle name="20% - Accent2 3 3 2 2 5 2 2" xfId="41243" xr:uid="{00000000-0005-0000-0000-0000EA0F0000}"/>
    <cellStyle name="20% - Accent2 3 3 2 2 5 3" xfId="29942" xr:uid="{00000000-0005-0000-0000-0000EB0F0000}"/>
    <cellStyle name="20% - Accent2 3 3 2 2 6" xfId="12991" xr:uid="{00000000-0005-0000-0000-0000EC0F0000}"/>
    <cellStyle name="20% - Accent2 3 3 2 2 6 2" xfId="35593" xr:uid="{00000000-0005-0000-0000-0000ED0F0000}"/>
    <cellStyle name="20% - Accent2 3 3 2 2 7" xfId="24292" xr:uid="{00000000-0005-0000-0000-0000EE0F0000}"/>
    <cellStyle name="20% - Accent2 3 3 2 3" xfId="1059" xr:uid="{00000000-0005-0000-0000-0000EF0F0000}"/>
    <cellStyle name="20% - Accent2 3 3 2 3 2" xfId="3122" xr:uid="{00000000-0005-0000-0000-0000F00F0000}"/>
    <cellStyle name="20% - Accent2 3 3 2 3 2 2" xfId="6094" xr:uid="{00000000-0005-0000-0000-0000F10F0000}"/>
    <cellStyle name="20% - Accent2 3 3 2 3 2 2 2" xfId="11744" xr:uid="{00000000-0005-0000-0000-0000F20F0000}"/>
    <cellStyle name="20% - Accent2 3 3 2 3 2 2 2 2" xfId="23045" xr:uid="{00000000-0005-0000-0000-0000F30F0000}"/>
    <cellStyle name="20% - Accent2 3 3 2 3 2 2 2 2 2" xfId="45647" xr:uid="{00000000-0005-0000-0000-0000F40F0000}"/>
    <cellStyle name="20% - Accent2 3 3 2 3 2 2 2 3" xfId="34346" xr:uid="{00000000-0005-0000-0000-0000F50F0000}"/>
    <cellStyle name="20% - Accent2 3 3 2 3 2 2 3" xfId="17395" xr:uid="{00000000-0005-0000-0000-0000F60F0000}"/>
    <cellStyle name="20% - Accent2 3 3 2 3 2 2 3 2" xfId="39997" xr:uid="{00000000-0005-0000-0000-0000F70F0000}"/>
    <cellStyle name="20% - Accent2 3 3 2 3 2 2 4" xfId="28696" xr:uid="{00000000-0005-0000-0000-0000F80F0000}"/>
    <cellStyle name="20% - Accent2 3 3 2 3 2 3" xfId="8912" xr:uid="{00000000-0005-0000-0000-0000F90F0000}"/>
    <cellStyle name="20% - Accent2 3 3 2 3 2 3 2" xfId="20213" xr:uid="{00000000-0005-0000-0000-0000FA0F0000}"/>
    <cellStyle name="20% - Accent2 3 3 2 3 2 3 2 2" xfId="42815" xr:uid="{00000000-0005-0000-0000-0000FB0F0000}"/>
    <cellStyle name="20% - Accent2 3 3 2 3 2 3 3" xfId="31514" xr:uid="{00000000-0005-0000-0000-0000FC0F0000}"/>
    <cellStyle name="20% - Accent2 3 3 2 3 2 4" xfId="14563" xr:uid="{00000000-0005-0000-0000-0000FD0F0000}"/>
    <cellStyle name="20% - Accent2 3 3 2 3 2 4 2" xfId="37165" xr:uid="{00000000-0005-0000-0000-0000FE0F0000}"/>
    <cellStyle name="20% - Accent2 3 3 2 3 2 5" xfId="25864" xr:uid="{00000000-0005-0000-0000-0000FF0F0000}"/>
    <cellStyle name="20% - Accent2 3 3 2 3 3" xfId="4860" xr:uid="{00000000-0005-0000-0000-000000100000}"/>
    <cellStyle name="20% - Accent2 3 3 2 3 3 2" xfId="10510" xr:uid="{00000000-0005-0000-0000-000001100000}"/>
    <cellStyle name="20% - Accent2 3 3 2 3 3 2 2" xfId="21811" xr:uid="{00000000-0005-0000-0000-000002100000}"/>
    <cellStyle name="20% - Accent2 3 3 2 3 3 2 2 2" xfId="44413" xr:uid="{00000000-0005-0000-0000-000003100000}"/>
    <cellStyle name="20% - Accent2 3 3 2 3 3 2 3" xfId="33112" xr:uid="{00000000-0005-0000-0000-000004100000}"/>
    <cellStyle name="20% - Accent2 3 3 2 3 3 3" xfId="16161" xr:uid="{00000000-0005-0000-0000-000005100000}"/>
    <cellStyle name="20% - Accent2 3 3 2 3 3 3 2" xfId="38763" xr:uid="{00000000-0005-0000-0000-000006100000}"/>
    <cellStyle name="20% - Accent2 3 3 2 3 3 4" xfId="27462" xr:uid="{00000000-0005-0000-0000-000007100000}"/>
    <cellStyle name="20% - Accent2 3 3 2 3 4" xfId="7047" xr:uid="{00000000-0005-0000-0000-000008100000}"/>
    <cellStyle name="20% - Accent2 3 3 2 3 4 2" xfId="18348" xr:uid="{00000000-0005-0000-0000-000009100000}"/>
    <cellStyle name="20% - Accent2 3 3 2 3 4 2 2" xfId="40950" xr:uid="{00000000-0005-0000-0000-00000A100000}"/>
    <cellStyle name="20% - Accent2 3 3 2 3 4 3" xfId="29649" xr:uid="{00000000-0005-0000-0000-00000B100000}"/>
    <cellStyle name="20% - Accent2 3 3 2 3 5" xfId="12698" xr:uid="{00000000-0005-0000-0000-00000C100000}"/>
    <cellStyle name="20% - Accent2 3 3 2 3 5 2" xfId="35300" xr:uid="{00000000-0005-0000-0000-00000D100000}"/>
    <cellStyle name="20% - Accent2 3 3 2 3 6" xfId="23999" xr:uid="{00000000-0005-0000-0000-00000E100000}"/>
    <cellStyle name="20% - Accent2 3 3 2 4" xfId="1593" xr:uid="{00000000-0005-0000-0000-00000F100000}"/>
    <cellStyle name="20% - Accent2 3 3 2 4 2" xfId="3538" xr:uid="{00000000-0005-0000-0000-000010100000}"/>
    <cellStyle name="20% - Accent2 3 3 2 4 2 2" xfId="9287" xr:uid="{00000000-0005-0000-0000-000011100000}"/>
    <cellStyle name="20% - Accent2 3 3 2 4 2 2 2" xfId="20588" xr:uid="{00000000-0005-0000-0000-000012100000}"/>
    <cellStyle name="20% - Accent2 3 3 2 4 2 2 2 2" xfId="43190" xr:uid="{00000000-0005-0000-0000-000013100000}"/>
    <cellStyle name="20% - Accent2 3 3 2 4 2 2 3" xfId="31889" xr:uid="{00000000-0005-0000-0000-000014100000}"/>
    <cellStyle name="20% - Accent2 3 3 2 4 2 3" xfId="14938" xr:uid="{00000000-0005-0000-0000-000015100000}"/>
    <cellStyle name="20% - Accent2 3 3 2 4 2 3 2" xfId="37540" xr:uid="{00000000-0005-0000-0000-000016100000}"/>
    <cellStyle name="20% - Accent2 3 3 2 4 2 4" xfId="26239" xr:uid="{00000000-0005-0000-0000-000017100000}"/>
    <cellStyle name="20% - Accent2 3 3 2 4 3" xfId="5470" xr:uid="{00000000-0005-0000-0000-000018100000}"/>
    <cellStyle name="20% - Accent2 3 3 2 4 3 2" xfId="11120" xr:uid="{00000000-0005-0000-0000-000019100000}"/>
    <cellStyle name="20% - Accent2 3 3 2 4 3 2 2" xfId="22421" xr:uid="{00000000-0005-0000-0000-00001A100000}"/>
    <cellStyle name="20% - Accent2 3 3 2 4 3 2 2 2" xfId="45023" xr:uid="{00000000-0005-0000-0000-00001B100000}"/>
    <cellStyle name="20% - Accent2 3 3 2 4 3 2 3" xfId="33722" xr:uid="{00000000-0005-0000-0000-00001C100000}"/>
    <cellStyle name="20% - Accent2 3 3 2 4 3 3" xfId="16771" xr:uid="{00000000-0005-0000-0000-00001D100000}"/>
    <cellStyle name="20% - Accent2 3 3 2 4 3 3 2" xfId="39373" xr:uid="{00000000-0005-0000-0000-00001E100000}"/>
    <cellStyle name="20% - Accent2 3 3 2 4 3 4" xfId="28072" xr:uid="{00000000-0005-0000-0000-00001F100000}"/>
    <cellStyle name="20% - Accent2 3 3 2 4 4" xfId="7449" xr:uid="{00000000-0005-0000-0000-000020100000}"/>
    <cellStyle name="20% - Accent2 3 3 2 4 4 2" xfId="18750" xr:uid="{00000000-0005-0000-0000-000021100000}"/>
    <cellStyle name="20% - Accent2 3 3 2 4 4 2 2" xfId="41352" xr:uid="{00000000-0005-0000-0000-000022100000}"/>
    <cellStyle name="20% - Accent2 3 3 2 4 4 3" xfId="30051" xr:uid="{00000000-0005-0000-0000-000023100000}"/>
    <cellStyle name="20% - Accent2 3 3 2 4 5" xfId="13100" xr:uid="{00000000-0005-0000-0000-000024100000}"/>
    <cellStyle name="20% - Accent2 3 3 2 4 5 2" xfId="35702" xr:uid="{00000000-0005-0000-0000-000025100000}"/>
    <cellStyle name="20% - Accent2 3 3 2 4 6" xfId="24401" xr:uid="{00000000-0005-0000-0000-000026100000}"/>
    <cellStyle name="20% - Accent2 3 3 2 5" xfId="2451" xr:uid="{00000000-0005-0000-0000-000027100000}"/>
    <cellStyle name="20% - Accent2 3 3 2 5 2" xfId="8287" xr:uid="{00000000-0005-0000-0000-000028100000}"/>
    <cellStyle name="20% - Accent2 3 3 2 5 2 2" xfId="19588" xr:uid="{00000000-0005-0000-0000-000029100000}"/>
    <cellStyle name="20% - Accent2 3 3 2 5 2 2 2" xfId="42190" xr:uid="{00000000-0005-0000-0000-00002A100000}"/>
    <cellStyle name="20% - Accent2 3 3 2 5 2 3" xfId="30889" xr:uid="{00000000-0005-0000-0000-00002B100000}"/>
    <cellStyle name="20% - Accent2 3 3 2 5 3" xfId="13938" xr:uid="{00000000-0005-0000-0000-00002C100000}"/>
    <cellStyle name="20% - Accent2 3 3 2 5 3 2" xfId="36540" xr:uid="{00000000-0005-0000-0000-00002D100000}"/>
    <cellStyle name="20% - Accent2 3 3 2 5 4" xfId="25239" xr:uid="{00000000-0005-0000-0000-00002E100000}"/>
    <cellStyle name="20% - Accent2 3 3 2 6" xfId="4236" xr:uid="{00000000-0005-0000-0000-00002F100000}"/>
    <cellStyle name="20% - Accent2 3 3 2 6 2" xfId="9886" xr:uid="{00000000-0005-0000-0000-000030100000}"/>
    <cellStyle name="20% - Accent2 3 3 2 6 2 2" xfId="21187" xr:uid="{00000000-0005-0000-0000-000031100000}"/>
    <cellStyle name="20% - Accent2 3 3 2 6 2 2 2" xfId="43789" xr:uid="{00000000-0005-0000-0000-000032100000}"/>
    <cellStyle name="20% - Accent2 3 3 2 6 2 3" xfId="32488" xr:uid="{00000000-0005-0000-0000-000033100000}"/>
    <cellStyle name="20% - Accent2 3 3 2 6 3" xfId="15537" xr:uid="{00000000-0005-0000-0000-000034100000}"/>
    <cellStyle name="20% - Accent2 3 3 2 6 3 2" xfId="38139" xr:uid="{00000000-0005-0000-0000-000035100000}"/>
    <cellStyle name="20% - Accent2 3 3 2 6 4" xfId="26838" xr:uid="{00000000-0005-0000-0000-000036100000}"/>
    <cellStyle name="20% - Accent2 3 3 2 7" xfId="6716" xr:uid="{00000000-0005-0000-0000-000037100000}"/>
    <cellStyle name="20% - Accent2 3 3 2 7 2" xfId="18017" xr:uid="{00000000-0005-0000-0000-000038100000}"/>
    <cellStyle name="20% - Accent2 3 3 2 7 2 2" xfId="40619" xr:uid="{00000000-0005-0000-0000-000039100000}"/>
    <cellStyle name="20% - Accent2 3 3 2 7 3" xfId="29318" xr:uid="{00000000-0005-0000-0000-00003A100000}"/>
    <cellStyle name="20% - Accent2 3 3 2 8" xfId="12367" xr:uid="{00000000-0005-0000-0000-00003B100000}"/>
    <cellStyle name="20% - Accent2 3 3 2 8 2" xfId="34969" xr:uid="{00000000-0005-0000-0000-00003C100000}"/>
    <cellStyle name="20% - Accent2 3 3 2 9" xfId="23668" xr:uid="{00000000-0005-0000-0000-00003D100000}"/>
    <cellStyle name="20% - Accent2 3 3 3" xfId="1223" xr:uid="{00000000-0005-0000-0000-00003E100000}"/>
    <cellStyle name="20% - Accent2 3 3 3 2" xfId="1595" xr:uid="{00000000-0005-0000-0000-00003F100000}"/>
    <cellStyle name="20% - Accent2 3 3 3 2 2" xfId="3291" xr:uid="{00000000-0005-0000-0000-000040100000}"/>
    <cellStyle name="20% - Accent2 3 3 3 2 2 2" xfId="6263" xr:uid="{00000000-0005-0000-0000-000041100000}"/>
    <cellStyle name="20% - Accent2 3 3 3 2 2 2 2" xfId="11913" xr:uid="{00000000-0005-0000-0000-000042100000}"/>
    <cellStyle name="20% - Accent2 3 3 3 2 2 2 2 2" xfId="23214" xr:uid="{00000000-0005-0000-0000-000043100000}"/>
    <cellStyle name="20% - Accent2 3 3 3 2 2 2 2 2 2" xfId="45816" xr:uid="{00000000-0005-0000-0000-000044100000}"/>
    <cellStyle name="20% - Accent2 3 3 3 2 2 2 2 3" xfId="34515" xr:uid="{00000000-0005-0000-0000-000045100000}"/>
    <cellStyle name="20% - Accent2 3 3 3 2 2 2 3" xfId="17564" xr:uid="{00000000-0005-0000-0000-000046100000}"/>
    <cellStyle name="20% - Accent2 3 3 3 2 2 2 3 2" xfId="40166" xr:uid="{00000000-0005-0000-0000-000047100000}"/>
    <cellStyle name="20% - Accent2 3 3 3 2 2 2 4" xfId="28865" xr:uid="{00000000-0005-0000-0000-000048100000}"/>
    <cellStyle name="20% - Accent2 3 3 3 2 2 3" xfId="9081" xr:uid="{00000000-0005-0000-0000-000049100000}"/>
    <cellStyle name="20% - Accent2 3 3 3 2 2 3 2" xfId="20382" xr:uid="{00000000-0005-0000-0000-00004A100000}"/>
    <cellStyle name="20% - Accent2 3 3 3 2 2 3 2 2" xfId="42984" xr:uid="{00000000-0005-0000-0000-00004B100000}"/>
    <cellStyle name="20% - Accent2 3 3 3 2 2 3 3" xfId="31683" xr:uid="{00000000-0005-0000-0000-00004C100000}"/>
    <cellStyle name="20% - Accent2 3 3 3 2 2 4" xfId="14732" xr:uid="{00000000-0005-0000-0000-00004D100000}"/>
    <cellStyle name="20% - Accent2 3 3 3 2 2 4 2" xfId="37334" xr:uid="{00000000-0005-0000-0000-00004E100000}"/>
    <cellStyle name="20% - Accent2 3 3 3 2 2 5" xfId="26033" xr:uid="{00000000-0005-0000-0000-00004F100000}"/>
    <cellStyle name="20% - Accent2 3 3 3 2 3" xfId="5029" xr:uid="{00000000-0005-0000-0000-000050100000}"/>
    <cellStyle name="20% - Accent2 3 3 3 2 3 2" xfId="10679" xr:uid="{00000000-0005-0000-0000-000051100000}"/>
    <cellStyle name="20% - Accent2 3 3 3 2 3 2 2" xfId="21980" xr:uid="{00000000-0005-0000-0000-000052100000}"/>
    <cellStyle name="20% - Accent2 3 3 3 2 3 2 2 2" xfId="44582" xr:uid="{00000000-0005-0000-0000-000053100000}"/>
    <cellStyle name="20% - Accent2 3 3 3 2 3 2 3" xfId="33281" xr:uid="{00000000-0005-0000-0000-000054100000}"/>
    <cellStyle name="20% - Accent2 3 3 3 2 3 3" xfId="16330" xr:uid="{00000000-0005-0000-0000-000055100000}"/>
    <cellStyle name="20% - Accent2 3 3 3 2 3 3 2" xfId="38932" xr:uid="{00000000-0005-0000-0000-000056100000}"/>
    <cellStyle name="20% - Accent2 3 3 3 2 3 4" xfId="27631" xr:uid="{00000000-0005-0000-0000-000057100000}"/>
    <cellStyle name="20% - Accent2 3 3 3 2 4" xfId="7451" xr:uid="{00000000-0005-0000-0000-000058100000}"/>
    <cellStyle name="20% - Accent2 3 3 3 2 4 2" xfId="18752" xr:uid="{00000000-0005-0000-0000-000059100000}"/>
    <cellStyle name="20% - Accent2 3 3 3 2 4 2 2" xfId="41354" xr:uid="{00000000-0005-0000-0000-00005A100000}"/>
    <cellStyle name="20% - Accent2 3 3 3 2 4 3" xfId="30053" xr:uid="{00000000-0005-0000-0000-00005B100000}"/>
    <cellStyle name="20% - Accent2 3 3 3 2 5" xfId="13102" xr:uid="{00000000-0005-0000-0000-00005C100000}"/>
    <cellStyle name="20% - Accent2 3 3 3 2 5 2" xfId="35704" xr:uid="{00000000-0005-0000-0000-00005D100000}"/>
    <cellStyle name="20% - Accent2 3 3 3 2 6" xfId="24403" xr:uid="{00000000-0005-0000-0000-00005E100000}"/>
    <cellStyle name="20% - Accent2 3 3 3 3" xfId="2620" xr:uid="{00000000-0005-0000-0000-00005F100000}"/>
    <cellStyle name="20% - Accent2 3 3 3 3 2" xfId="5639" xr:uid="{00000000-0005-0000-0000-000060100000}"/>
    <cellStyle name="20% - Accent2 3 3 3 3 2 2" xfId="11289" xr:uid="{00000000-0005-0000-0000-000061100000}"/>
    <cellStyle name="20% - Accent2 3 3 3 3 2 2 2" xfId="22590" xr:uid="{00000000-0005-0000-0000-000062100000}"/>
    <cellStyle name="20% - Accent2 3 3 3 3 2 2 2 2" xfId="45192" xr:uid="{00000000-0005-0000-0000-000063100000}"/>
    <cellStyle name="20% - Accent2 3 3 3 3 2 2 3" xfId="33891" xr:uid="{00000000-0005-0000-0000-000064100000}"/>
    <cellStyle name="20% - Accent2 3 3 3 3 2 3" xfId="16940" xr:uid="{00000000-0005-0000-0000-000065100000}"/>
    <cellStyle name="20% - Accent2 3 3 3 3 2 3 2" xfId="39542" xr:uid="{00000000-0005-0000-0000-000066100000}"/>
    <cellStyle name="20% - Accent2 3 3 3 3 2 4" xfId="28241" xr:uid="{00000000-0005-0000-0000-000067100000}"/>
    <cellStyle name="20% - Accent2 3 3 3 3 3" xfId="8456" xr:uid="{00000000-0005-0000-0000-000068100000}"/>
    <cellStyle name="20% - Accent2 3 3 3 3 3 2" xfId="19757" xr:uid="{00000000-0005-0000-0000-000069100000}"/>
    <cellStyle name="20% - Accent2 3 3 3 3 3 2 2" xfId="42359" xr:uid="{00000000-0005-0000-0000-00006A100000}"/>
    <cellStyle name="20% - Accent2 3 3 3 3 3 3" xfId="31058" xr:uid="{00000000-0005-0000-0000-00006B100000}"/>
    <cellStyle name="20% - Accent2 3 3 3 3 4" xfId="14107" xr:uid="{00000000-0005-0000-0000-00006C100000}"/>
    <cellStyle name="20% - Accent2 3 3 3 3 4 2" xfId="36709" xr:uid="{00000000-0005-0000-0000-00006D100000}"/>
    <cellStyle name="20% - Accent2 3 3 3 3 5" xfId="25408" xr:uid="{00000000-0005-0000-0000-00006E100000}"/>
    <cellStyle name="20% - Accent2 3 3 3 4" xfId="4405" xr:uid="{00000000-0005-0000-0000-00006F100000}"/>
    <cellStyle name="20% - Accent2 3 3 3 4 2" xfId="10055" xr:uid="{00000000-0005-0000-0000-000070100000}"/>
    <cellStyle name="20% - Accent2 3 3 3 4 2 2" xfId="21356" xr:uid="{00000000-0005-0000-0000-000071100000}"/>
    <cellStyle name="20% - Accent2 3 3 3 4 2 2 2" xfId="43958" xr:uid="{00000000-0005-0000-0000-000072100000}"/>
    <cellStyle name="20% - Accent2 3 3 3 4 2 3" xfId="32657" xr:uid="{00000000-0005-0000-0000-000073100000}"/>
    <cellStyle name="20% - Accent2 3 3 3 4 3" xfId="15706" xr:uid="{00000000-0005-0000-0000-000074100000}"/>
    <cellStyle name="20% - Accent2 3 3 3 4 3 2" xfId="38308" xr:uid="{00000000-0005-0000-0000-000075100000}"/>
    <cellStyle name="20% - Accent2 3 3 3 4 4" xfId="27007" xr:uid="{00000000-0005-0000-0000-000076100000}"/>
    <cellStyle name="20% - Accent2 3 3 3 5" xfId="7202" xr:uid="{00000000-0005-0000-0000-000077100000}"/>
    <cellStyle name="20% - Accent2 3 3 3 5 2" xfId="18503" xr:uid="{00000000-0005-0000-0000-000078100000}"/>
    <cellStyle name="20% - Accent2 3 3 3 5 2 2" xfId="41105" xr:uid="{00000000-0005-0000-0000-000079100000}"/>
    <cellStyle name="20% - Accent2 3 3 3 5 3" xfId="29804" xr:uid="{00000000-0005-0000-0000-00007A100000}"/>
    <cellStyle name="20% - Accent2 3 3 3 6" xfId="12853" xr:uid="{00000000-0005-0000-0000-00007B100000}"/>
    <cellStyle name="20% - Accent2 3 3 3 6 2" xfId="35455" xr:uid="{00000000-0005-0000-0000-00007C100000}"/>
    <cellStyle name="20% - Accent2 3 3 3 7" xfId="24154" xr:uid="{00000000-0005-0000-0000-00007D100000}"/>
    <cellStyle name="20% - Accent2 3 3 4" xfId="914" xr:uid="{00000000-0005-0000-0000-00007E100000}"/>
    <cellStyle name="20% - Accent2 3 3 4 2" xfId="2984" xr:uid="{00000000-0005-0000-0000-00007F100000}"/>
    <cellStyle name="20% - Accent2 3 3 4 2 2" xfId="5956" xr:uid="{00000000-0005-0000-0000-000080100000}"/>
    <cellStyle name="20% - Accent2 3 3 4 2 2 2" xfId="11606" xr:uid="{00000000-0005-0000-0000-000081100000}"/>
    <cellStyle name="20% - Accent2 3 3 4 2 2 2 2" xfId="22907" xr:uid="{00000000-0005-0000-0000-000082100000}"/>
    <cellStyle name="20% - Accent2 3 3 4 2 2 2 2 2" xfId="45509" xr:uid="{00000000-0005-0000-0000-000083100000}"/>
    <cellStyle name="20% - Accent2 3 3 4 2 2 2 3" xfId="34208" xr:uid="{00000000-0005-0000-0000-000084100000}"/>
    <cellStyle name="20% - Accent2 3 3 4 2 2 3" xfId="17257" xr:uid="{00000000-0005-0000-0000-000085100000}"/>
    <cellStyle name="20% - Accent2 3 3 4 2 2 3 2" xfId="39859" xr:uid="{00000000-0005-0000-0000-000086100000}"/>
    <cellStyle name="20% - Accent2 3 3 4 2 2 4" xfId="28558" xr:uid="{00000000-0005-0000-0000-000087100000}"/>
    <cellStyle name="20% - Accent2 3 3 4 2 3" xfId="8774" xr:uid="{00000000-0005-0000-0000-000088100000}"/>
    <cellStyle name="20% - Accent2 3 3 4 2 3 2" xfId="20075" xr:uid="{00000000-0005-0000-0000-000089100000}"/>
    <cellStyle name="20% - Accent2 3 3 4 2 3 2 2" xfId="42677" xr:uid="{00000000-0005-0000-0000-00008A100000}"/>
    <cellStyle name="20% - Accent2 3 3 4 2 3 3" xfId="31376" xr:uid="{00000000-0005-0000-0000-00008B100000}"/>
    <cellStyle name="20% - Accent2 3 3 4 2 4" xfId="14425" xr:uid="{00000000-0005-0000-0000-00008C100000}"/>
    <cellStyle name="20% - Accent2 3 3 4 2 4 2" xfId="37027" xr:uid="{00000000-0005-0000-0000-00008D100000}"/>
    <cellStyle name="20% - Accent2 3 3 4 2 5" xfId="25726" xr:uid="{00000000-0005-0000-0000-00008E100000}"/>
    <cellStyle name="20% - Accent2 3 3 4 3" xfId="4722" xr:uid="{00000000-0005-0000-0000-00008F100000}"/>
    <cellStyle name="20% - Accent2 3 3 4 3 2" xfId="10372" xr:uid="{00000000-0005-0000-0000-000090100000}"/>
    <cellStyle name="20% - Accent2 3 3 4 3 2 2" xfId="21673" xr:uid="{00000000-0005-0000-0000-000091100000}"/>
    <cellStyle name="20% - Accent2 3 3 4 3 2 2 2" xfId="44275" xr:uid="{00000000-0005-0000-0000-000092100000}"/>
    <cellStyle name="20% - Accent2 3 3 4 3 2 3" xfId="32974" xr:uid="{00000000-0005-0000-0000-000093100000}"/>
    <cellStyle name="20% - Accent2 3 3 4 3 3" xfId="16023" xr:uid="{00000000-0005-0000-0000-000094100000}"/>
    <cellStyle name="20% - Accent2 3 3 4 3 3 2" xfId="38625" xr:uid="{00000000-0005-0000-0000-000095100000}"/>
    <cellStyle name="20% - Accent2 3 3 4 3 4" xfId="27324" xr:uid="{00000000-0005-0000-0000-000096100000}"/>
    <cellStyle name="20% - Accent2 3 3 4 4" xfId="6909" xr:uid="{00000000-0005-0000-0000-000097100000}"/>
    <cellStyle name="20% - Accent2 3 3 4 4 2" xfId="18210" xr:uid="{00000000-0005-0000-0000-000098100000}"/>
    <cellStyle name="20% - Accent2 3 3 4 4 2 2" xfId="40812" xr:uid="{00000000-0005-0000-0000-000099100000}"/>
    <cellStyle name="20% - Accent2 3 3 4 4 3" xfId="29511" xr:uid="{00000000-0005-0000-0000-00009A100000}"/>
    <cellStyle name="20% - Accent2 3 3 4 5" xfId="12560" xr:uid="{00000000-0005-0000-0000-00009B100000}"/>
    <cellStyle name="20% - Accent2 3 3 4 5 2" xfId="35162" xr:uid="{00000000-0005-0000-0000-00009C100000}"/>
    <cellStyle name="20% - Accent2 3 3 4 6" xfId="23861" xr:uid="{00000000-0005-0000-0000-00009D100000}"/>
    <cellStyle name="20% - Accent2 3 3 5" xfId="1592" xr:uid="{00000000-0005-0000-0000-00009E100000}"/>
    <cellStyle name="20% - Accent2 3 3 5 2" xfId="3588" xr:uid="{00000000-0005-0000-0000-00009F100000}"/>
    <cellStyle name="20% - Accent2 3 3 5 2 2" xfId="9307" xr:uid="{00000000-0005-0000-0000-0000A0100000}"/>
    <cellStyle name="20% - Accent2 3 3 5 2 2 2" xfId="20608" xr:uid="{00000000-0005-0000-0000-0000A1100000}"/>
    <cellStyle name="20% - Accent2 3 3 5 2 2 2 2" xfId="43210" xr:uid="{00000000-0005-0000-0000-0000A2100000}"/>
    <cellStyle name="20% - Accent2 3 3 5 2 2 3" xfId="31909" xr:uid="{00000000-0005-0000-0000-0000A3100000}"/>
    <cellStyle name="20% - Accent2 3 3 5 2 3" xfId="14958" xr:uid="{00000000-0005-0000-0000-0000A4100000}"/>
    <cellStyle name="20% - Accent2 3 3 5 2 3 2" xfId="37560" xr:uid="{00000000-0005-0000-0000-0000A5100000}"/>
    <cellStyle name="20% - Accent2 3 3 5 2 4" xfId="26259" xr:uid="{00000000-0005-0000-0000-0000A6100000}"/>
    <cellStyle name="20% - Accent2 3 3 5 3" xfId="5332" xr:uid="{00000000-0005-0000-0000-0000A7100000}"/>
    <cellStyle name="20% - Accent2 3 3 5 3 2" xfId="10982" xr:uid="{00000000-0005-0000-0000-0000A8100000}"/>
    <cellStyle name="20% - Accent2 3 3 5 3 2 2" xfId="22283" xr:uid="{00000000-0005-0000-0000-0000A9100000}"/>
    <cellStyle name="20% - Accent2 3 3 5 3 2 2 2" xfId="44885" xr:uid="{00000000-0005-0000-0000-0000AA100000}"/>
    <cellStyle name="20% - Accent2 3 3 5 3 2 3" xfId="33584" xr:uid="{00000000-0005-0000-0000-0000AB100000}"/>
    <cellStyle name="20% - Accent2 3 3 5 3 3" xfId="16633" xr:uid="{00000000-0005-0000-0000-0000AC100000}"/>
    <cellStyle name="20% - Accent2 3 3 5 3 3 2" xfId="39235" xr:uid="{00000000-0005-0000-0000-0000AD100000}"/>
    <cellStyle name="20% - Accent2 3 3 5 3 4" xfId="27934" xr:uid="{00000000-0005-0000-0000-0000AE100000}"/>
    <cellStyle name="20% - Accent2 3 3 5 4" xfId="7448" xr:uid="{00000000-0005-0000-0000-0000AF100000}"/>
    <cellStyle name="20% - Accent2 3 3 5 4 2" xfId="18749" xr:uid="{00000000-0005-0000-0000-0000B0100000}"/>
    <cellStyle name="20% - Accent2 3 3 5 4 2 2" xfId="41351" xr:uid="{00000000-0005-0000-0000-0000B1100000}"/>
    <cellStyle name="20% - Accent2 3 3 5 4 3" xfId="30050" xr:uid="{00000000-0005-0000-0000-0000B2100000}"/>
    <cellStyle name="20% - Accent2 3 3 5 5" xfId="13099" xr:uid="{00000000-0005-0000-0000-0000B3100000}"/>
    <cellStyle name="20% - Accent2 3 3 5 5 2" xfId="35701" xr:uid="{00000000-0005-0000-0000-0000B4100000}"/>
    <cellStyle name="20% - Accent2 3 3 5 6" xfId="24400" xr:uid="{00000000-0005-0000-0000-0000B5100000}"/>
    <cellStyle name="20% - Accent2 3 3 6" xfId="2311" xr:uid="{00000000-0005-0000-0000-0000B6100000}"/>
    <cellStyle name="20% - Accent2 3 3 6 2" xfId="8147" xr:uid="{00000000-0005-0000-0000-0000B7100000}"/>
    <cellStyle name="20% - Accent2 3 3 6 2 2" xfId="19448" xr:uid="{00000000-0005-0000-0000-0000B8100000}"/>
    <cellStyle name="20% - Accent2 3 3 6 2 2 2" xfId="42050" xr:uid="{00000000-0005-0000-0000-0000B9100000}"/>
    <cellStyle name="20% - Accent2 3 3 6 2 3" xfId="30749" xr:uid="{00000000-0005-0000-0000-0000BA100000}"/>
    <cellStyle name="20% - Accent2 3 3 6 3" xfId="13798" xr:uid="{00000000-0005-0000-0000-0000BB100000}"/>
    <cellStyle name="20% - Accent2 3 3 6 3 2" xfId="36400" xr:uid="{00000000-0005-0000-0000-0000BC100000}"/>
    <cellStyle name="20% - Accent2 3 3 6 4" xfId="25099" xr:uid="{00000000-0005-0000-0000-0000BD100000}"/>
    <cellStyle name="20% - Accent2 3 3 7" xfId="4098" xr:uid="{00000000-0005-0000-0000-0000BE100000}"/>
    <cellStyle name="20% - Accent2 3 3 7 2" xfId="9748" xr:uid="{00000000-0005-0000-0000-0000BF100000}"/>
    <cellStyle name="20% - Accent2 3 3 7 2 2" xfId="21049" xr:uid="{00000000-0005-0000-0000-0000C0100000}"/>
    <cellStyle name="20% - Accent2 3 3 7 2 2 2" xfId="43651" xr:uid="{00000000-0005-0000-0000-0000C1100000}"/>
    <cellStyle name="20% - Accent2 3 3 7 2 3" xfId="32350" xr:uid="{00000000-0005-0000-0000-0000C2100000}"/>
    <cellStyle name="20% - Accent2 3 3 7 3" xfId="15399" xr:uid="{00000000-0005-0000-0000-0000C3100000}"/>
    <cellStyle name="20% - Accent2 3 3 7 3 2" xfId="38001" xr:uid="{00000000-0005-0000-0000-0000C4100000}"/>
    <cellStyle name="20% - Accent2 3 3 7 4" xfId="26700" xr:uid="{00000000-0005-0000-0000-0000C5100000}"/>
    <cellStyle name="20% - Accent2 3 3 8" xfId="6549" xr:uid="{00000000-0005-0000-0000-0000C6100000}"/>
    <cellStyle name="20% - Accent2 3 3 8 2" xfId="17850" xr:uid="{00000000-0005-0000-0000-0000C7100000}"/>
    <cellStyle name="20% - Accent2 3 3 8 2 2" xfId="40452" xr:uid="{00000000-0005-0000-0000-0000C8100000}"/>
    <cellStyle name="20% - Accent2 3 3 8 3" xfId="29151" xr:uid="{00000000-0005-0000-0000-0000C9100000}"/>
    <cellStyle name="20% - Accent2 3 3 9" xfId="12200" xr:uid="{00000000-0005-0000-0000-0000CA100000}"/>
    <cellStyle name="20% - Accent2 3 3 9 2" xfId="34802" xr:uid="{00000000-0005-0000-0000-0000CB100000}"/>
    <cellStyle name="20% - Accent2 3 4" xfId="544" xr:uid="{00000000-0005-0000-0000-0000CC100000}"/>
    <cellStyle name="20% - Accent2 3 4 2" xfId="1127" xr:uid="{00000000-0005-0000-0000-0000CD100000}"/>
    <cellStyle name="20% - Accent2 3 4 2 2" xfId="1597" xr:uid="{00000000-0005-0000-0000-0000CE100000}"/>
    <cellStyle name="20% - Accent2 3 4 2 2 2" xfId="3194" xr:uid="{00000000-0005-0000-0000-0000CF100000}"/>
    <cellStyle name="20% - Accent2 3 4 2 2 2 2" xfId="6166" xr:uid="{00000000-0005-0000-0000-0000D0100000}"/>
    <cellStyle name="20% - Accent2 3 4 2 2 2 2 2" xfId="11816" xr:uid="{00000000-0005-0000-0000-0000D1100000}"/>
    <cellStyle name="20% - Accent2 3 4 2 2 2 2 2 2" xfId="23117" xr:uid="{00000000-0005-0000-0000-0000D2100000}"/>
    <cellStyle name="20% - Accent2 3 4 2 2 2 2 2 2 2" xfId="45719" xr:uid="{00000000-0005-0000-0000-0000D3100000}"/>
    <cellStyle name="20% - Accent2 3 4 2 2 2 2 2 3" xfId="34418" xr:uid="{00000000-0005-0000-0000-0000D4100000}"/>
    <cellStyle name="20% - Accent2 3 4 2 2 2 2 3" xfId="17467" xr:uid="{00000000-0005-0000-0000-0000D5100000}"/>
    <cellStyle name="20% - Accent2 3 4 2 2 2 2 3 2" xfId="40069" xr:uid="{00000000-0005-0000-0000-0000D6100000}"/>
    <cellStyle name="20% - Accent2 3 4 2 2 2 2 4" xfId="28768" xr:uid="{00000000-0005-0000-0000-0000D7100000}"/>
    <cellStyle name="20% - Accent2 3 4 2 2 2 3" xfId="8984" xr:uid="{00000000-0005-0000-0000-0000D8100000}"/>
    <cellStyle name="20% - Accent2 3 4 2 2 2 3 2" xfId="20285" xr:uid="{00000000-0005-0000-0000-0000D9100000}"/>
    <cellStyle name="20% - Accent2 3 4 2 2 2 3 2 2" xfId="42887" xr:uid="{00000000-0005-0000-0000-0000DA100000}"/>
    <cellStyle name="20% - Accent2 3 4 2 2 2 3 3" xfId="31586" xr:uid="{00000000-0005-0000-0000-0000DB100000}"/>
    <cellStyle name="20% - Accent2 3 4 2 2 2 4" xfId="14635" xr:uid="{00000000-0005-0000-0000-0000DC100000}"/>
    <cellStyle name="20% - Accent2 3 4 2 2 2 4 2" xfId="37237" xr:uid="{00000000-0005-0000-0000-0000DD100000}"/>
    <cellStyle name="20% - Accent2 3 4 2 2 2 5" xfId="25936" xr:uid="{00000000-0005-0000-0000-0000DE100000}"/>
    <cellStyle name="20% - Accent2 3 4 2 2 3" xfId="4932" xr:uid="{00000000-0005-0000-0000-0000DF100000}"/>
    <cellStyle name="20% - Accent2 3 4 2 2 3 2" xfId="10582" xr:uid="{00000000-0005-0000-0000-0000E0100000}"/>
    <cellStyle name="20% - Accent2 3 4 2 2 3 2 2" xfId="21883" xr:uid="{00000000-0005-0000-0000-0000E1100000}"/>
    <cellStyle name="20% - Accent2 3 4 2 2 3 2 2 2" xfId="44485" xr:uid="{00000000-0005-0000-0000-0000E2100000}"/>
    <cellStyle name="20% - Accent2 3 4 2 2 3 2 3" xfId="33184" xr:uid="{00000000-0005-0000-0000-0000E3100000}"/>
    <cellStyle name="20% - Accent2 3 4 2 2 3 3" xfId="16233" xr:uid="{00000000-0005-0000-0000-0000E4100000}"/>
    <cellStyle name="20% - Accent2 3 4 2 2 3 3 2" xfId="38835" xr:uid="{00000000-0005-0000-0000-0000E5100000}"/>
    <cellStyle name="20% - Accent2 3 4 2 2 3 4" xfId="27534" xr:uid="{00000000-0005-0000-0000-0000E6100000}"/>
    <cellStyle name="20% - Accent2 3 4 2 2 4" xfId="7453" xr:uid="{00000000-0005-0000-0000-0000E7100000}"/>
    <cellStyle name="20% - Accent2 3 4 2 2 4 2" xfId="18754" xr:uid="{00000000-0005-0000-0000-0000E8100000}"/>
    <cellStyle name="20% - Accent2 3 4 2 2 4 2 2" xfId="41356" xr:uid="{00000000-0005-0000-0000-0000E9100000}"/>
    <cellStyle name="20% - Accent2 3 4 2 2 4 3" xfId="30055" xr:uid="{00000000-0005-0000-0000-0000EA100000}"/>
    <cellStyle name="20% - Accent2 3 4 2 2 5" xfId="13104" xr:uid="{00000000-0005-0000-0000-0000EB100000}"/>
    <cellStyle name="20% - Accent2 3 4 2 2 5 2" xfId="35706" xr:uid="{00000000-0005-0000-0000-0000EC100000}"/>
    <cellStyle name="20% - Accent2 3 4 2 2 6" xfId="24405" xr:uid="{00000000-0005-0000-0000-0000ED100000}"/>
    <cellStyle name="20% - Accent2 3 4 2 3" xfId="2523" xr:uid="{00000000-0005-0000-0000-0000EE100000}"/>
    <cellStyle name="20% - Accent2 3 4 2 3 2" xfId="5542" xr:uid="{00000000-0005-0000-0000-0000EF100000}"/>
    <cellStyle name="20% - Accent2 3 4 2 3 2 2" xfId="11192" xr:uid="{00000000-0005-0000-0000-0000F0100000}"/>
    <cellStyle name="20% - Accent2 3 4 2 3 2 2 2" xfId="22493" xr:uid="{00000000-0005-0000-0000-0000F1100000}"/>
    <cellStyle name="20% - Accent2 3 4 2 3 2 2 2 2" xfId="45095" xr:uid="{00000000-0005-0000-0000-0000F2100000}"/>
    <cellStyle name="20% - Accent2 3 4 2 3 2 2 3" xfId="33794" xr:uid="{00000000-0005-0000-0000-0000F3100000}"/>
    <cellStyle name="20% - Accent2 3 4 2 3 2 3" xfId="16843" xr:uid="{00000000-0005-0000-0000-0000F4100000}"/>
    <cellStyle name="20% - Accent2 3 4 2 3 2 3 2" xfId="39445" xr:uid="{00000000-0005-0000-0000-0000F5100000}"/>
    <cellStyle name="20% - Accent2 3 4 2 3 2 4" xfId="28144" xr:uid="{00000000-0005-0000-0000-0000F6100000}"/>
    <cellStyle name="20% - Accent2 3 4 2 3 3" xfId="8359" xr:uid="{00000000-0005-0000-0000-0000F7100000}"/>
    <cellStyle name="20% - Accent2 3 4 2 3 3 2" xfId="19660" xr:uid="{00000000-0005-0000-0000-0000F8100000}"/>
    <cellStyle name="20% - Accent2 3 4 2 3 3 2 2" xfId="42262" xr:uid="{00000000-0005-0000-0000-0000F9100000}"/>
    <cellStyle name="20% - Accent2 3 4 2 3 3 3" xfId="30961" xr:uid="{00000000-0005-0000-0000-0000FA100000}"/>
    <cellStyle name="20% - Accent2 3 4 2 3 4" xfId="14010" xr:uid="{00000000-0005-0000-0000-0000FB100000}"/>
    <cellStyle name="20% - Accent2 3 4 2 3 4 2" xfId="36612" xr:uid="{00000000-0005-0000-0000-0000FC100000}"/>
    <cellStyle name="20% - Accent2 3 4 2 3 5" xfId="25311" xr:uid="{00000000-0005-0000-0000-0000FD100000}"/>
    <cellStyle name="20% - Accent2 3 4 2 4" xfId="4308" xr:uid="{00000000-0005-0000-0000-0000FE100000}"/>
    <cellStyle name="20% - Accent2 3 4 2 4 2" xfId="9958" xr:uid="{00000000-0005-0000-0000-0000FF100000}"/>
    <cellStyle name="20% - Accent2 3 4 2 4 2 2" xfId="21259" xr:uid="{00000000-0005-0000-0000-000000110000}"/>
    <cellStyle name="20% - Accent2 3 4 2 4 2 2 2" xfId="43861" xr:uid="{00000000-0005-0000-0000-000001110000}"/>
    <cellStyle name="20% - Accent2 3 4 2 4 2 3" xfId="32560" xr:uid="{00000000-0005-0000-0000-000002110000}"/>
    <cellStyle name="20% - Accent2 3 4 2 4 3" xfId="15609" xr:uid="{00000000-0005-0000-0000-000003110000}"/>
    <cellStyle name="20% - Accent2 3 4 2 4 3 2" xfId="38211" xr:uid="{00000000-0005-0000-0000-000004110000}"/>
    <cellStyle name="20% - Accent2 3 4 2 4 4" xfId="26910" xr:uid="{00000000-0005-0000-0000-000005110000}"/>
    <cellStyle name="20% - Accent2 3 4 2 5" xfId="7106" xr:uid="{00000000-0005-0000-0000-000006110000}"/>
    <cellStyle name="20% - Accent2 3 4 2 5 2" xfId="18407" xr:uid="{00000000-0005-0000-0000-000007110000}"/>
    <cellStyle name="20% - Accent2 3 4 2 5 2 2" xfId="41009" xr:uid="{00000000-0005-0000-0000-000008110000}"/>
    <cellStyle name="20% - Accent2 3 4 2 5 3" xfId="29708" xr:uid="{00000000-0005-0000-0000-000009110000}"/>
    <cellStyle name="20% - Accent2 3 4 2 6" xfId="12757" xr:uid="{00000000-0005-0000-0000-00000A110000}"/>
    <cellStyle name="20% - Accent2 3 4 2 6 2" xfId="35359" xr:uid="{00000000-0005-0000-0000-00000B110000}"/>
    <cellStyle name="20% - Accent2 3 4 2 7" xfId="24058" xr:uid="{00000000-0005-0000-0000-00000C110000}"/>
    <cellStyle name="20% - Accent2 3 4 3" xfId="798" xr:uid="{00000000-0005-0000-0000-00000D110000}"/>
    <cellStyle name="20% - Accent2 3 4 3 2" xfId="2888" xr:uid="{00000000-0005-0000-0000-00000E110000}"/>
    <cellStyle name="20% - Accent2 3 4 3 2 2" xfId="5860" xr:uid="{00000000-0005-0000-0000-00000F110000}"/>
    <cellStyle name="20% - Accent2 3 4 3 2 2 2" xfId="11510" xr:uid="{00000000-0005-0000-0000-000010110000}"/>
    <cellStyle name="20% - Accent2 3 4 3 2 2 2 2" xfId="22811" xr:uid="{00000000-0005-0000-0000-000011110000}"/>
    <cellStyle name="20% - Accent2 3 4 3 2 2 2 2 2" xfId="45413" xr:uid="{00000000-0005-0000-0000-000012110000}"/>
    <cellStyle name="20% - Accent2 3 4 3 2 2 2 3" xfId="34112" xr:uid="{00000000-0005-0000-0000-000013110000}"/>
    <cellStyle name="20% - Accent2 3 4 3 2 2 3" xfId="17161" xr:uid="{00000000-0005-0000-0000-000014110000}"/>
    <cellStyle name="20% - Accent2 3 4 3 2 2 3 2" xfId="39763" xr:uid="{00000000-0005-0000-0000-000015110000}"/>
    <cellStyle name="20% - Accent2 3 4 3 2 2 4" xfId="28462" xr:uid="{00000000-0005-0000-0000-000016110000}"/>
    <cellStyle name="20% - Accent2 3 4 3 2 3" xfId="8678" xr:uid="{00000000-0005-0000-0000-000017110000}"/>
    <cellStyle name="20% - Accent2 3 4 3 2 3 2" xfId="19979" xr:uid="{00000000-0005-0000-0000-000018110000}"/>
    <cellStyle name="20% - Accent2 3 4 3 2 3 2 2" xfId="42581" xr:uid="{00000000-0005-0000-0000-000019110000}"/>
    <cellStyle name="20% - Accent2 3 4 3 2 3 3" xfId="31280" xr:uid="{00000000-0005-0000-0000-00001A110000}"/>
    <cellStyle name="20% - Accent2 3 4 3 2 4" xfId="14329" xr:uid="{00000000-0005-0000-0000-00001B110000}"/>
    <cellStyle name="20% - Accent2 3 4 3 2 4 2" xfId="36931" xr:uid="{00000000-0005-0000-0000-00001C110000}"/>
    <cellStyle name="20% - Accent2 3 4 3 2 5" xfId="25630" xr:uid="{00000000-0005-0000-0000-00001D110000}"/>
    <cellStyle name="20% - Accent2 3 4 3 3" xfId="4626" xr:uid="{00000000-0005-0000-0000-00001E110000}"/>
    <cellStyle name="20% - Accent2 3 4 3 3 2" xfId="10276" xr:uid="{00000000-0005-0000-0000-00001F110000}"/>
    <cellStyle name="20% - Accent2 3 4 3 3 2 2" xfId="21577" xr:uid="{00000000-0005-0000-0000-000020110000}"/>
    <cellStyle name="20% - Accent2 3 4 3 3 2 2 2" xfId="44179" xr:uid="{00000000-0005-0000-0000-000021110000}"/>
    <cellStyle name="20% - Accent2 3 4 3 3 2 3" xfId="32878" xr:uid="{00000000-0005-0000-0000-000022110000}"/>
    <cellStyle name="20% - Accent2 3 4 3 3 3" xfId="15927" xr:uid="{00000000-0005-0000-0000-000023110000}"/>
    <cellStyle name="20% - Accent2 3 4 3 3 3 2" xfId="38529" xr:uid="{00000000-0005-0000-0000-000024110000}"/>
    <cellStyle name="20% - Accent2 3 4 3 3 4" xfId="27228" xr:uid="{00000000-0005-0000-0000-000025110000}"/>
    <cellStyle name="20% - Accent2 3 4 3 4" xfId="6809" xr:uid="{00000000-0005-0000-0000-000026110000}"/>
    <cellStyle name="20% - Accent2 3 4 3 4 2" xfId="18110" xr:uid="{00000000-0005-0000-0000-000027110000}"/>
    <cellStyle name="20% - Accent2 3 4 3 4 2 2" xfId="40712" xr:uid="{00000000-0005-0000-0000-000028110000}"/>
    <cellStyle name="20% - Accent2 3 4 3 4 3" xfId="29411" xr:uid="{00000000-0005-0000-0000-000029110000}"/>
    <cellStyle name="20% - Accent2 3 4 3 5" xfId="12460" xr:uid="{00000000-0005-0000-0000-00002A110000}"/>
    <cellStyle name="20% - Accent2 3 4 3 5 2" xfId="35062" xr:uid="{00000000-0005-0000-0000-00002B110000}"/>
    <cellStyle name="20% - Accent2 3 4 3 6" xfId="23761" xr:uid="{00000000-0005-0000-0000-00002C110000}"/>
    <cellStyle name="20% - Accent2 3 4 4" xfId="1596" xr:uid="{00000000-0005-0000-0000-00002D110000}"/>
    <cellStyle name="20% - Accent2 3 4 4 2" xfId="3581" xr:uid="{00000000-0005-0000-0000-00002E110000}"/>
    <cellStyle name="20% - Accent2 3 4 4 2 2" xfId="9304" xr:uid="{00000000-0005-0000-0000-00002F110000}"/>
    <cellStyle name="20% - Accent2 3 4 4 2 2 2" xfId="20605" xr:uid="{00000000-0005-0000-0000-000030110000}"/>
    <cellStyle name="20% - Accent2 3 4 4 2 2 2 2" xfId="43207" xr:uid="{00000000-0005-0000-0000-000031110000}"/>
    <cellStyle name="20% - Accent2 3 4 4 2 2 3" xfId="31906" xr:uid="{00000000-0005-0000-0000-000032110000}"/>
    <cellStyle name="20% - Accent2 3 4 4 2 3" xfId="14955" xr:uid="{00000000-0005-0000-0000-000033110000}"/>
    <cellStyle name="20% - Accent2 3 4 4 2 3 2" xfId="37557" xr:uid="{00000000-0005-0000-0000-000034110000}"/>
    <cellStyle name="20% - Accent2 3 4 4 2 4" xfId="26256" xr:uid="{00000000-0005-0000-0000-000035110000}"/>
    <cellStyle name="20% - Accent2 3 4 4 3" xfId="5236" xr:uid="{00000000-0005-0000-0000-000036110000}"/>
    <cellStyle name="20% - Accent2 3 4 4 3 2" xfId="10886" xr:uid="{00000000-0005-0000-0000-000037110000}"/>
    <cellStyle name="20% - Accent2 3 4 4 3 2 2" xfId="22187" xr:uid="{00000000-0005-0000-0000-000038110000}"/>
    <cellStyle name="20% - Accent2 3 4 4 3 2 2 2" xfId="44789" xr:uid="{00000000-0005-0000-0000-000039110000}"/>
    <cellStyle name="20% - Accent2 3 4 4 3 2 3" xfId="33488" xr:uid="{00000000-0005-0000-0000-00003A110000}"/>
    <cellStyle name="20% - Accent2 3 4 4 3 3" xfId="16537" xr:uid="{00000000-0005-0000-0000-00003B110000}"/>
    <cellStyle name="20% - Accent2 3 4 4 3 3 2" xfId="39139" xr:uid="{00000000-0005-0000-0000-00003C110000}"/>
    <cellStyle name="20% - Accent2 3 4 4 3 4" xfId="27838" xr:uid="{00000000-0005-0000-0000-00003D110000}"/>
    <cellStyle name="20% - Accent2 3 4 4 4" xfId="7452" xr:uid="{00000000-0005-0000-0000-00003E110000}"/>
    <cellStyle name="20% - Accent2 3 4 4 4 2" xfId="18753" xr:uid="{00000000-0005-0000-0000-00003F110000}"/>
    <cellStyle name="20% - Accent2 3 4 4 4 2 2" xfId="41355" xr:uid="{00000000-0005-0000-0000-000040110000}"/>
    <cellStyle name="20% - Accent2 3 4 4 4 3" xfId="30054" xr:uid="{00000000-0005-0000-0000-000041110000}"/>
    <cellStyle name="20% - Accent2 3 4 4 5" xfId="13103" xr:uid="{00000000-0005-0000-0000-000042110000}"/>
    <cellStyle name="20% - Accent2 3 4 4 5 2" xfId="35705" xr:uid="{00000000-0005-0000-0000-000043110000}"/>
    <cellStyle name="20% - Accent2 3 4 4 6" xfId="24404" xr:uid="{00000000-0005-0000-0000-000044110000}"/>
    <cellStyle name="20% - Accent2 3 4 5" xfId="2208" xr:uid="{00000000-0005-0000-0000-000045110000}"/>
    <cellStyle name="20% - Accent2 3 4 5 2" xfId="8050" xr:uid="{00000000-0005-0000-0000-000046110000}"/>
    <cellStyle name="20% - Accent2 3 4 5 2 2" xfId="19351" xr:uid="{00000000-0005-0000-0000-000047110000}"/>
    <cellStyle name="20% - Accent2 3 4 5 2 2 2" xfId="41953" xr:uid="{00000000-0005-0000-0000-000048110000}"/>
    <cellStyle name="20% - Accent2 3 4 5 2 3" xfId="30652" xr:uid="{00000000-0005-0000-0000-000049110000}"/>
    <cellStyle name="20% - Accent2 3 4 5 3" xfId="13701" xr:uid="{00000000-0005-0000-0000-00004A110000}"/>
    <cellStyle name="20% - Accent2 3 4 5 3 2" xfId="36303" xr:uid="{00000000-0005-0000-0000-00004B110000}"/>
    <cellStyle name="20% - Accent2 3 4 5 4" xfId="25002" xr:uid="{00000000-0005-0000-0000-00004C110000}"/>
    <cellStyle name="20% - Accent2 3 4 6" xfId="4002" xr:uid="{00000000-0005-0000-0000-00004D110000}"/>
    <cellStyle name="20% - Accent2 3 4 6 2" xfId="9652" xr:uid="{00000000-0005-0000-0000-00004E110000}"/>
    <cellStyle name="20% - Accent2 3 4 6 2 2" xfId="20953" xr:uid="{00000000-0005-0000-0000-00004F110000}"/>
    <cellStyle name="20% - Accent2 3 4 6 2 2 2" xfId="43555" xr:uid="{00000000-0005-0000-0000-000050110000}"/>
    <cellStyle name="20% - Accent2 3 4 6 2 3" xfId="32254" xr:uid="{00000000-0005-0000-0000-000051110000}"/>
    <cellStyle name="20% - Accent2 3 4 6 3" xfId="15303" xr:uid="{00000000-0005-0000-0000-000052110000}"/>
    <cellStyle name="20% - Accent2 3 4 6 3 2" xfId="37905" xr:uid="{00000000-0005-0000-0000-000053110000}"/>
    <cellStyle name="20% - Accent2 3 4 6 4" xfId="26604" xr:uid="{00000000-0005-0000-0000-000054110000}"/>
    <cellStyle name="20% - Accent2 3 4 7" xfId="6620" xr:uid="{00000000-0005-0000-0000-000055110000}"/>
    <cellStyle name="20% - Accent2 3 4 7 2" xfId="17921" xr:uid="{00000000-0005-0000-0000-000056110000}"/>
    <cellStyle name="20% - Accent2 3 4 7 2 2" xfId="40523" xr:uid="{00000000-0005-0000-0000-000057110000}"/>
    <cellStyle name="20% - Accent2 3 4 7 3" xfId="29222" xr:uid="{00000000-0005-0000-0000-000058110000}"/>
    <cellStyle name="20% - Accent2 3 4 8" xfId="12271" xr:uid="{00000000-0005-0000-0000-000059110000}"/>
    <cellStyle name="20% - Accent2 3 4 8 2" xfId="34873" xr:uid="{00000000-0005-0000-0000-00005A110000}"/>
    <cellStyle name="20% - Accent2 3 4 9" xfId="23572" xr:uid="{00000000-0005-0000-0000-00005B110000}"/>
    <cellStyle name="20% - Accent2 3 5" xfId="447" xr:uid="{00000000-0005-0000-0000-00005C110000}"/>
    <cellStyle name="20% - Accent2 3 6" xfId="790" xr:uid="{00000000-0005-0000-0000-00005D110000}"/>
    <cellStyle name="20% - Accent2 3 7" xfId="6453" xr:uid="{00000000-0005-0000-0000-00005E110000}"/>
    <cellStyle name="20% - Accent2 3 7 2" xfId="17754" xr:uid="{00000000-0005-0000-0000-00005F110000}"/>
    <cellStyle name="20% - Accent2 3 7 2 2" xfId="40356" xr:uid="{00000000-0005-0000-0000-000060110000}"/>
    <cellStyle name="20% - Accent2 3 7 3" xfId="29055" xr:uid="{00000000-0005-0000-0000-000061110000}"/>
    <cellStyle name="20% - Accent2 3 8" xfId="12104" xr:uid="{00000000-0005-0000-0000-000062110000}"/>
    <cellStyle name="20% - Accent2 3 8 2" xfId="34706" xr:uid="{00000000-0005-0000-0000-000063110000}"/>
    <cellStyle name="20% - Accent2 3 9" xfId="23405" xr:uid="{00000000-0005-0000-0000-000064110000}"/>
    <cellStyle name="20% - Accent2 4" xfId="235" xr:uid="{00000000-0005-0000-0000-000065110000}"/>
    <cellStyle name="20% - Accent2 4 10" xfId="3988" xr:uid="{00000000-0005-0000-0000-000066110000}"/>
    <cellStyle name="20% - Accent2 4 10 2" xfId="9638" xr:uid="{00000000-0005-0000-0000-000067110000}"/>
    <cellStyle name="20% - Accent2 4 10 2 2" xfId="20939" xr:uid="{00000000-0005-0000-0000-000068110000}"/>
    <cellStyle name="20% - Accent2 4 10 2 2 2" xfId="43541" xr:uid="{00000000-0005-0000-0000-000069110000}"/>
    <cellStyle name="20% - Accent2 4 10 2 3" xfId="32240" xr:uid="{00000000-0005-0000-0000-00006A110000}"/>
    <cellStyle name="20% - Accent2 4 10 3" xfId="15289" xr:uid="{00000000-0005-0000-0000-00006B110000}"/>
    <cellStyle name="20% - Accent2 4 10 3 2" xfId="37891" xr:uid="{00000000-0005-0000-0000-00006C110000}"/>
    <cellStyle name="20% - Accent2 4 10 4" xfId="26590" xr:uid="{00000000-0005-0000-0000-00006D110000}"/>
    <cellStyle name="20% - Accent2 4 11" xfId="6467" xr:uid="{00000000-0005-0000-0000-00006E110000}"/>
    <cellStyle name="20% - Accent2 4 11 2" xfId="17768" xr:uid="{00000000-0005-0000-0000-00006F110000}"/>
    <cellStyle name="20% - Accent2 4 11 2 2" xfId="40370" xr:uid="{00000000-0005-0000-0000-000070110000}"/>
    <cellStyle name="20% - Accent2 4 11 3" xfId="29069" xr:uid="{00000000-0005-0000-0000-000071110000}"/>
    <cellStyle name="20% - Accent2 4 12" xfId="12118" xr:uid="{00000000-0005-0000-0000-000072110000}"/>
    <cellStyle name="20% - Accent2 4 12 2" xfId="34720" xr:uid="{00000000-0005-0000-0000-000073110000}"/>
    <cellStyle name="20% - Accent2 4 13" xfId="23419" xr:uid="{00000000-0005-0000-0000-000074110000}"/>
    <cellStyle name="20% - Accent2 4 2" xfId="358" xr:uid="{00000000-0005-0000-0000-000075110000}"/>
    <cellStyle name="20% - Accent2 4 2 10" xfId="23466" xr:uid="{00000000-0005-0000-0000-000076110000}"/>
    <cellStyle name="20% - Accent2 4 2 2" xfId="616" xr:uid="{00000000-0005-0000-0000-000077110000}"/>
    <cellStyle name="20% - Accent2 4 2 2 2" xfId="1326" xr:uid="{00000000-0005-0000-0000-000078110000}"/>
    <cellStyle name="20% - Accent2 4 2 2 2 2" xfId="1601" xr:uid="{00000000-0005-0000-0000-000079110000}"/>
    <cellStyle name="20% - Accent2 4 2 2 2 2 2" xfId="3395" xr:uid="{00000000-0005-0000-0000-00007A110000}"/>
    <cellStyle name="20% - Accent2 4 2 2 2 2 2 2" xfId="6367" xr:uid="{00000000-0005-0000-0000-00007B110000}"/>
    <cellStyle name="20% - Accent2 4 2 2 2 2 2 2 2" xfId="12017" xr:uid="{00000000-0005-0000-0000-00007C110000}"/>
    <cellStyle name="20% - Accent2 4 2 2 2 2 2 2 2 2" xfId="23318" xr:uid="{00000000-0005-0000-0000-00007D110000}"/>
    <cellStyle name="20% - Accent2 4 2 2 2 2 2 2 2 2 2" xfId="45920" xr:uid="{00000000-0005-0000-0000-00007E110000}"/>
    <cellStyle name="20% - Accent2 4 2 2 2 2 2 2 2 3" xfId="34619" xr:uid="{00000000-0005-0000-0000-00007F110000}"/>
    <cellStyle name="20% - Accent2 4 2 2 2 2 2 2 3" xfId="17668" xr:uid="{00000000-0005-0000-0000-000080110000}"/>
    <cellStyle name="20% - Accent2 4 2 2 2 2 2 2 3 2" xfId="40270" xr:uid="{00000000-0005-0000-0000-000081110000}"/>
    <cellStyle name="20% - Accent2 4 2 2 2 2 2 2 4" xfId="28969" xr:uid="{00000000-0005-0000-0000-000082110000}"/>
    <cellStyle name="20% - Accent2 4 2 2 2 2 2 3" xfId="9185" xr:uid="{00000000-0005-0000-0000-000083110000}"/>
    <cellStyle name="20% - Accent2 4 2 2 2 2 2 3 2" xfId="20486" xr:uid="{00000000-0005-0000-0000-000084110000}"/>
    <cellStyle name="20% - Accent2 4 2 2 2 2 2 3 2 2" xfId="43088" xr:uid="{00000000-0005-0000-0000-000085110000}"/>
    <cellStyle name="20% - Accent2 4 2 2 2 2 2 3 3" xfId="31787" xr:uid="{00000000-0005-0000-0000-000086110000}"/>
    <cellStyle name="20% - Accent2 4 2 2 2 2 2 4" xfId="14836" xr:uid="{00000000-0005-0000-0000-000087110000}"/>
    <cellStyle name="20% - Accent2 4 2 2 2 2 2 4 2" xfId="37438" xr:uid="{00000000-0005-0000-0000-000088110000}"/>
    <cellStyle name="20% - Accent2 4 2 2 2 2 2 5" xfId="26137" xr:uid="{00000000-0005-0000-0000-000089110000}"/>
    <cellStyle name="20% - Accent2 4 2 2 2 2 3" xfId="5133" xr:uid="{00000000-0005-0000-0000-00008A110000}"/>
    <cellStyle name="20% - Accent2 4 2 2 2 2 3 2" xfId="10783" xr:uid="{00000000-0005-0000-0000-00008B110000}"/>
    <cellStyle name="20% - Accent2 4 2 2 2 2 3 2 2" xfId="22084" xr:uid="{00000000-0005-0000-0000-00008C110000}"/>
    <cellStyle name="20% - Accent2 4 2 2 2 2 3 2 2 2" xfId="44686" xr:uid="{00000000-0005-0000-0000-00008D110000}"/>
    <cellStyle name="20% - Accent2 4 2 2 2 2 3 2 3" xfId="33385" xr:uid="{00000000-0005-0000-0000-00008E110000}"/>
    <cellStyle name="20% - Accent2 4 2 2 2 2 3 3" xfId="16434" xr:uid="{00000000-0005-0000-0000-00008F110000}"/>
    <cellStyle name="20% - Accent2 4 2 2 2 2 3 3 2" xfId="39036" xr:uid="{00000000-0005-0000-0000-000090110000}"/>
    <cellStyle name="20% - Accent2 4 2 2 2 2 3 4" xfId="27735" xr:uid="{00000000-0005-0000-0000-000091110000}"/>
    <cellStyle name="20% - Accent2 4 2 2 2 2 4" xfId="7457" xr:uid="{00000000-0005-0000-0000-000092110000}"/>
    <cellStyle name="20% - Accent2 4 2 2 2 2 4 2" xfId="18758" xr:uid="{00000000-0005-0000-0000-000093110000}"/>
    <cellStyle name="20% - Accent2 4 2 2 2 2 4 2 2" xfId="41360" xr:uid="{00000000-0005-0000-0000-000094110000}"/>
    <cellStyle name="20% - Accent2 4 2 2 2 2 4 3" xfId="30059" xr:uid="{00000000-0005-0000-0000-000095110000}"/>
    <cellStyle name="20% - Accent2 4 2 2 2 2 5" xfId="13108" xr:uid="{00000000-0005-0000-0000-000096110000}"/>
    <cellStyle name="20% - Accent2 4 2 2 2 2 5 2" xfId="35710" xr:uid="{00000000-0005-0000-0000-000097110000}"/>
    <cellStyle name="20% - Accent2 4 2 2 2 2 6" xfId="24409" xr:uid="{00000000-0005-0000-0000-000098110000}"/>
    <cellStyle name="20% - Accent2 4 2 2 2 3" xfId="2724" xr:uid="{00000000-0005-0000-0000-000099110000}"/>
    <cellStyle name="20% - Accent2 4 2 2 2 3 2" xfId="5743" xr:uid="{00000000-0005-0000-0000-00009A110000}"/>
    <cellStyle name="20% - Accent2 4 2 2 2 3 2 2" xfId="11393" xr:uid="{00000000-0005-0000-0000-00009B110000}"/>
    <cellStyle name="20% - Accent2 4 2 2 2 3 2 2 2" xfId="22694" xr:uid="{00000000-0005-0000-0000-00009C110000}"/>
    <cellStyle name="20% - Accent2 4 2 2 2 3 2 2 2 2" xfId="45296" xr:uid="{00000000-0005-0000-0000-00009D110000}"/>
    <cellStyle name="20% - Accent2 4 2 2 2 3 2 2 3" xfId="33995" xr:uid="{00000000-0005-0000-0000-00009E110000}"/>
    <cellStyle name="20% - Accent2 4 2 2 2 3 2 3" xfId="17044" xr:uid="{00000000-0005-0000-0000-00009F110000}"/>
    <cellStyle name="20% - Accent2 4 2 2 2 3 2 3 2" xfId="39646" xr:uid="{00000000-0005-0000-0000-0000A0110000}"/>
    <cellStyle name="20% - Accent2 4 2 2 2 3 2 4" xfId="28345" xr:uid="{00000000-0005-0000-0000-0000A1110000}"/>
    <cellStyle name="20% - Accent2 4 2 2 2 3 3" xfId="8560" xr:uid="{00000000-0005-0000-0000-0000A2110000}"/>
    <cellStyle name="20% - Accent2 4 2 2 2 3 3 2" xfId="19861" xr:uid="{00000000-0005-0000-0000-0000A3110000}"/>
    <cellStyle name="20% - Accent2 4 2 2 2 3 3 2 2" xfId="42463" xr:uid="{00000000-0005-0000-0000-0000A4110000}"/>
    <cellStyle name="20% - Accent2 4 2 2 2 3 3 3" xfId="31162" xr:uid="{00000000-0005-0000-0000-0000A5110000}"/>
    <cellStyle name="20% - Accent2 4 2 2 2 3 4" xfId="14211" xr:uid="{00000000-0005-0000-0000-0000A6110000}"/>
    <cellStyle name="20% - Accent2 4 2 2 2 3 4 2" xfId="36813" xr:uid="{00000000-0005-0000-0000-0000A7110000}"/>
    <cellStyle name="20% - Accent2 4 2 2 2 3 5" xfId="25512" xr:uid="{00000000-0005-0000-0000-0000A8110000}"/>
    <cellStyle name="20% - Accent2 4 2 2 2 4" xfId="4509" xr:uid="{00000000-0005-0000-0000-0000A9110000}"/>
    <cellStyle name="20% - Accent2 4 2 2 2 4 2" xfId="10159" xr:uid="{00000000-0005-0000-0000-0000AA110000}"/>
    <cellStyle name="20% - Accent2 4 2 2 2 4 2 2" xfId="21460" xr:uid="{00000000-0005-0000-0000-0000AB110000}"/>
    <cellStyle name="20% - Accent2 4 2 2 2 4 2 2 2" xfId="44062" xr:uid="{00000000-0005-0000-0000-0000AC110000}"/>
    <cellStyle name="20% - Accent2 4 2 2 2 4 2 3" xfId="32761" xr:uid="{00000000-0005-0000-0000-0000AD110000}"/>
    <cellStyle name="20% - Accent2 4 2 2 2 4 3" xfId="15810" xr:uid="{00000000-0005-0000-0000-0000AE110000}"/>
    <cellStyle name="20% - Accent2 4 2 2 2 4 3 2" xfId="38412" xr:uid="{00000000-0005-0000-0000-0000AF110000}"/>
    <cellStyle name="20% - Accent2 4 2 2 2 4 4" xfId="27111" xr:uid="{00000000-0005-0000-0000-0000B0110000}"/>
    <cellStyle name="20% - Accent2 4 2 2 2 5" xfId="7305" xr:uid="{00000000-0005-0000-0000-0000B1110000}"/>
    <cellStyle name="20% - Accent2 4 2 2 2 5 2" xfId="18606" xr:uid="{00000000-0005-0000-0000-0000B2110000}"/>
    <cellStyle name="20% - Accent2 4 2 2 2 5 2 2" xfId="41208" xr:uid="{00000000-0005-0000-0000-0000B3110000}"/>
    <cellStyle name="20% - Accent2 4 2 2 2 5 3" xfId="29907" xr:uid="{00000000-0005-0000-0000-0000B4110000}"/>
    <cellStyle name="20% - Accent2 4 2 2 2 6" xfId="12956" xr:uid="{00000000-0005-0000-0000-0000B5110000}"/>
    <cellStyle name="20% - Accent2 4 2 2 2 6 2" xfId="35558" xr:uid="{00000000-0005-0000-0000-0000B6110000}"/>
    <cellStyle name="20% - Accent2 4 2 2 2 7" xfId="24257" xr:uid="{00000000-0005-0000-0000-0000B7110000}"/>
    <cellStyle name="20% - Accent2 4 2 2 3" xfId="1024" xr:uid="{00000000-0005-0000-0000-0000B8110000}"/>
    <cellStyle name="20% - Accent2 4 2 2 3 2" xfId="3087" xr:uid="{00000000-0005-0000-0000-0000B9110000}"/>
    <cellStyle name="20% - Accent2 4 2 2 3 2 2" xfId="6059" xr:uid="{00000000-0005-0000-0000-0000BA110000}"/>
    <cellStyle name="20% - Accent2 4 2 2 3 2 2 2" xfId="11709" xr:uid="{00000000-0005-0000-0000-0000BB110000}"/>
    <cellStyle name="20% - Accent2 4 2 2 3 2 2 2 2" xfId="23010" xr:uid="{00000000-0005-0000-0000-0000BC110000}"/>
    <cellStyle name="20% - Accent2 4 2 2 3 2 2 2 2 2" xfId="45612" xr:uid="{00000000-0005-0000-0000-0000BD110000}"/>
    <cellStyle name="20% - Accent2 4 2 2 3 2 2 2 3" xfId="34311" xr:uid="{00000000-0005-0000-0000-0000BE110000}"/>
    <cellStyle name="20% - Accent2 4 2 2 3 2 2 3" xfId="17360" xr:uid="{00000000-0005-0000-0000-0000BF110000}"/>
    <cellStyle name="20% - Accent2 4 2 2 3 2 2 3 2" xfId="39962" xr:uid="{00000000-0005-0000-0000-0000C0110000}"/>
    <cellStyle name="20% - Accent2 4 2 2 3 2 2 4" xfId="28661" xr:uid="{00000000-0005-0000-0000-0000C1110000}"/>
    <cellStyle name="20% - Accent2 4 2 2 3 2 3" xfId="8877" xr:uid="{00000000-0005-0000-0000-0000C2110000}"/>
    <cellStyle name="20% - Accent2 4 2 2 3 2 3 2" xfId="20178" xr:uid="{00000000-0005-0000-0000-0000C3110000}"/>
    <cellStyle name="20% - Accent2 4 2 2 3 2 3 2 2" xfId="42780" xr:uid="{00000000-0005-0000-0000-0000C4110000}"/>
    <cellStyle name="20% - Accent2 4 2 2 3 2 3 3" xfId="31479" xr:uid="{00000000-0005-0000-0000-0000C5110000}"/>
    <cellStyle name="20% - Accent2 4 2 2 3 2 4" xfId="14528" xr:uid="{00000000-0005-0000-0000-0000C6110000}"/>
    <cellStyle name="20% - Accent2 4 2 2 3 2 4 2" xfId="37130" xr:uid="{00000000-0005-0000-0000-0000C7110000}"/>
    <cellStyle name="20% - Accent2 4 2 2 3 2 5" xfId="25829" xr:uid="{00000000-0005-0000-0000-0000C8110000}"/>
    <cellStyle name="20% - Accent2 4 2 2 3 3" xfId="4825" xr:uid="{00000000-0005-0000-0000-0000C9110000}"/>
    <cellStyle name="20% - Accent2 4 2 2 3 3 2" xfId="10475" xr:uid="{00000000-0005-0000-0000-0000CA110000}"/>
    <cellStyle name="20% - Accent2 4 2 2 3 3 2 2" xfId="21776" xr:uid="{00000000-0005-0000-0000-0000CB110000}"/>
    <cellStyle name="20% - Accent2 4 2 2 3 3 2 2 2" xfId="44378" xr:uid="{00000000-0005-0000-0000-0000CC110000}"/>
    <cellStyle name="20% - Accent2 4 2 2 3 3 2 3" xfId="33077" xr:uid="{00000000-0005-0000-0000-0000CD110000}"/>
    <cellStyle name="20% - Accent2 4 2 2 3 3 3" xfId="16126" xr:uid="{00000000-0005-0000-0000-0000CE110000}"/>
    <cellStyle name="20% - Accent2 4 2 2 3 3 3 2" xfId="38728" xr:uid="{00000000-0005-0000-0000-0000CF110000}"/>
    <cellStyle name="20% - Accent2 4 2 2 3 3 4" xfId="27427" xr:uid="{00000000-0005-0000-0000-0000D0110000}"/>
    <cellStyle name="20% - Accent2 4 2 2 3 4" xfId="7012" xr:uid="{00000000-0005-0000-0000-0000D1110000}"/>
    <cellStyle name="20% - Accent2 4 2 2 3 4 2" xfId="18313" xr:uid="{00000000-0005-0000-0000-0000D2110000}"/>
    <cellStyle name="20% - Accent2 4 2 2 3 4 2 2" xfId="40915" xr:uid="{00000000-0005-0000-0000-0000D3110000}"/>
    <cellStyle name="20% - Accent2 4 2 2 3 4 3" xfId="29614" xr:uid="{00000000-0005-0000-0000-0000D4110000}"/>
    <cellStyle name="20% - Accent2 4 2 2 3 5" xfId="12663" xr:uid="{00000000-0005-0000-0000-0000D5110000}"/>
    <cellStyle name="20% - Accent2 4 2 2 3 5 2" xfId="35265" xr:uid="{00000000-0005-0000-0000-0000D6110000}"/>
    <cellStyle name="20% - Accent2 4 2 2 3 6" xfId="23964" xr:uid="{00000000-0005-0000-0000-0000D7110000}"/>
    <cellStyle name="20% - Accent2 4 2 2 4" xfId="1600" xr:uid="{00000000-0005-0000-0000-0000D8110000}"/>
    <cellStyle name="20% - Accent2 4 2 2 4 2" xfId="3503" xr:uid="{00000000-0005-0000-0000-0000D9110000}"/>
    <cellStyle name="20% - Accent2 4 2 2 4 2 2" xfId="9272" xr:uid="{00000000-0005-0000-0000-0000DA110000}"/>
    <cellStyle name="20% - Accent2 4 2 2 4 2 2 2" xfId="20573" xr:uid="{00000000-0005-0000-0000-0000DB110000}"/>
    <cellStyle name="20% - Accent2 4 2 2 4 2 2 2 2" xfId="43175" xr:uid="{00000000-0005-0000-0000-0000DC110000}"/>
    <cellStyle name="20% - Accent2 4 2 2 4 2 2 3" xfId="31874" xr:uid="{00000000-0005-0000-0000-0000DD110000}"/>
    <cellStyle name="20% - Accent2 4 2 2 4 2 3" xfId="14923" xr:uid="{00000000-0005-0000-0000-0000DE110000}"/>
    <cellStyle name="20% - Accent2 4 2 2 4 2 3 2" xfId="37525" xr:uid="{00000000-0005-0000-0000-0000DF110000}"/>
    <cellStyle name="20% - Accent2 4 2 2 4 2 4" xfId="26224" xr:uid="{00000000-0005-0000-0000-0000E0110000}"/>
    <cellStyle name="20% - Accent2 4 2 2 4 3" xfId="5435" xr:uid="{00000000-0005-0000-0000-0000E1110000}"/>
    <cellStyle name="20% - Accent2 4 2 2 4 3 2" xfId="11085" xr:uid="{00000000-0005-0000-0000-0000E2110000}"/>
    <cellStyle name="20% - Accent2 4 2 2 4 3 2 2" xfId="22386" xr:uid="{00000000-0005-0000-0000-0000E3110000}"/>
    <cellStyle name="20% - Accent2 4 2 2 4 3 2 2 2" xfId="44988" xr:uid="{00000000-0005-0000-0000-0000E4110000}"/>
    <cellStyle name="20% - Accent2 4 2 2 4 3 2 3" xfId="33687" xr:uid="{00000000-0005-0000-0000-0000E5110000}"/>
    <cellStyle name="20% - Accent2 4 2 2 4 3 3" xfId="16736" xr:uid="{00000000-0005-0000-0000-0000E6110000}"/>
    <cellStyle name="20% - Accent2 4 2 2 4 3 3 2" xfId="39338" xr:uid="{00000000-0005-0000-0000-0000E7110000}"/>
    <cellStyle name="20% - Accent2 4 2 2 4 3 4" xfId="28037" xr:uid="{00000000-0005-0000-0000-0000E8110000}"/>
    <cellStyle name="20% - Accent2 4 2 2 4 4" xfId="7456" xr:uid="{00000000-0005-0000-0000-0000E9110000}"/>
    <cellStyle name="20% - Accent2 4 2 2 4 4 2" xfId="18757" xr:uid="{00000000-0005-0000-0000-0000EA110000}"/>
    <cellStyle name="20% - Accent2 4 2 2 4 4 2 2" xfId="41359" xr:uid="{00000000-0005-0000-0000-0000EB110000}"/>
    <cellStyle name="20% - Accent2 4 2 2 4 4 3" xfId="30058" xr:uid="{00000000-0005-0000-0000-0000EC110000}"/>
    <cellStyle name="20% - Accent2 4 2 2 4 5" xfId="13107" xr:uid="{00000000-0005-0000-0000-0000ED110000}"/>
    <cellStyle name="20% - Accent2 4 2 2 4 5 2" xfId="35709" xr:uid="{00000000-0005-0000-0000-0000EE110000}"/>
    <cellStyle name="20% - Accent2 4 2 2 4 6" xfId="24408" xr:uid="{00000000-0005-0000-0000-0000EF110000}"/>
    <cellStyle name="20% - Accent2 4 2 2 5" xfId="2416" xr:uid="{00000000-0005-0000-0000-0000F0110000}"/>
    <cellStyle name="20% - Accent2 4 2 2 5 2" xfId="8252" xr:uid="{00000000-0005-0000-0000-0000F1110000}"/>
    <cellStyle name="20% - Accent2 4 2 2 5 2 2" xfId="19553" xr:uid="{00000000-0005-0000-0000-0000F2110000}"/>
    <cellStyle name="20% - Accent2 4 2 2 5 2 2 2" xfId="42155" xr:uid="{00000000-0005-0000-0000-0000F3110000}"/>
    <cellStyle name="20% - Accent2 4 2 2 5 2 3" xfId="30854" xr:uid="{00000000-0005-0000-0000-0000F4110000}"/>
    <cellStyle name="20% - Accent2 4 2 2 5 3" xfId="13903" xr:uid="{00000000-0005-0000-0000-0000F5110000}"/>
    <cellStyle name="20% - Accent2 4 2 2 5 3 2" xfId="36505" xr:uid="{00000000-0005-0000-0000-0000F6110000}"/>
    <cellStyle name="20% - Accent2 4 2 2 5 4" xfId="25204" xr:uid="{00000000-0005-0000-0000-0000F7110000}"/>
    <cellStyle name="20% - Accent2 4 2 2 6" xfId="4201" xr:uid="{00000000-0005-0000-0000-0000F8110000}"/>
    <cellStyle name="20% - Accent2 4 2 2 6 2" xfId="9851" xr:uid="{00000000-0005-0000-0000-0000F9110000}"/>
    <cellStyle name="20% - Accent2 4 2 2 6 2 2" xfId="21152" xr:uid="{00000000-0005-0000-0000-0000FA110000}"/>
    <cellStyle name="20% - Accent2 4 2 2 6 2 2 2" xfId="43754" xr:uid="{00000000-0005-0000-0000-0000FB110000}"/>
    <cellStyle name="20% - Accent2 4 2 2 6 2 3" xfId="32453" xr:uid="{00000000-0005-0000-0000-0000FC110000}"/>
    <cellStyle name="20% - Accent2 4 2 2 6 3" xfId="15502" xr:uid="{00000000-0005-0000-0000-0000FD110000}"/>
    <cellStyle name="20% - Accent2 4 2 2 6 3 2" xfId="38104" xr:uid="{00000000-0005-0000-0000-0000FE110000}"/>
    <cellStyle name="20% - Accent2 4 2 2 6 4" xfId="26803" xr:uid="{00000000-0005-0000-0000-0000FF110000}"/>
    <cellStyle name="20% - Accent2 4 2 2 7" xfId="6681" xr:uid="{00000000-0005-0000-0000-000000120000}"/>
    <cellStyle name="20% - Accent2 4 2 2 7 2" xfId="17982" xr:uid="{00000000-0005-0000-0000-000001120000}"/>
    <cellStyle name="20% - Accent2 4 2 2 7 2 2" xfId="40584" xr:uid="{00000000-0005-0000-0000-000002120000}"/>
    <cellStyle name="20% - Accent2 4 2 2 7 3" xfId="29283" xr:uid="{00000000-0005-0000-0000-000003120000}"/>
    <cellStyle name="20% - Accent2 4 2 2 8" xfId="12332" xr:uid="{00000000-0005-0000-0000-000004120000}"/>
    <cellStyle name="20% - Accent2 4 2 2 8 2" xfId="34934" xr:uid="{00000000-0005-0000-0000-000005120000}"/>
    <cellStyle name="20% - Accent2 4 2 2 9" xfId="23633" xr:uid="{00000000-0005-0000-0000-000006120000}"/>
    <cellStyle name="20% - Accent2 4 2 3" xfId="1188" xr:uid="{00000000-0005-0000-0000-000007120000}"/>
    <cellStyle name="20% - Accent2 4 2 3 2" xfId="1602" xr:uid="{00000000-0005-0000-0000-000008120000}"/>
    <cellStyle name="20% - Accent2 4 2 3 2 2" xfId="3256" xr:uid="{00000000-0005-0000-0000-000009120000}"/>
    <cellStyle name="20% - Accent2 4 2 3 2 2 2" xfId="6228" xr:uid="{00000000-0005-0000-0000-00000A120000}"/>
    <cellStyle name="20% - Accent2 4 2 3 2 2 2 2" xfId="11878" xr:uid="{00000000-0005-0000-0000-00000B120000}"/>
    <cellStyle name="20% - Accent2 4 2 3 2 2 2 2 2" xfId="23179" xr:uid="{00000000-0005-0000-0000-00000C120000}"/>
    <cellStyle name="20% - Accent2 4 2 3 2 2 2 2 2 2" xfId="45781" xr:uid="{00000000-0005-0000-0000-00000D120000}"/>
    <cellStyle name="20% - Accent2 4 2 3 2 2 2 2 3" xfId="34480" xr:uid="{00000000-0005-0000-0000-00000E120000}"/>
    <cellStyle name="20% - Accent2 4 2 3 2 2 2 3" xfId="17529" xr:uid="{00000000-0005-0000-0000-00000F120000}"/>
    <cellStyle name="20% - Accent2 4 2 3 2 2 2 3 2" xfId="40131" xr:uid="{00000000-0005-0000-0000-000010120000}"/>
    <cellStyle name="20% - Accent2 4 2 3 2 2 2 4" xfId="28830" xr:uid="{00000000-0005-0000-0000-000011120000}"/>
    <cellStyle name="20% - Accent2 4 2 3 2 2 3" xfId="9046" xr:uid="{00000000-0005-0000-0000-000012120000}"/>
    <cellStyle name="20% - Accent2 4 2 3 2 2 3 2" xfId="20347" xr:uid="{00000000-0005-0000-0000-000013120000}"/>
    <cellStyle name="20% - Accent2 4 2 3 2 2 3 2 2" xfId="42949" xr:uid="{00000000-0005-0000-0000-000014120000}"/>
    <cellStyle name="20% - Accent2 4 2 3 2 2 3 3" xfId="31648" xr:uid="{00000000-0005-0000-0000-000015120000}"/>
    <cellStyle name="20% - Accent2 4 2 3 2 2 4" xfId="14697" xr:uid="{00000000-0005-0000-0000-000016120000}"/>
    <cellStyle name="20% - Accent2 4 2 3 2 2 4 2" xfId="37299" xr:uid="{00000000-0005-0000-0000-000017120000}"/>
    <cellStyle name="20% - Accent2 4 2 3 2 2 5" xfId="25998" xr:uid="{00000000-0005-0000-0000-000018120000}"/>
    <cellStyle name="20% - Accent2 4 2 3 2 3" xfId="4994" xr:uid="{00000000-0005-0000-0000-000019120000}"/>
    <cellStyle name="20% - Accent2 4 2 3 2 3 2" xfId="10644" xr:uid="{00000000-0005-0000-0000-00001A120000}"/>
    <cellStyle name="20% - Accent2 4 2 3 2 3 2 2" xfId="21945" xr:uid="{00000000-0005-0000-0000-00001B120000}"/>
    <cellStyle name="20% - Accent2 4 2 3 2 3 2 2 2" xfId="44547" xr:uid="{00000000-0005-0000-0000-00001C120000}"/>
    <cellStyle name="20% - Accent2 4 2 3 2 3 2 3" xfId="33246" xr:uid="{00000000-0005-0000-0000-00001D120000}"/>
    <cellStyle name="20% - Accent2 4 2 3 2 3 3" xfId="16295" xr:uid="{00000000-0005-0000-0000-00001E120000}"/>
    <cellStyle name="20% - Accent2 4 2 3 2 3 3 2" xfId="38897" xr:uid="{00000000-0005-0000-0000-00001F120000}"/>
    <cellStyle name="20% - Accent2 4 2 3 2 3 4" xfId="27596" xr:uid="{00000000-0005-0000-0000-000020120000}"/>
    <cellStyle name="20% - Accent2 4 2 3 2 4" xfId="7458" xr:uid="{00000000-0005-0000-0000-000021120000}"/>
    <cellStyle name="20% - Accent2 4 2 3 2 4 2" xfId="18759" xr:uid="{00000000-0005-0000-0000-000022120000}"/>
    <cellStyle name="20% - Accent2 4 2 3 2 4 2 2" xfId="41361" xr:uid="{00000000-0005-0000-0000-000023120000}"/>
    <cellStyle name="20% - Accent2 4 2 3 2 4 3" xfId="30060" xr:uid="{00000000-0005-0000-0000-000024120000}"/>
    <cellStyle name="20% - Accent2 4 2 3 2 5" xfId="13109" xr:uid="{00000000-0005-0000-0000-000025120000}"/>
    <cellStyle name="20% - Accent2 4 2 3 2 5 2" xfId="35711" xr:uid="{00000000-0005-0000-0000-000026120000}"/>
    <cellStyle name="20% - Accent2 4 2 3 2 6" xfId="24410" xr:uid="{00000000-0005-0000-0000-000027120000}"/>
    <cellStyle name="20% - Accent2 4 2 3 3" xfId="2585" xr:uid="{00000000-0005-0000-0000-000028120000}"/>
    <cellStyle name="20% - Accent2 4 2 3 3 2" xfId="5604" xr:uid="{00000000-0005-0000-0000-000029120000}"/>
    <cellStyle name="20% - Accent2 4 2 3 3 2 2" xfId="11254" xr:uid="{00000000-0005-0000-0000-00002A120000}"/>
    <cellStyle name="20% - Accent2 4 2 3 3 2 2 2" xfId="22555" xr:uid="{00000000-0005-0000-0000-00002B120000}"/>
    <cellStyle name="20% - Accent2 4 2 3 3 2 2 2 2" xfId="45157" xr:uid="{00000000-0005-0000-0000-00002C120000}"/>
    <cellStyle name="20% - Accent2 4 2 3 3 2 2 3" xfId="33856" xr:uid="{00000000-0005-0000-0000-00002D120000}"/>
    <cellStyle name="20% - Accent2 4 2 3 3 2 3" xfId="16905" xr:uid="{00000000-0005-0000-0000-00002E120000}"/>
    <cellStyle name="20% - Accent2 4 2 3 3 2 3 2" xfId="39507" xr:uid="{00000000-0005-0000-0000-00002F120000}"/>
    <cellStyle name="20% - Accent2 4 2 3 3 2 4" xfId="28206" xr:uid="{00000000-0005-0000-0000-000030120000}"/>
    <cellStyle name="20% - Accent2 4 2 3 3 3" xfId="8421" xr:uid="{00000000-0005-0000-0000-000031120000}"/>
    <cellStyle name="20% - Accent2 4 2 3 3 3 2" xfId="19722" xr:uid="{00000000-0005-0000-0000-000032120000}"/>
    <cellStyle name="20% - Accent2 4 2 3 3 3 2 2" xfId="42324" xr:uid="{00000000-0005-0000-0000-000033120000}"/>
    <cellStyle name="20% - Accent2 4 2 3 3 3 3" xfId="31023" xr:uid="{00000000-0005-0000-0000-000034120000}"/>
    <cellStyle name="20% - Accent2 4 2 3 3 4" xfId="14072" xr:uid="{00000000-0005-0000-0000-000035120000}"/>
    <cellStyle name="20% - Accent2 4 2 3 3 4 2" xfId="36674" xr:uid="{00000000-0005-0000-0000-000036120000}"/>
    <cellStyle name="20% - Accent2 4 2 3 3 5" xfId="25373" xr:uid="{00000000-0005-0000-0000-000037120000}"/>
    <cellStyle name="20% - Accent2 4 2 3 4" xfId="4370" xr:uid="{00000000-0005-0000-0000-000038120000}"/>
    <cellStyle name="20% - Accent2 4 2 3 4 2" xfId="10020" xr:uid="{00000000-0005-0000-0000-000039120000}"/>
    <cellStyle name="20% - Accent2 4 2 3 4 2 2" xfId="21321" xr:uid="{00000000-0005-0000-0000-00003A120000}"/>
    <cellStyle name="20% - Accent2 4 2 3 4 2 2 2" xfId="43923" xr:uid="{00000000-0005-0000-0000-00003B120000}"/>
    <cellStyle name="20% - Accent2 4 2 3 4 2 3" xfId="32622" xr:uid="{00000000-0005-0000-0000-00003C120000}"/>
    <cellStyle name="20% - Accent2 4 2 3 4 3" xfId="15671" xr:uid="{00000000-0005-0000-0000-00003D120000}"/>
    <cellStyle name="20% - Accent2 4 2 3 4 3 2" xfId="38273" xr:uid="{00000000-0005-0000-0000-00003E120000}"/>
    <cellStyle name="20% - Accent2 4 2 3 4 4" xfId="26972" xr:uid="{00000000-0005-0000-0000-00003F120000}"/>
    <cellStyle name="20% - Accent2 4 2 3 5" xfId="7167" xr:uid="{00000000-0005-0000-0000-000040120000}"/>
    <cellStyle name="20% - Accent2 4 2 3 5 2" xfId="18468" xr:uid="{00000000-0005-0000-0000-000041120000}"/>
    <cellStyle name="20% - Accent2 4 2 3 5 2 2" xfId="41070" xr:uid="{00000000-0005-0000-0000-000042120000}"/>
    <cellStyle name="20% - Accent2 4 2 3 5 3" xfId="29769" xr:uid="{00000000-0005-0000-0000-000043120000}"/>
    <cellStyle name="20% - Accent2 4 2 3 6" xfId="12818" xr:uid="{00000000-0005-0000-0000-000044120000}"/>
    <cellStyle name="20% - Accent2 4 2 3 6 2" xfId="35420" xr:uid="{00000000-0005-0000-0000-000045120000}"/>
    <cellStyle name="20% - Accent2 4 2 3 7" xfId="24119" xr:uid="{00000000-0005-0000-0000-000046120000}"/>
    <cellStyle name="20% - Accent2 4 2 4" xfId="878" xr:uid="{00000000-0005-0000-0000-000047120000}"/>
    <cellStyle name="20% - Accent2 4 2 4 2" xfId="2949" xr:uid="{00000000-0005-0000-0000-000048120000}"/>
    <cellStyle name="20% - Accent2 4 2 4 2 2" xfId="5921" xr:uid="{00000000-0005-0000-0000-000049120000}"/>
    <cellStyle name="20% - Accent2 4 2 4 2 2 2" xfId="11571" xr:uid="{00000000-0005-0000-0000-00004A120000}"/>
    <cellStyle name="20% - Accent2 4 2 4 2 2 2 2" xfId="22872" xr:uid="{00000000-0005-0000-0000-00004B120000}"/>
    <cellStyle name="20% - Accent2 4 2 4 2 2 2 2 2" xfId="45474" xr:uid="{00000000-0005-0000-0000-00004C120000}"/>
    <cellStyle name="20% - Accent2 4 2 4 2 2 2 3" xfId="34173" xr:uid="{00000000-0005-0000-0000-00004D120000}"/>
    <cellStyle name="20% - Accent2 4 2 4 2 2 3" xfId="17222" xr:uid="{00000000-0005-0000-0000-00004E120000}"/>
    <cellStyle name="20% - Accent2 4 2 4 2 2 3 2" xfId="39824" xr:uid="{00000000-0005-0000-0000-00004F120000}"/>
    <cellStyle name="20% - Accent2 4 2 4 2 2 4" xfId="28523" xr:uid="{00000000-0005-0000-0000-000050120000}"/>
    <cellStyle name="20% - Accent2 4 2 4 2 3" xfId="8739" xr:uid="{00000000-0005-0000-0000-000051120000}"/>
    <cellStyle name="20% - Accent2 4 2 4 2 3 2" xfId="20040" xr:uid="{00000000-0005-0000-0000-000052120000}"/>
    <cellStyle name="20% - Accent2 4 2 4 2 3 2 2" xfId="42642" xr:uid="{00000000-0005-0000-0000-000053120000}"/>
    <cellStyle name="20% - Accent2 4 2 4 2 3 3" xfId="31341" xr:uid="{00000000-0005-0000-0000-000054120000}"/>
    <cellStyle name="20% - Accent2 4 2 4 2 4" xfId="14390" xr:uid="{00000000-0005-0000-0000-000055120000}"/>
    <cellStyle name="20% - Accent2 4 2 4 2 4 2" xfId="36992" xr:uid="{00000000-0005-0000-0000-000056120000}"/>
    <cellStyle name="20% - Accent2 4 2 4 2 5" xfId="25691" xr:uid="{00000000-0005-0000-0000-000057120000}"/>
    <cellStyle name="20% - Accent2 4 2 4 3" xfId="4687" xr:uid="{00000000-0005-0000-0000-000058120000}"/>
    <cellStyle name="20% - Accent2 4 2 4 3 2" xfId="10337" xr:uid="{00000000-0005-0000-0000-000059120000}"/>
    <cellStyle name="20% - Accent2 4 2 4 3 2 2" xfId="21638" xr:uid="{00000000-0005-0000-0000-00005A120000}"/>
    <cellStyle name="20% - Accent2 4 2 4 3 2 2 2" xfId="44240" xr:uid="{00000000-0005-0000-0000-00005B120000}"/>
    <cellStyle name="20% - Accent2 4 2 4 3 2 3" xfId="32939" xr:uid="{00000000-0005-0000-0000-00005C120000}"/>
    <cellStyle name="20% - Accent2 4 2 4 3 3" xfId="15988" xr:uid="{00000000-0005-0000-0000-00005D120000}"/>
    <cellStyle name="20% - Accent2 4 2 4 3 3 2" xfId="38590" xr:uid="{00000000-0005-0000-0000-00005E120000}"/>
    <cellStyle name="20% - Accent2 4 2 4 3 4" xfId="27289" xr:uid="{00000000-0005-0000-0000-00005F120000}"/>
    <cellStyle name="20% - Accent2 4 2 4 4" xfId="6874" xr:uid="{00000000-0005-0000-0000-000060120000}"/>
    <cellStyle name="20% - Accent2 4 2 4 4 2" xfId="18175" xr:uid="{00000000-0005-0000-0000-000061120000}"/>
    <cellStyle name="20% - Accent2 4 2 4 4 2 2" xfId="40777" xr:uid="{00000000-0005-0000-0000-000062120000}"/>
    <cellStyle name="20% - Accent2 4 2 4 4 3" xfId="29476" xr:uid="{00000000-0005-0000-0000-000063120000}"/>
    <cellStyle name="20% - Accent2 4 2 4 5" xfId="12525" xr:uid="{00000000-0005-0000-0000-000064120000}"/>
    <cellStyle name="20% - Accent2 4 2 4 5 2" xfId="35127" xr:uid="{00000000-0005-0000-0000-000065120000}"/>
    <cellStyle name="20% - Accent2 4 2 4 6" xfId="23826" xr:uid="{00000000-0005-0000-0000-000066120000}"/>
    <cellStyle name="20% - Accent2 4 2 5" xfId="1599" xr:uid="{00000000-0005-0000-0000-000067120000}"/>
    <cellStyle name="20% - Accent2 4 2 5 2" xfId="3521" xr:uid="{00000000-0005-0000-0000-000068120000}"/>
    <cellStyle name="20% - Accent2 4 2 5 2 2" xfId="9280" xr:uid="{00000000-0005-0000-0000-000069120000}"/>
    <cellStyle name="20% - Accent2 4 2 5 2 2 2" xfId="20581" xr:uid="{00000000-0005-0000-0000-00006A120000}"/>
    <cellStyle name="20% - Accent2 4 2 5 2 2 2 2" xfId="43183" xr:uid="{00000000-0005-0000-0000-00006B120000}"/>
    <cellStyle name="20% - Accent2 4 2 5 2 2 3" xfId="31882" xr:uid="{00000000-0005-0000-0000-00006C120000}"/>
    <cellStyle name="20% - Accent2 4 2 5 2 3" xfId="14931" xr:uid="{00000000-0005-0000-0000-00006D120000}"/>
    <cellStyle name="20% - Accent2 4 2 5 2 3 2" xfId="37533" xr:uid="{00000000-0005-0000-0000-00006E120000}"/>
    <cellStyle name="20% - Accent2 4 2 5 2 4" xfId="26232" xr:uid="{00000000-0005-0000-0000-00006F120000}"/>
    <cellStyle name="20% - Accent2 4 2 5 3" xfId="5297" xr:uid="{00000000-0005-0000-0000-000070120000}"/>
    <cellStyle name="20% - Accent2 4 2 5 3 2" xfId="10947" xr:uid="{00000000-0005-0000-0000-000071120000}"/>
    <cellStyle name="20% - Accent2 4 2 5 3 2 2" xfId="22248" xr:uid="{00000000-0005-0000-0000-000072120000}"/>
    <cellStyle name="20% - Accent2 4 2 5 3 2 2 2" xfId="44850" xr:uid="{00000000-0005-0000-0000-000073120000}"/>
    <cellStyle name="20% - Accent2 4 2 5 3 2 3" xfId="33549" xr:uid="{00000000-0005-0000-0000-000074120000}"/>
    <cellStyle name="20% - Accent2 4 2 5 3 3" xfId="16598" xr:uid="{00000000-0005-0000-0000-000075120000}"/>
    <cellStyle name="20% - Accent2 4 2 5 3 3 2" xfId="39200" xr:uid="{00000000-0005-0000-0000-000076120000}"/>
    <cellStyle name="20% - Accent2 4 2 5 3 4" xfId="27899" xr:uid="{00000000-0005-0000-0000-000077120000}"/>
    <cellStyle name="20% - Accent2 4 2 5 4" xfId="7455" xr:uid="{00000000-0005-0000-0000-000078120000}"/>
    <cellStyle name="20% - Accent2 4 2 5 4 2" xfId="18756" xr:uid="{00000000-0005-0000-0000-000079120000}"/>
    <cellStyle name="20% - Accent2 4 2 5 4 2 2" xfId="41358" xr:uid="{00000000-0005-0000-0000-00007A120000}"/>
    <cellStyle name="20% - Accent2 4 2 5 4 3" xfId="30057" xr:uid="{00000000-0005-0000-0000-00007B120000}"/>
    <cellStyle name="20% - Accent2 4 2 5 5" xfId="13106" xr:uid="{00000000-0005-0000-0000-00007C120000}"/>
    <cellStyle name="20% - Accent2 4 2 5 5 2" xfId="35708" xr:uid="{00000000-0005-0000-0000-00007D120000}"/>
    <cellStyle name="20% - Accent2 4 2 5 6" xfId="24407" xr:uid="{00000000-0005-0000-0000-00007E120000}"/>
    <cellStyle name="20% - Accent2 4 2 6" xfId="2276" xr:uid="{00000000-0005-0000-0000-00007F120000}"/>
    <cellStyle name="20% - Accent2 4 2 6 2" xfId="8112" xr:uid="{00000000-0005-0000-0000-000080120000}"/>
    <cellStyle name="20% - Accent2 4 2 6 2 2" xfId="19413" xr:uid="{00000000-0005-0000-0000-000081120000}"/>
    <cellStyle name="20% - Accent2 4 2 6 2 2 2" xfId="42015" xr:uid="{00000000-0005-0000-0000-000082120000}"/>
    <cellStyle name="20% - Accent2 4 2 6 2 3" xfId="30714" xr:uid="{00000000-0005-0000-0000-000083120000}"/>
    <cellStyle name="20% - Accent2 4 2 6 3" xfId="13763" xr:uid="{00000000-0005-0000-0000-000084120000}"/>
    <cellStyle name="20% - Accent2 4 2 6 3 2" xfId="36365" xr:uid="{00000000-0005-0000-0000-000085120000}"/>
    <cellStyle name="20% - Accent2 4 2 6 4" xfId="25064" xr:uid="{00000000-0005-0000-0000-000086120000}"/>
    <cellStyle name="20% - Accent2 4 2 7" xfId="4063" xr:uid="{00000000-0005-0000-0000-000087120000}"/>
    <cellStyle name="20% - Accent2 4 2 7 2" xfId="9713" xr:uid="{00000000-0005-0000-0000-000088120000}"/>
    <cellStyle name="20% - Accent2 4 2 7 2 2" xfId="21014" xr:uid="{00000000-0005-0000-0000-000089120000}"/>
    <cellStyle name="20% - Accent2 4 2 7 2 2 2" xfId="43616" xr:uid="{00000000-0005-0000-0000-00008A120000}"/>
    <cellStyle name="20% - Accent2 4 2 7 2 3" xfId="32315" xr:uid="{00000000-0005-0000-0000-00008B120000}"/>
    <cellStyle name="20% - Accent2 4 2 7 3" xfId="15364" xr:uid="{00000000-0005-0000-0000-00008C120000}"/>
    <cellStyle name="20% - Accent2 4 2 7 3 2" xfId="37966" xr:uid="{00000000-0005-0000-0000-00008D120000}"/>
    <cellStyle name="20% - Accent2 4 2 7 4" xfId="26665" xr:uid="{00000000-0005-0000-0000-00008E120000}"/>
    <cellStyle name="20% - Accent2 4 2 8" xfId="6514" xr:uid="{00000000-0005-0000-0000-00008F120000}"/>
    <cellStyle name="20% - Accent2 4 2 8 2" xfId="17815" xr:uid="{00000000-0005-0000-0000-000090120000}"/>
    <cellStyle name="20% - Accent2 4 2 8 2 2" xfId="40417" xr:uid="{00000000-0005-0000-0000-000091120000}"/>
    <cellStyle name="20% - Accent2 4 2 8 3" xfId="29116" xr:uid="{00000000-0005-0000-0000-000092120000}"/>
    <cellStyle name="20% - Accent2 4 2 9" xfId="12165" xr:uid="{00000000-0005-0000-0000-000093120000}"/>
    <cellStyle name="20% - Accent2 4 2 9 2" xfId="34767" xr:uid="{00000000-0005-0000-0000-000094120000}"/>
    <cellStyle name="20% - Accent2 4 3" xfId="420" xr:uid="{00000000-0005-0000-0000-000095120000}"/>
    <cellStyle name="20% - Accent2 4 3 10" xfId="23515" xr:uid="{00000000-0005-0000-0000-000096120000}"/>
    <cellStyle name="20% - Accent2 4 3 2" xfId="665" xr:uid="{00000000-0005-0000-0000-000097120000}"/>
    <cellStyle name="20% - Accent2 4 3 2 2" xfId="1375" xr:uid="{00000000-0005-0000-0000-000098120000}"/>
    <cellStyle name="20% - Accent2 4 3 2 2 2" xfId="1605" xr:uid="{00000000-0005-0000-0000-000099120000}"/>
    <cellStyle name="20% - Accent2 4 3 2 2 2 2" xfId="3444" xr:uid="{00000000-0005-0000-0000-00009A120000}"/>
    <cellStyle name="20% - Accent2 4 3 2 2 2 2 2" xfId="6416" xr:uid="{00000000-0005-0000-0000-00009B120000}"/>
    <cellStyle name="20% - Accent2 4 3 2 2 2 2 2 2" xfId="12066" xr:uid="{00000000-0005-0000-0000-00009C120000}"/>
    <cellStyle name="20% - Accent2 4 3 2 2 2 2 2 2 2" xfId="23367" xr:uid="{00000000-0005-0000-0000-00009D120000}"/>
    <cellStyle name="20% - Accent2 4 3 2 2 2 2 2 2 2 2" xfId="45969" xr:uid="{00000000-0005-0000-0000-00009E120000}"/>
    <cellStyle name="20% - Accent2 4 3 2 2 2 2 2 2 3" xfId="34668" xr:uid="{00000000-0005-0000-0000-00009F120000}"/>
    <cellStyle name="20% - Accent2 4 3 2 2 2 2 2 3" xfId="17717" xr:uid="{00000000-0005-0000-0000-0000A0120000}"/>
    <cellStyle name="20% - Accent2 4 3 2 2 2 2 2 3 2" xfId="40319" xr:uid="{00000000-0005-0000-0000-0000A1120000}"/>
    <cellStyle name="20% - Accent2 4 3 2 2 2 2 2 4" xfId="29018" xr:uid="{00000000-0005-0000-0000-0000A2120000}"/>
    <cellStyle name="20% - Accent2 4 3 2 2 2 2 3" xfId="9234" xr:uid="{00000000-0005-0000-0000-0000A3120000}"/>
    <cellStyle name="20% - Accent2 4 3 2 2 2 2 3 2" xfId="20535" xr:uid="{00000000-0005-0000-0000-0000A4120000}"/>
    <cellStyle name="20% - Accent2 4 3 2 2 2 2 3 2 2" xfId="43137" xr:uid="{00000000-0005-0000-0000-0000A5120000}"/>
    <cellStyle name="20% - Accent2 4 3 2 2 2 2 3 3" xfId="31836" xr:uid="{00000000-0005-0000-0000-0000A6120000}"/>
    <cellStyle name="20% - Accent2 4 3 2 2 2 2 4" xfId="14885" xr:uid="{00000000-0005-0000-0000-0000A7120000}"/>
    <cellStyle name="20% - Accent2 4 3 2 2 2 2 4 2" xfId="37487" xr:uid="{00000000-0005-0000-0000-0000A8120000}"/>
    <cellStyle name="20% - Accent2 4 3 2 2 2 2 5" xfId="26186" xr:uid="{00000000-0005-0000-0000-0000A9120000}"/>
    <cellStyle name="20% - Accent2 4 3 2 2 2 3" xfId="5182" xr:uid="{00000000-0005-0000-0000-0000AA120000}"/>
    <cellStyle name="20% - Accent2 4 3 2 2 2 3 2" xfId="10832" xr:uid="{00000000-0005-0000-0000-0000AB120000}"/>
    <cellStyle name="20% - Accent2 4 3 2 2 2 3 2 2" xfId="22133" xr:uid="{00000000-0005-0000-0000-0000AC120000}"/>
    <cellStyle name="20% - Accent2 4 3 2 2 2 3 2 2 2" xfId="44735" xr:uid="{00000000-0005-0000-0000-0000AD120000}"/>
    <cellStyle name="20% - Accent2 4 3 2 2 2 3 2 3" xfId="33434" xr:uid="{00000000-0005-0000-0000-0000AE120000}"/>
    <cellStyle name="20% - Accent2 4 3 2 2 2 3 3" xfId="16483" xr:uid="{00000000-0005-0000-0000-0000AF120000}"/>
    <cellStyle name="20% - Accent2 4 3 2 2 2 3 3 2" xfId="39085" xr:uid="{00000000-0005-0000-0000-0000B0120000}"/>
    <cellStyle name="20% - Accent2 4 3 2 2 2 3 4" xfId="27784" xr:uid="{00000000-0005-0000-0000-0000B1120000}"/>
    <cellStyle name="20% - Accent2 4 3 2 2 2 4" xfId="7461" xr:uid="{00000000-0005-0000-0000-0000B2120000}"/>
    <cellStyle name="20% - Accent2 4 3 2 2 2 4 2" xfId="18762" xr:uid="{00000000-0005-0000-0000-0000B3120000}"/>
    <cellStyle name="20% - Accent2 4 3 2 2 2 4 2 2" xfId="41364" xr:uid="{00000000-0005-0000-0000-0000B4120000}"/>
    <cellStyle name="20% - Accent2 4 3 2 2 2 4 3" xfId="30063" xr:uid="{00000000-0005-0000-0000-0000B5120000}"/>
    <cellStyle name="20% - Accent2 4 3 2 2 2 5" xfId="13112" xr:uid="{00000000-0005-0000-0000-0000B6120000}"/>
    <cellStyle name="20% - Accent2 4 3 2 2 2 5 2" xfId="35714" xr:uid="{00000000-0005-0000-0000-0000B7120000}"/>
    <cellStyle name="20% - Accent2 4 3 2 2 2 6" xfId="24413" xr:uid="{00000000-0005-0000-0000-0000B8120000}"/>
    <cellStyle name="20% - Accent2 4 3 2 2 3" xfId="2773" xr:uid="{00000000-0005-0000-0000-0000B9120000}"/>
    <cellStyle name="20% - Accent2 4 3 2 2 3 2" xfId="5792" xr:uid="{00000000-0005-0000-0000-0000BA120000}"/>
    <cellStyle name="20% - Accent2 4 3 2 2 3 2 2" xfId="11442" xr:uid="{00000000-0005-0000-0000-0000BB120000}"/>
    <cellStyle name="20% - Accent2 4 3 2 2 3 2 2 2" xfId="22743" xr:uid="{00000000-0005-0000-0000-0000BC120000}"/>
    <cellStyle name="20% - Accent2 4 3 2 2 3 2 2 2 2" xfId="45345" xr:uid="{00000000-0005-0000-0000-0000BD120000}"/>
    <cellStyle name="20% - Accent2 4 3 2 2 3 2 2 3" xfId="34044" xr:uid="{00000000-0005-0000-0000-0000BE120000}"/>
    <cellStyle name="20% - Accent2 4 3 2 2 3 2 3" xfId="17093" xr:uid="{00000000-0005-0000-0000-0000BF120000}"/>
    <cellStyle name="20% - Accent2 4 3 2 2 3 2 3 2" xfId="39695" xr:uid="{00000000-0005-0000-0000-0000C0120000}"/>
    <cellStyle name="20% - Accent2 4 3 2 2 3 2 4" xfId="28394" xr:uid="{00000000-0005-0000-0000-0000C1120000}"/>
    <cellStyle name="20% - Accent2 4 3 2 2 3 3" xfId="8609" xr:uid="{00000000-0005-0000-0000-0000C2120000}"/>
    <cellStyle name="20% - Accent2 4 3 2 2 3 3 2" xfId="19910" xr:uid="{00000000-0005-0000-0000-0000C3120000}"/>
    <cellStyle name="20% - Accent2 4 3 2 2 3 3 2 2" xfId="42512" xr:uid="{00000000-0005-0000-0000-0000C4120000}"/>
    <cellStyle name="20% - Accent2 4 3 2 2 3 3 3" xfId="31211" xr:uid="{00000000-0005-0000-0000-0000C5120000}"/>
    <cellStyle name="20% - Accent2 4 3 2 2 3 4" xfId="14260" xr:uid="{00000000-0005-0000-0000-0000C6120000}"/>
    <cellStyle name="20% - Accent2 4 3 2 2 3 4 2" xfId="36862" xr:uid="{00000000-0005-0000-0000-0000C7120000}"/>
    <cellStyle name="20% - Accent2 4 3 2 2 3 5" xfId="25561" xr:uid="{00000000-0005-0000-0000-0000C8120000}"/>
    <cellStyle name="20% - Accent2 4 3 2 2 4" xfId="4558" xr:uid="{00000000-0005-0000-0000-0000C9120000}"/>
    <cellStyle name="20% - Accent2 4 3 2 2 4 2" xfId="10208" xr:uid="{00000000-0005-0000-0000-0000CA120000}"/>
    <cellStyle name="20% - Accent2 4 3 2 2 4 2 2" xfId="21509" xr:uid="{00000000-0005-0000-0000-0000CB120000}"/>
    <cellStyle name="20% - Accent2 4 3 2 2 4 2 2 2" xfId="44111" xr:uid="{00000000-0005-0000-0000-0000CC120000}"/>
    <cellStyle name="20% - Accent2 4 3 2 2 4 2 3" xfId="32810" xr:uid="{00000000-0005-0000-0000-0000CD120000}"/>
    <cellStyle name="20% - Accent2 4 3 2 2 4 3" xfId="15859" xr:uid="{00000000-0005-0000-0000-0000CE120000}"/>
    <cellStyle name="20% - Accent2 4 3 2 2 4 3 2" xfId="38461" xr:uid="{00000000-0005-0000-0000-0000CF120000}"/>
    <cellStyle name="20% - Accent2 4 3 2 2 4 4" xfId="27160" xr:uid="{00000000-0005-0000-0000-0000D0120000}"/>
    <cellStyle name="20% - Accent2 4 3 2 2 5" xfId="7354" xr:uid="{00000000-0005-0000-0000-0000D1120000}"/>
    <cellStyle name="20% - Accent2 4 3 2 2 5 2" xfId="18655" xr:uid="{00000000-0005-0000-0000-0000D2120000}"/>
    <cellStyle name="20% - Accent2 4 3 2 2 5 2 2" xfId="41257" xr:uid="{00000000-0005-0000-0000-0000D3120000}"/>
    <cellStyle name="20% - Accent2 4 3 2 2 5 3" xfId="29956" xr:uid="{00000000-0005-0000-0000-0000D4120000}"/>
    <cellStyle name="20% - Accent2 4 3 2 2 6" xfId="13005" xr:uid="{00000000-0005-0000-0000-0000D5120000}"/>
    <cellStyle name="20% - Accent2 4 3 2 2 6 2" xfId="35607" xr:uid="{00000000-0005-0000-0000-0000D6120000}"/>
    <cellStyle name="20% - Accent2 4 3 2 2 7" xfId="24306" xr:uid="{00000000-0005-0000-0000-0000D7120000}"/>
    <cellStyle name="20% - Accent2 4 3 2 3" xfId="1073" xr:uid="{00000000-0005-0000-0000-0000D8120000}"/>
    <cellStyle name="20% - Accent2 4 3 2 3 2" xfId="3136" xr:uid="{00000000-0005-0000-0000-0000D9120000}"/>
    <cellStyle name="20% - Accent2 4 3 2 3 2 2" xfId="6108" xr:uid="{00000000-0005-0000-0000-0000DA120000}"/>
    <cellStyle name="20% - Accent2 4 3 2 3 2 2 2" xfId="11758" xr:uid="{00000000-0005-0000-0000-0000DB120000}"/>
    <cellStyle name="20% - Accent2 4 3 2 3 2 2 2 2" xfId="23059" xr:uid="{00000000-0005-0000-0000-0000DC120000}"/>
    <cellStyle name="20% - Accent2 4 3 2 3 2 2 2 2 2" xfId="45661" xr:uid="{00000000-0005-0000-0000-0000DD120000}"/>
    <cellStyle name="20% - Accent2 4 3 2 3 2 2 2 3" xfId="34360" xr:uid="{00000000-0005-0000-0000-0000DE120000}"/>
    <cellStyle name="20% - Accent2 4 3 2 3 2 2 3" xfId="17409" xr:uid="{00000000-0005-0000-0000-0000DF120000}"/>
    <cellStyle name="20% - Accent2 4 3 2 3 2 2 3 2" xfId="40011" xr:uid="{00000000-0005-0000-0000-0000E0120000}"/>
    <cellStyle name="20% - Accent2 4 3 2 3 2 2 4" xfId="28710" xr:uid="{00000000-0005-0000-0000-0000E1120000}"/>
    <cellStyle name="20% - Accent2 4 3 2 3 2 3" xfId="8926" xr:uid="{00000000-0005-0000-0000-0000E2120000}"/>
    <cellStyle name="20% - Accent2 4 3 2 3 2 3 2" xfId="20227" xr:uid="{00000000-0005-0000-0000-0000E3120000}"/>
    <cellStyle name="20% - Accent2 4 3 2 3 2 3 2 2" xfId="42829" xr:uid="{00000000-0005-0000-0000-0000E4120000}"/>
    <cellStyle name="20% - Accent2 4 3 2 3 2 3 3" xfId="31528" xr:uid="{00000000-0005-0000-0000-0000E5120000}"/>
    <cellStyle name="20% - Accent2 4 3 2 3 2 4" xfId="14577" xr:uid="{00000000-0005-0000-0000-0000E6120000}"/>
    <cellStyle name="20% - Accent2 4 3 2 3 2 4 2" xfId="37179" xr:uid="{00000000-0005-0000-0000-0000E7120000}"/>
    <cellStyle name="20% - Accent2 4 3 2 3 2 5" xfId="25878" xr:uid="{00000000-0005-0000-0000-0000E8120000}"/>
    <cellStyle name="20% - Accent2 4 3 2 3 3" xfId="4874" xr:uid="{00000000-0005-0000-0000-0000E9120000}"/>
    <cellStyle name="20% - Accent2 4 3 2 3 3 2" xfId="10524" xr:uid="{00000000-0005-0000-0000-0000EA120000}"/>
    <cellStyle name="20% - Accent2 4 3 2 3 3 2 2" xfId="21825" xr:uid="{00000000-0005-0000-0000-0000EB120000}"/>
    <cellStyle name="20% - Accent2 4 3 2 3 3 2 2 2" xfId="44427" xr:uid="{00000000-0005-0000-0000-0000EC120000}"/>
    <cellStyle name="20% - Accent2 4 3 2 3 3 2 3" xfId="33126" xr:uid="{00000000-0005-0000-0000-0000ED120000}"/>
    <cellStyle name="20% - Accent2 4 3 2 3 3 3" xfId="16175" xr:uid="{00000000-0005-0000-0000-0000EE120000}"/>
    <cellStyle name="20% - Accent2 4 3 2 3 3 3 2" xfId="38777" xr:uid="{00000000-0005-0000-0000-0000EF120000}"/>
    <cellStyle name="20% - Accent2 4 3 2 3 3 4" xfId="27476" xr:uid="{00000000-0005-0000-0000-0000F0120000}"/>
    <cellStyle name="20% - Accent2 4 3 2 3 4" xfId="7061" xr:uid="{00000000-0005-0000-0000-0000F1120000}"/>
    <cellStyle name="20% - Accent2 4 3 2 3 4 2" xfId="18362" xr:uid="{00000000-0005-0000-0000-0000F2120000}"/>
    <cellStyle name="20% - Accent2 4 3 2 3 4 2 2" xfId="40964" xr:uid="{00000000-0005-0000-0000-0000F3120000}"/>
    <cellStyle name="20% - Accent2 4 3 2 3 4 3" xfId="29663" xr:uid="{00000000-0005-0000-0000-0000F4120000}"/>
    <cellStyle name="20% - Accent2 4 3 2 3 5" xfId="12712" xr:uid="{00000000-0005-0000-0000-0000F5120000}"/>
    <cellStyle name="20% - Accent2 4 3 2 3 5 2" xfId="35314" xr:uid="{00000000-0005-0000-0000-0000F6120000}"/>
    <cellStyle name="20% - Accent2 4 3 2 3 6" xfId="24013" xr:uid="{00000000-0005-0000-0000-0000F7120000}"/>
    <cellStyle name="20% - Accent2 4 3 2 4" xfId="1604" xr:uid="{00000000-0005-0000-0000-0000F8120000}"/>
    <cellStyle name="20% - Accent2 4 3 2 4 2" xfId="3504" xr:uid="{00000000-0005-0000-0000-0000F9120000}"/>
    <cellStyle name="20% - Accent2 4 3 2 4 2 2" xfId="9273" xr:uid="{00000000-0005-0000-0000-0000FA120000}"/>
    <cellStyle name="20% - Accent2 4 3 2 4 2 2 2" xfId="20574" xr:uid="{00000000-0005-0000-0000-0000FB120000}"/>
    <cellStyle name="20% - Accent2 4 3 2 4 2 2 2 2" xfId="43176" xr:uid="{00000000-0005-0000-0000-0000FC120000}"/>
    <cellStyle name="20% - Accent2 4 3 2 4 2 2 3" xfId="31875" xr:uid="{00000000-0005-0000-0000-0000FD120000}"/>
    <cellStyle name="20% - Accent2 4 3 2 4 2 3" xfId="14924" xr:uid="{00000000-0005-0000-0000-0000FE120000}"/>
    <cellStyle name="20% - Accent2 4 3 2 4 2 3 2" xfId="37526" xr:uid="{00000000-0005-0000-0000-0000FF120000}"/>
    <cellStyle name="20% - Accent2 4 3 2 4 2 4" xfId="26225" xr:uid="{00000000-0005-0000-0000-000000130000}"/>
    <cellStyle name="20% - Accent2 4 3 2 4 3" xfId="5484" xr:uid="{00000000-0005-0000-0000-000001130000}"/>
    <cellStyle name="20% - Accent2 4 3 2 4 3 2" xfId="11134" xr:uid="{00000000-0005-0000-0000-000002130000}"/>
    <cellStyle name="20% - Accent2 4 3 2 4 3 2 2" xfId="22435" xr:uid="{00000000-0005-0000-0000-000003130000}"/>
    <cellStyle name="20% - Accent2 4 3 2 4 3 2 2 2" xfId="45037" xr:uid="{00000000-0005-0000-0000-000004130000}"/>
    <cellStyle name="20% - Accent2 4 3 2 4 3 2 3" xfId="33736" xr:uid="{00000000-0005-0000-0000-000005130000}"/>
    <cellStyle name="20% - Accent2 4 3 2 4 3 3" xfId="16785" xr:uid="{00000000-0005-0000-0000-000006130000}"/>
    <cellStyle name="20% - Accent2 4 3 2 4 3 3 2" xfId="39387" xr:uid="{00000000-0005-0000-0000-000007130000}"/>
    <cellStyle name="20% - Accent2 4 3 2 4 3 4" xfId="28086" xr:uid="{00000000-0005-0000-0000-000008130000}"/>
    <cellStyle name="20% - Accent2 4 3 2 4 4" xfId="7460" xr:uid="{00000000-0005-0000-0000-000009130000}"/>
    <cellStyle name="20% - Accent2 4 3 2 4 4 2" xfId="18761" xr:uid="{00000000-0005-0000-0000-00000A130000}"/>
    <cellStyle name="20% - Accent2 4 3 2 4 4 2 2" xfId="41363" xr:uid="{00000000-0005-0000-0000-00000B130000}"/>
    <cellStyle name="20% - Accent2 4 3 2 4 4 3" xfId="30062" xr:uid="{00000000-0005-0000-0000-00000C130000}"/>
    <cellStyle name="20% - Accent2 4 3 2 4 5" xfId="13111" xr:uid="{00000000-0005-0000-0000-00000D130000}"/>
    <cellStyle name="20% - Accent2 4 3 2 4 5 2" xfId="35713" xr:uid="{00000000-0005-0000-0000-00000E130000}"/>
    <cellStyle name="20% - Accent2 4 3 2 4 6" xfId="24412" xr:uid="{00000000-0005-0000-0000-00000F130000}"/>
    <cellStyle name="20% - Accent2 4 3 2 5" xfId="2465" xr:uid="{00000000-0005-0000-0000-000010130000}"/>
    <cellStyle name="20% - Accent2 4 3 2 5 2" xfId="8301" xr:uid="{00000000-0005-0000-0000-000011130000}"/>
    <cellStyle name="20% - Accent2 4 3 2 5 2 2" xfId="19602" xr:uid="{00000000-0005-0000-0000-000012130000}"/>
    <cellStyle name="20% - Accent2 4 3 2 5 2 2 2" xfId="42204" xr:uid="{00000000-0005-0000-0000-000013130000}"/>
    <cellStyle name="20% - Accent2 4 3 2 5 2 3" xfId="30903" xr:uid="{00000000-0005-0000-0000-000014130000}"/>
    <cellStyle name="20% - Accent2 4 3 2 5 3" xfId="13952" xr:uid="{00000000-0005-0000-0000-000015130000}"/>
    <cellStyle name="20% - Accent2 4 3 2 5 3 2" xfId="36554" xr:uid="{00000000-0005-0000-0000-000016130000}"/>
    <cellStyle name="20% - Accent2 4 3 2 5 4" xfId="25253" xr:uid="{00000000-0005-0000-0000-000017130000}"/>
    <cellStyle name="20% - Accent2 4 3 2 6" xfId="4250" xr:uid="{00000000-0005-0000-0000-000018130000}"/>
    <cellStyle name="20% - Accent2 4 3 2 6 2" xfId="9900" xr:uid="{00000000-0005-0000-0000-000019130000}"/>
    <cellStyle name="20% - Accent2 4 3 2 6 2 2" xfId="21201" xr:uid="{00000000-0005-0000-0000-00001A130000}"/>
    <cellStyle name="20% - Accent2 4 3 2 6 2 2 2" xfId="43803" xr:uid="{00000000-0005-0000-0000-00001B130000}"/>
    <cellStyle name="20% - Accent2 4 3 2 6 2 3" xfId="32502" xr:uid="{00000000-0005-0000-0000-00001C130000}"/>
    <cellStyle name="20% - Accent2 4 3 2 6 3" xfId="15551" xr:uid="{00000000-0005-0000-0000-00001D130000}"/>
    <cellStyle name="20% - Accent2 4 3 2 6 3 2" xfId="38153" xr:uid="{00000000-0005-0000-0000-00001E130000}"/>
    <cellStyle name="20% - Accent2 4 3 2 6 4" xfId="26852" xr:uid="{00000000-0005-0000-0000-00001F130000}"/>
    <cellStyle name="20% - Accent2 4 3 2 7" xfId="6730" xr:uid="{00000000-0005-0000-0000-000020130000}"/>
    <cellStyle name="20% - Accent2 4 3 2 7 2" xfId="18031" xr:uid="{00000000-0005-0000-0000-000021130000}"/>
    <cellStyle name="20% - Accent2 4 3 2 7 2 2" xfId="40633" xr:uid="{00000000-0005-0000-0000-000022130000}"/>
    <cellStyle name="20% - Accent2 4 3 2 7 3" xfId="29332" xr:uid="{00000000-0005-0000-0000-000023130000}"/>
    <cellStyle name="20% - Accent2 4 3 2 8" xfId="12381" xr:uid="{00000000-0005-0000-0000-000024130000}"/>
    <cellStyle name="20% - Accent2 4 3 2 8 2" xfId="34983" xr:uid="{00000000-0005-0000-0000-000025130000}"/>
    <cellStyle name="20% - Accent2 4 3 2 9" xfId="23682" xr:uid="{00000000-0005-0000-0000-000026130000}"/>
    <cellStyle name="20% - Accent2 4 3 3" xfId="1237" xr:uid="{00000000-0005-0000-0000-000027130000}"/>
    <cellStyle name="20% - Accent2 4 3 3 2" xfId="1606" xr:uid="{00000000-0005-0000-0000-000028130000}"/>
    <cellStyle name="20% - Accent2 4 3 3 2 2" xfId="3305" xr:uid="{00000000-0005-0000-0000-000029130000}"/>
    <cellStyle name="20% - Accent2 4 3 3 2 2 2" xfId="6277" xr:uid="{00000000-0005-0000-0000-00002A130000}"/>
    <cellStyle name="20% - Accent2 4 3 3 2 2 2 2" xfId="11927" xr:uid="{00000000-0005-0000-0000-00002B130000}"/>
    <cellStyle name="20% - Accent2 4 3 3 2 2 2 2 2" xfId="23228" xr:uid="{00000000-0005-0000-0000-00002C130000}"/>
    <cellStyle name="20% - Accent2 4 3 3 2 2 2 2 2 2" xfId="45830" xr:uid="{00000000-0005-0000-0000-00002D130000}"/>
    <cellStyle name="20% - Accent2 4 3 3 2 2 2 2 3" xfId="34529" xr:uid="{00000000-0005-0000-0000-00002E130000}"/>
    <cellStyle name="20% - Accent2 4 3 3 2 2 2 3" xfId="17578" xr:uid="{00000000-0005-0000-0000-00002F130000}"/>
    <cellStyle name="20% - Accent2 4 3 3 2 2 2 3 2" xfId="40180" xr:uid="{00000000-0005-0000-0000-000030130000}"/>
    <cellStyle name="20% - Accent2 4 3 3 2 2 2 4" xfId="28879" xr:uid="{00000000-0005-0000-0000-000031130000}"/>
    <cellStyle name="20% - Accent2 4 3 3 2 2 3" xfId="9095" xr:uid="{00000000-0005-0000-0000-000032130000}"/>
    <cellStyle name="20% - Accent2 4 3 3 2 2 3 2" xfId="20396" xr:uid="{00000000-0005-0000-0000-000033130000}"/>
    <cellStyle name="20% - Accent2 4 3 3 2 2 3 2 2" xfId="42998" xr:uid="{00000000-0005-0000-0000-000034130000}"/>
    <cellStyle name="20% - Accent2 4 3 3 2 2 3 3" xfId="31697" xr:uid="{00000000-0005-0000-0000-000035130000}"/>
    <cellStyle name="20% - Accent2 4 3 3 2 2 4" xfId="14746" xr:uid="{00000000-0005-0000-0000-000036130000}"/>
    <cellStyle name="20% - Accent2 4 3 3 2 2 4 2" xfId="37348" xr:uid="{00000000-0005-0000-0000-000037130000}"/>
    <cellStyle name="20% - Accent2 4 3 3 2 2 5" xfId="26047" xr:uid="{00000000-0005-0000-0000-000038130000}"/>
    <cellStyle name="20% - Accent2 4 3 3 2 3" xfId="5043" xr:uid="{00000000-0005-0000-0000-000039130000}"/>
    <cellStyle name="20% - Accent2 4 3 3 2 3 2" xfId="10693" xr:uid="{00000000-0005-0000-0000-00003A130000}"/>
    <cellStyle name="20% - Accent2 4 3 3 2 3 2 2" xfId="21994" xr:uid="{00000000-0005-0000-0000-00003B130000}"/>
    <cellStyle name="20% - Accent2 4 3 3 2 3 2 2 2" xfId="44596" xr:uid="{00000000-0005-0000-0000-00003C130000}"/>
    <cellStyle name="20% - Accent2 4 3 3 2 3 2 3" xfId="33295" xr:uid="{00000000-0005-0000-0000-00003D130000}"/>
    <cellStyle name="20% - Accent2 4 3 3 2 3 3" xfId="16344" xr:uid="{00000000-0005-0000-0000-00003E130000}"/>
    <cellStyle name="20% - Accent2 4 3 3 2 3 3 2" xfId="38946" xr:uid="{00000000-0005-0000-0000-00003F130000}"/>
    <cellStyle name="20% - Accent2 4 3 3 2 3 4" xfId="27645" xr:uid="{00000000-0005-0000-0000-000040130000}"/>
    <cellStyle name="20% - Accent2 4 3 3 2 4" xfId="7462" xr:uid="{00000000-0005-0000-0000-000041130000}"/>
    <cellStyle name="20% - Accent2 4 3 3 2 4 2" xfId="18763" xr:uid="{00000000-0005-0000-0000-000042130000}"/>
    <cellStyle name="20% - Accent2 4 3 3 2 4 2 2" xfId="41365" xr:uid="{00000000-0005-0000-0000-000043130000}"/>
    <cellStyle name="20% - Accent2 4 3 3 2 4 3" xfId="30064" xr:uid="{00000000-0005-0000-0000-000044130000}"/>
    <cellStyle name="20% - Accent2 4 3 3 2 5" xfId="13113" xr:uid="{00000000-0005-0000-0000-000045130000}"/>
    <cellStyle name="20% - Accent2 4 3 3 2 5 2" xfId="35715" xr:uid="{00000000-0005-0000-0000-000046130000}"/>
    <cellStyle name="20% - Accent2 4 3 3 2 6" xfId="24414" xr:uid="{00000000-0005-0000-0000-000047130000}"/>
    <cellStyle name="20% - Accent2 4 3 3 3" xfId="2634" xr:uid="{00000000-0005-0000-0000-000048130000}"/>
    <cellStyle name="20% - Accent2 4 3 3 3 2" xfId="5653" xr:uid="{00000000-0005-0000-0000-000049130000}"/>
    <cellStyle name="20% - Accent2 4 3 3 3 2 2" xfId="11303" xr:uid="{00000000-0005-0000-0000-00004A130000}"/>
    <cellStyle name="20% - Accent2 4 3 3 3 2 2 2" xfId="22604" xr:uid="{00000000-0005-0000-0000-00004B130000}"/>
    <cellStyle name="20% - Accent2 4 3 3 3 2 2 2 2" xfId="45206" xr:uid="{00000000-0005-0000-0000-00004C130000}"/>
    <cellStyle name="20% - Accent2 4 3 3 3 2 2 3" xfId="33905" xr:uid="{00000000-0005-0000-0000-00004D130000}"/>
    <cellStyle name="20% - Accent2 4 3 3 3 2 3" xfId="16954" xr:uid="{00000000-0005-0000-0000-00004E130000}"/>
    <cellStyle name="20% - Accent2 4 3 3 3 2 3 2" xfId="39556" xr:uid="{00000000-0005-0000-0000-00004F130000}"/>
    <cellStyle name="20% - Accent2 4 3 3 3 2 4" xfId="28255" xr:uid="{00000000-0005-0000-0000-000050130000}"/>
    <cellStyle name="20% - Accent2 4 3 3 3 3" xfId="8470" xr:uid="{00000000-0005-0000-0000-000051130000}"/>
    <cellStyle name="20% - Accent2 4 3 3 3 3 2" xfId="19771" xr:uid="{00000000-0005-0000-0000-000052130000}"/>
    <cellStyle name="20% - Accent2 4 3 3 3 3 2 2" xfId="42373" xr:uid="{00000000-0005-0000-0000-000053130000}"/>
    <cellStyle name="20% - Accent2 4 3 3 3 3 3" xfId="31072" xr:uid="{00000000-0005-0000-0000-000054130000}"/>
    <cellStyle name="20% - Accent2 4 3 3 3 4" xfId="14121" xr:uid="{00000000-0005-0000-0000-000055130000}"/>
    <cellStyle name="20% - Accent2 4 3 3 3 4 2" xfId="36723" xr:uid="{00000000-0005-0000-0000-000056130000}"/>
    <cellStyle name="20% - Accent2 4 3 3 3 5" xfId="25422" xr:uid="{00000000-0005-0000-0000-000057130000}"/>
    <cellStyle name="20% - Accent2 4 3 3 4" xfId="4419" xr:uid="{00000000-0005-0000-0000-000058130000}"/>
    <cellStyle name="20% - Accent2 4 3 3 4 2" xfId="10069" xr:uid="{00000000-0005-0000-0000-000059130000}"/>
    <cellStyle name="20% - Accent2 4 3 3 4 2 2" xfId="21370" xr:uid="{00000000-0005-0000-0000-00005A130000}"/>
    <cellStyle name="20% - Accent2 4 3 3 4 2 2 2" xfId="43972" xr:uid="{00000000-0005-0000-0000-00005B130000}"/>
    <cellStyle name="20% - Accent2 4 3 3 4 2 3" xfId="32671" xr:uid="{00000000-0005-0000-0000-00005C130000}"/>
    <cellStyle name="20% - Accent2 4 3 3 4 3" xfId="15720" xr:uid="{00000000-0005-0000-0000-00005D130000}"/>
    <cellStyle name="20% - Accent2 4 3 3 4 3 2" xfId="38322" xr:uid="{00000000-0005-0000-0000-00005E130000}"/>
    <cellStyle name="20% - Accent2 4 3 3 4 4" xfId="27021" xr:uid="{00000000-0005-0000-0000-00005F130000}"/>
    <cellStyle name="20% - Accent2 4 3 3 5" xfId="7216" xr:uid="{00000000-0005-0000-0000-000060130000}"/>
    <cellStyle name="20% - Accent2 4 3 3 5 2" xfId="18517" xr:uid="{00000000-0005-0000-0000-000061130000}"/>
    <cellStyle name="20% - Accent2 4 3 3 5 2 2" xfId="41119" xr:uid="{00000000-0005-0000-0000-000062130000}"/>
    <cellStyle name="20% - Accent2 4 3 3 5 3" xfId="29818" xr:uid="{00000000-0005-0000-0000-000063130000}"/>
    <cellStyle name="20% - Accent2 4 3 3 6" xfId="12867" xr:uid="{00000000-0005-0000-0000-000064130000}"/>
    <cellStyle name="20% - Accent2 4 3 3 6 2" xfId="35469" xr:uid="{00000000-0005-0000-0000-000065130000}"/>
    <cellStyle name="20% - Accent2 4 3 3 7" xfId="24168" xr:uid="{00000000-0005-0000-0000-000066130000}"/>
    <cellStyle name="20% - Accent2 4 3 4" xfId="928" xr:uid="{00000000-0005-0000-0000-000067130000}"/>
    <cellStyle name="20% - Accent2 4 3 4 2" xfId="2998" xr:uid="{00000000-0005-0000-0000-000068130000}"/>
    <cellStyle name="20% - Accent2 4 3 4 2 2" xfId="5970" xr:uid="{00000000-0005-0000-0000-000069130000}"/>
    <cellStyle name="20% - Accent2 4 3 4 2 2 2" xfId="11620" xr:uid="{00000000-0005-0000-0000-00006A130000}"/>
    <cellStyle name="20% - Accent2 4 3 4 2 2 2 2" xfId="22921" xr:uid="{00000000-0005-0000-0000-00006B130000}"/>
    <cellStyle name="20% - Accent2 4 3 4 2 2 2 2 2" xfId="45523" xr:uid="{00000000-0005-0000-0000-00006C130000}"/>
    <cellStyle name="20% - Accent2 4 3 4 2 2 2 3" xfId="34222" xr:uid="{00000000-0005-0000-0000-00006D130000}"/>
    <cellStyle name="20% - Accent2 4 3 4 2 2 3" xfId="17271" xr:uid="{00000000-0005-0000-0000-00006E130000}"/>
    <cellStyle name="20% - Accent2 4 3 4 2 2 3 2" xfId="39873" xr:uid="{00000000-0005-0000-0000-00006F130000}"/>
    <cellStyle name="20% - Accent2 4 3 4 2 2 4" xfId="28572" xr:uid="{00000000-0005-0000-0000-000070130000}"/>
    <cellStyle name="20% - Accent2 4 3 4 2 3" xfId="8788" xr:uid="{00000000-0005-0000-0000-000071130000}"/>
    <cellStyle name="20% - Accent2 4 3 4 2 3 2" xfId="20089" xr:uid="{00000000-0005-0000-0000-000072130000}"/>
    <cellStyle name="20% - Accent2 4 3 4 2 3 2 2" xfId="42691" xr:uid="{00000000-0005-0000-0000-000073130000}"/>
    <cellStyle name="20% - Accent2 4 3 4 2 3 3" xfId="31390" xr:uid="{00000000-0005-0000-0000-000074130000}"/>
    <cellStyle name="20% - Accent2 4 3 4 2 4" xfId="14439" xr:uid="{00000000-0005-0000-0000-000075130000}"/>
    <cellStyle name="20% - Accent2 4 3 4 2 4 2" xfId="37041" xr:uid="{00000000-0005-0000-0000-000076130000}"/>
    <cellStyle name="20% - Accent2 4 3 4 2 5" xfId="25740" xr:uid="{00000000-0005-0000-0000-000077130000}"/>
    <cellStyle name="20% - Accent2 4 3 4 3" xfId="4736" xr:uid="{00000000-0005-0000-0000-000078130000}"/>
    <cellStyle name="20% - Accent2 4 3 4 3 2" xfId="10386" xr:uid="{00000000-0005-0000-0000-000079130000}"/>
    <cellStyle name="20% - Accent2 4 3 4 3 2 2" xfId="21687" xr:uid="{00000000-0005-0000-0000-00007A130000}"/>
    <cellStyle name="20% - Accent2 4 3 4 3 2 2 2" xfId="44289" xr:uid="{00000000-0005-0000-0000-00007B130000}"/>
    <cellStyle name="20% - Accent2 4 3 4 3 2 3" xfId="32988" xr:uid="{00000000-0005-0000-0000-00007C130000}"/>
    <cellStyle name="20% - Accent2 4 3 4 3 3" xfId="16037" xr:uid="{00000000-0005-0000-0000-00007D130000}"/>
    <cellStyle name="20% - Accent2 4 3 4 3 3 2" xfId="38639" xr:uid="{00000000-0005-0000-0000-00007E130000}"/>
    <cellStyle name="20% - Accent2 4 3 4 3 4" xfId="27338" xr:uid="{00000000-0005-0000-0000-00007F130000}"/>
    <cellStyle name="20% - Accent2 4 3 4 4" xfId="6923" xr:uid="{00000000-0005-0000-0000-000080130000}"/>
    <cellStyle name="20% - Accent2 4 3 4 4 2" xfId="18224" xr:uid="{00000000-0005-0000-0000-000081130000}"/>
    <cellStyle name="20% - Accent2 4 3 4 4 2 2" xfId="40826" xr:uid="{00000000-0005-0000-0000-000082130000}"/>
    <cellStyle name="20% - Accent2 4 3 4 4 3" xfId="29525" xr:uid="{00000000-0005-0000-0000-000083130000}"/>
    <cellStyle name="20% - Accent2 4 3 4 5" xfId="12574" xr:uid="{00000000-0005-0000-0000-000084130000}"/>
    <cellStyle name="20% - Accent2 4 3 4 5 2" xfId="35176" xr:uid="{00000000-0005-0000-0000-000085130000}"/>
    <cellStyle name="20% - Accent2 4 3 4 6" xfId="23875" xr:uid="{00000000-0005-0000-0000-000086130000}"/>
    <cellStyle name="20% - Accent2 4 3 5" xfId="1603" xr:uid="{00000000-0005-0000-0000-000087130000}"/>
    <cellStyle name="20% - Accent2 4 3 5 2" xfId="3577" xr:uid="{00000000-0005-0000-0000-000088130000}"/>
    <cellStyle name="20% - Accent2 4 3 5 2 2" xfId="9303" xr:uid="{00000000-0005-0000-0000-000089130000}"/>
    <cellStyle name="20% - Accent2 4 3 5 2 2 2" xfId="20604" xr:uid="{00000000-0005-0000-0000-00008A130000}"/>
    <cellStyle name="20% - Accent2 4 3 5 2 2 2 2" xfId="43206" xr:uid="{00000000-0005-0000-0000-00008B130000}"/>
    <cellStyle name="20% - Accent2 4 3 5 2 2 3" xfId="31905" xr:uid="{00000000-0005-0000-0000-00008C130000}"/>
    <cellStyle name="20% - Accent2 4 3 5 2 3" xfId="14954" xr:uid="{00000000-0005-0000-0000-00008D130000}"/>
    <cellStyle name="20% - Accent2 4 3 5 2 3 2" xfId="37556" xr:uid="{00000000-0005-0000-0000-00008E130000}"/>
    <cellStyle name="20% - Accent2 4 3 5 2 4" xfId="26255" xr:uid="{00000000-0005-0000-0000-00008F130000}"/>
    <cellStyle name="20% - Accent2 4 3 5 3" xfId="5346" xr:uid="{00000000-0005-0000-0000-000090130000}"/>
    <cellStyle name="20% - Accent2 4 3 5 3 2" xfId="10996" xr:uid="{00000000-0005-0000-0000-000091130000}"/>
    <cellStyle name="20% - Accent2 4 3 5 3 2 2" xfId="22297" xr:uid="{00000000-0005-0000-0000-000092130000}"/>
    <cellStyle name="20% - Accent2 4 3 5 3 2 2 2" xfId="44899" xr:uid="{00000000-0005-0000-0000-000093130000}"/>
    <cellStyle name="20% - Accent2 4 3 5 3 2 3" xfId="33598" xr:uid="{00000000-0005-0000-0000-000094130000}"/>
    <cellStyle name="20% - Accent2 4 3 5 3 3" xfId="16647" xr:uid="{00000000-0005-0000-0000-000095130000}"/>
    <cellStyle name="20% - Accent2 4 3 5 3 3 2" xfId="39249" xr:uid="{00000000-0005-0000-0000-000096130000}"/>
    <cellStyle name="20% - Accent2 4 3 5 3 4" xfId="27948" xr:uid="{00000000-0005-0000-0000-000097130000}"/>
    <cellStyle name="20% - Accent2 4 3 5 4" xfId="7459" xr:uid="{00000000-0005-0000-0000-000098130000}"/>
    <cellStyle name="20% - Accent2 4 3 5 4 2" xfId="18760" xr:uid="{00000000-0005-0000-0000-000099130000}"/>
    <cellStyle name="20% - Accent2 4 3 5 4 2 2" xfId="41362" xr:uid="{00000000-0005-0000-0000-00009A130000}"/>
    <cellStyle name="20% - Accent2 4 3 5 4 3" xfId="30061" xr:uid="{00000000-0005-0000-0000-00009B130000}"/>
    <cellStyle name="20% - Accent2 4 3 5 5" xfId="13110" xr:uid="{00000000-0005-0000-0000-00009C130000}"/>
    <cellStyle name="20% - Accent2 4 3 5 5 2" xfId="35712" xr:uid="{00000000-0005-0000-0000-00009D130000}"/>
    <cellStyle name="20% - Accent2 4 3 5 6" xfId="24411" xr:uid="{00000000-0005-0000-0000-00009E130000}"/>
    <cellStyle name="20% - Accent2 4 3 6" xfId="2325" xr:uid="{00000000-0005-0000-0000-00009F130000}"/>
    <cellStyle name="20% - Accent2 4 3 6 2" xfId="8161" xr:uid="{00000000-0005-0000-0000-0000A0130000}"/>
    <cellStyle name="20% - Accent2 4 3 6 2 2" xfId="19462" xr:uid="{00000000-0005-0000-0000-0000A1130000}"/>
    <cellStyle name="20% - Accent2 4 3 6 2 2 2" xfId="42064" xr:uid="{00000000-0005-0000-0000-0000A2130000}"/>
    <cellStyle name="20% - Accent2 4 3 6 2 3" xfId="30763" xr:uid="{00000000-0005-0000-0000-0000A3130000}"/>
    <cellStyle name="20% - Accent2 4 3 6 3" xfId="13812" xr:uid="{00000000-0005-0000-0000-0000A4130000}"/>
    <cellStyle name="20% - Accent2 4 3 6 3 2" xfId="36414" xr:uid="{00000000-0005-0000-0000-0000A5130000}"/>
    <cellStyle name="20% - Accent2 4 3 6 4" xfId="25113" xr:uid="{00000000-0005-0000-0000-0000A6130000}"/>
    <cellStyle name="20% - Accent2 4 3 7" xfId="4112" xr:uid="{00000000-0005-0000-0000-0000A7130000}"/>
    <cellStyle name="20% - Accent2 4 3 7 2" xfId="9762" xr:uid="{00000000-0005-0000-0000-0000A8130000}"/>
    <cellStyle name="20% - Accent2 4 3 7 2 2" xfId="21063" xr:uid="{00000000-0005-0000-0000-0000A9130000}"/>
    <cellStyle name="20% - Accent2 4 3 7 2 2 2" xfId="43665" xr:uid="{00000000-0005-0000-0000-0000AA130000}"/>
    <cellStyle name="20% - Accent2 4 3 7 2 3" xfId="32364" xr:uid="{00000000-0005-0000-0000-0000AB130000}"/>
    <cellStyle name="20% - Accent2 4 3 7 3" xfId="15413" xr:uid="{00000000-0005-0000-0000-0000AC130000}"/>
    <cellStyle name="20% - Accent2 4 3 7 3 2" xfId="38015" xr:uid="{00000000-0005-0000-0000-0000AD130000}"/>
    <cellStyle name="20% - Accent2 4 3 7 4" xfId="26714" xr:uid="{00000000-0005-0000-0000-0000AE130000}"/>
    <cellStyle name="20% - Accent2 4 3 8" xfId="6563" xr:uid="{00000000-0005-0000-0000-0000AF130000}"/>
    <cellStyle name="20% - Accent2 4 3 8 2" xfId="17864" xr:uid="{00000000-0005-0000-0000-0000B0130000}"/>
    <cellStyle name="20% - Accent2 4 3 8 2 2" xfId="40466" xr:uid="{00000000-0005-0000-0000-0000B1130000}"/>
    <cellStyle name="20% - Accent2 4 3 8 3" xfId="29165" xr:uid="{00000000-0005-0000-0000-0000B2130000}"/>
    <cellStyle name="20% - Accent2 4 3 9" xfId="12214" xr:uid="{00000000-0005-0000-0000-0000B3130000}"/>
    <cellStyle name="20% - Accent2 4 3 9 2" xfId="34816" xr:uid="{00000000-0005-0000-0000-0000B4130000}"/>
    <cellStyle name="20% - Accent2 4 4" xfId="567" xr:uid="{00000000-0005-0000-0000-0000B5130000}"/>
    <cellStyle name="20% - Accent2 4 4 2" xfId="1141" xr:uid="{00000000-0005-0000-0000-0000B6130000}"/>
    <cellStyle name="20% - Accent2 4 4 2 2" xfId="1608" xr:uid="{00000000-0005-0000-0000-0000B7130000}"/>
    <cellStyle name="20% - Accent2 4 4 2 2 2" xfId="3209" xr:uid="{00000000-0005-0000-0000-0000B8130000}"/>
    <cellStyle name="20% - Accent2 4 4 2 2 2 2" xfId="6181" xr:uid="{00000000-0005-0000-0000-0000B9130000}"/>
    <cellStyle name="20% - Accent2 4 4 2 2 2 2 2" xfId="11831" xr:uid="{00000000-0005-0000-0000-0000BA130000}"/>
    <cellStyle name="20% - Accent2 4 4 2 2 2 2 2 2" xfId="23132" xr:uid="{00000000-0005-0000-0000-0000BB130000}"/>
    <cellStyle name="20% - Accent2 4 4 2 2 2 2 2 2 2" xfId="45734" xr:uid="{00000000-0005-0000-0000-0000BC130000}"/>
    <cellStyle name="20% - Accent2 4 4 2 2 2 2 2 3" xfId="34433" xr:uid="{00000000-0005-0000-0000-0000BD130000}"/>
    <cellStyle name="20% - Accent2 4 4 2 2 2 2 3" xfId="17482" xr:uid="{00000000-0005-0000-0000-0000BE130000}"/>
    <cellStyle name="20% - Accent2 4 4 2 2 2 2 3 2" xfId="40084" xr:uid="{00000000-0005-0000-0000-0000BF130000}"/>
    <cellStyle name="20% - Accent2 4 4 2 2 2 2 4" xfId="28783" xr:uid="{00000000-0005-0000-0000-0000C0130000}"/>
    <cellStyle name="20% - Accent2 4 4 2 2 2 3" xfId="8999" xr:uid="{00000000-0005-0000-0000-0000C1130000}"/>
    <cellStyle name="20% - Accent2 4 4 2 2 2 3 2" xfId="20300" xr:uid="{00000000-0005-0000-0000-0000C2130000}"/>
    <cellStyle name="20% - Accent2 4 4 2 2 2 3 2 2" xfId="42902" xr:uid="{00000000-0005-0000-0000-0000C3130000}"/>
    <cellStyle name="20% - Accent2 4 4 2 2 2 3 3" xfId="31601" xr:uid="{00000000-0005-0000-0000-0000C4130000}"/>
    <cellStyle name="20% - Accent2 4 4 2 2 2 4" xfId="14650" xr:uid="{00000000-0005-0000-0000-0000C5130000}"/>
    <cellStyle name="20% - Accent2 4 4 2 2 2 4 2" xfId="37252" xr:uid="{00000000-0005-0000-0000-0000C6130000}"/>
    <cellStyle name="20% - Accent2 4 4 2 2 2 5" xfId="25951" xr:uid="{00000000-0005-0000-0000-0000C7130000}"/>
    <cellStyle name="20% - Accent2 4 4 2 2 3" xfId="4947" xr:uid="{00000000-0005-0000-0000-0000C8130000}"/>
    <cellStyle name="20% - Accent2 4 4 2 2 3 2" xfId="10597" xr:uid="{00000000-0005-0000-0000-0000C9130000}"/>
    <cellStyle name="20% - Accent2 4 4 2 2 3 2 2" xfId="21898" xr:uid="{00000000-0005-0000-0000-0000CA130000}"/>
    <cellStyle name="20% - Accent2 4 4 2 2 3 2 2 2" xfId="44500" xr:uid="{00000000-0005-0000-0000-0000CB130000}"/>
    <cellStyle name="20% - Accent2 4 4 2 2 3 2 3" xfId="33199" xr:uid="{00000000-0005-0000-0000-0000CC130000}"/>
    <cellStyle name="20% - Accent2 4 4 2 2 3 3" xfId="16248" xr:uid="{00000000-0005-0000-0000-0000CD130000}"/>
    <cellStyle name="20% - Accent2 4 4 2 2 3 3 2" xfId="38850" xr:uid="{00000000-0005-0000-0000-0000CE130000}"/>
    <cellStyle name="20% - Accent2 4 4 2 2 3 4" xfId="27549" xr:uid="{00000000-0005-0000-0000-0000CF130000}"/>
    <cellStyle name="20% - Accent2 4 4 2 2 4" xfId="7464" xr:uid="{00000000-0005-0000-0000-0000D0130000}"/>
    <cellStyle name="20% - Accent2 4 4 2 2 4 2" xfId="18765" xr:uid="{00000000-0005-0000-0000-0000D1130000}"/>
    <cellStyle name="20% - Accent2 4 4 2 2 4 2 2" xfId="41367" xr:uid="{00000000-0005-0000-0000-0000D2130000}"/>
    <cellStyle name="20% - Accent2 4 4 2 2 4 3" xfId="30066" xr:uid="{00000000-0005-0000-0000-0000D3130000}"/>
    <cellStyle name="20% - Accent2 4 4 2 2 5" xfId="13115" xr:uid="{00000000-0005-0000-0000-0000D4130000}"/>
    <cellStyle name="20% - Accent2 4 4 2 2 5 2" xfId="35717" xr:uid="{00000000-0005-0000-0000-0000D5130000}"/>
    <cellStyle name="20% - Accent2 4 4 2 2 6" xfId="24416" xr:uid="{00000000-0005-0000-0000-0000D6130000}"/>
    <cellStyle name="20% - Accent2 4 4 2 3" xfId="2538" xr:uid="{00000000-0005-0000-0000-0000D7130000}"/>
    <cellStyle name="20% - Accent2 4 4 2 3 2" xfId="5557" xr:uid="{00000000-0005-0000-0000-0000D8130000}"/>
    <cellStyle name="20% - Accent2 4 4 2 3 2 2" xfId="11207" xr:uid="{00000000-0005-0000-0000-0000D9130000}"/>
    <cellStyle name="20% - Accent2 4 4 2 3 2 2 2" xfId="22508" xr:uid="{00000000-0005-0000-0000-0000DA130000}"/>
    <cellStyle name="20% - Accent2 4 4 2 3 2 2 2 2" xfId="45110" xr:uid="{00000000-0005-0000-0000-0000DB130000}"/>
    <cellStyle name="20% - Accent2 4 4 2 3 2 2 3" xfId="33809" xr:uid="{00000000-0005-0000-0000-0000DC130000}"/>
    <cellStyle name="20% - Accent2 4 4 2 3 2 3" xfId="16858" xr:uid="{00000000-0005-0000-0000-0000DD130000}"/>
    <cellStyle name="20% - Accent2 4 4 2 3 2 3 2" xfId="39460" xr:uid="{00000000-0005-0000-0000-0000DE130000}"/>
    <cellStyle name="20% - Accent2 4 4 2 3 2 4" xfId="28159" xr:uid="{00000000-0005-0000-0000-0000DF130000}"/>
    <cellStyle name="20% - Accent2 4 4 2 3 3" xfId="8374" xr:uid="{00000000-0005-0000-0000-0000E0130000}"/>
    <cellStyle name="20% - Accent2 4 4 2 3 3 2" xfId="19675" xr:uid="{00000000-0005-0000-0000-0000E1130000}"/>
    <cellStyle name="20% - Accent2 4 4 2 3 3 2 2" xfId="42277" xr:uid="{00000000-0005-0000-0000-0000E2130000}"/>
    <cellStyle name="20% - Accent2 4 4 2 3 3 3" xfId="30976" xr:uid="{00000000-0005-0000-0000-0000E3130000}"/>
    <cellStyle name="20% - Accent2 4 4 2 3 4" xfId="14025" xr:uid="{00000000-0005-0000-0000-0000E4130000}"/>
    <cellStyle name="20% - Accent2 4 4 2 3 4 2" xfId="36627" xr:uid="{00000000-0005-0000-0000-0000E5130000}"/>
    <cellStyle name="20% - Accent2 4 4 2 3 5" xfId="25326" xr:uid="{00000000-0005-0000-0000-0000E6130000}"/>
    <cellStyle name="20% - Accent2 4 4 2 4" xfId="4323" xr:uid="{00000000-0005-0000-0000-0000E7130000}"/>
    <cellStyle name="20% - Accent2 4 4 2 4 2" xfId="9973" xr:uid="{00000000-0005-0000-0000-0000E8130000}"/>
    <cellStyle name="20% - Accent2 4 4 2 4 2 2" xfId="21274" xr:uid="{00000000-0005-0000-0000-0000E9130000}"/>
    <cellStyle name="20% - Accent2 4 4 2 4 2 2 2" xfId="43876" xr:uid="{00000000-0005-0000-0000-0000EA130000}"/>
    <cellStyle name="20% - Accent2 4 4 2 4 2 3" xfId="32575" xr:uid="{00000000-0005-0000-0000-0000EB130000}"/>
    <cellStyle name="20% - Accent2 4 4 2 4 3" xfId="15624" xr:uid="{00000000-0005-0000-0000-0000EC130000}"/>
    <cellStyle name="20% - Accent2 4 4 2 4 3 2" xfId="38226" xr:uid="{00000000-0005-0000-0000-0000ED130000}"/>
    <cellStyle name="20% - Accent2 4 4 2 4 4" xfId="26925" xr:uid="{00000000-0005-0000-0000-0000EE130000}"/>
    <cellStyle name="20% - Accent2 4 4 2 5" xfId="7120" xr:uid="{00000000-0005-0000-0000-0000EF130000}"/>
    <cellStyle name="20% - Accent2 4 4 2 5 2" xfId="18421" xr:uid="{00000000-0005-0000-0000-0000F0130000}"/>
    <cellStyle name="20% - Accent2 4 4 2 5 2 2" xfId="41023" xr:uid="{00000000-0005-0000-0000-0000F1130000}"/>
    <cellStyle name="20% - Accent2 4 4 2 5 3" xfId="29722" xr:uid="{00000000-0005-0000-0000-0000F2130000}"/>
    <cellStyle name="20% - Accent2 4 4 2 6" xfId="12771" xr:uid="{00000000-0005-0000-0000-0000F3130000}"/>
    <cellStyle name="20% - Accent2 4 4 2 6 2" xfId="35373" xr:uid="{00000000-0005-0000-0000-0000F4130000}"/>
    <cellStyle name="20% - Accent2 4 4 2 7" xfId="24072" xr:uid="{00000000-0005-0000-0000-0000F5130000}"/>
    <cellStyle name="20% - Accent2 4 4 3" xfId="815" xr:uid="{00000000-0005-0000-0000-0000F6130000}"/>
    <cellStyle name="20% - Accent2 4 4 3 2" xfId="2902" xr:uid="{00000000-0005-0000-0000-0000F7130000}"/>
    <cellStyle name="20% - Accent2 4 4 3 2 2" xfId="5874" xr:uid="{00000000-0005-0000-0000-0000F8130000}"/>
    <cellStyle name="20% - Accent2 4 4 3 2 2 2" xfId="11524" xr:uid="{00000000-0005-0000-0000-0000F9130000}"/>
    <cellStyle name="20% - Accent2 4 4 3 2 2 2 2" xfId="22825" xr:uid="{00000000-0005-0000-0000-0000FA130000}"/>
    <cellStyle name="20% - Accent2 4 4 3 2 2 2 2 2" xfId="45427" xr:uid="{00000000-0005-0000-0000-0000FB130000}"/>
    <cellStyle name="20% - Accent2 4 4 3 2 2 2 3" xfId="34126" xr:uid="{00000000-0005-0000-0000-0000FC130000}"/>
    <cellStyle name="20% - Accent2 4 4 3 2 2 3" xfId="17175" xr:uid="{00000000-0005-0000-0000-0000FD130000}"/>
    <cellStyle name="20% - Accent2 4 4 3 2 2 3 2" xfId="39777" xr:uid="{00000000-0005-0000-0000-0000FE130000}"/>
    <cellStyle name="20% - Accent2 4 4 3 2 2 4" xfId="28476" xr:uid="{00000000-0005-0000-0000-0000FF130000}"/>
    <cellStyle name="20% - Accent2 4 4 3 2 3" xfId="8692" xr:uid="{00000000-0005-0000-0000-000000140000}"/>
    <cellStyle name="20% - Accent2 4 4 3 2 3 2" xfId="19993" xr:uid="{00000000-0005-0000-0000-000001140000}"/>
    <cellStyle name="20% - Accent2 4 4 3 2 3 2 2" xfId="42595" xr:uid="{00000000-0005-0000-0000-000002140000}"/>
    <cellStyle name="20% - Accent2 4 4 3 2 3 3" xfId="31294" xr:uid="{00000000-0005-0000-0000-000003140000}"/>
    <cellStyle name="20% - Accent2 4 4 3 2 4" xfId="14343" xr:uid="{00000000-0005-0000-0000-000004140000}"/>
    <cellStyle name="20% - Accent2 4 4 3 2 4 2" xfId="36945" xr:uid="{00000000-0005-0000-0000-000005140000}"/>
    <cellStyle name="20% - Accent2 4 4 3 2 5" xfId="25644" xr:uid="{00000000-0005-0000-0000-000006140000}"/>
    <cellStyle name="20% - Accent2 4 4 3 3" xfId="4640" xr:uid="{00000000-0005-0000-0000-000007140000}"/>
    <cellStyle name="20% - Accent2 4 4 3 3 2" xfId="10290" xr:uid="{00000000-0005-0000-0000-000008140000}"/>
    <cellStyle name="20% - Accent2 4 4 3 3 2 2" xfId="21591" xr:uid="{00000000-0005-0000-0000-000009140000}"/>
    <cellStyle name="20% - Accent2 4 4 3 3 2 2 2" xfId="44193" xr:uid="{00000000-0005-0000-0000-00000A140000}"/>
    <cellStyle name="20% - Accent2 4 4 3 3 2 3" xfId="32892" xr:uid="{00000000-0005-0000-0000-00000B140000}"/>
    <cellStyle name="20% - Accent2 4 4 3 3 3" xfId="15941" xr:uid="{00000000-0005-0000-0000-00000C140000}"/>
    <cellStyle name="20% - Accent2 4 4 3 3 3 2" xfId="38543" xr:uid="{00000000-0005-0000-0000-00000D140000}"/>
    <cellStyle name="20% - Accent2 4 4 3 3 4" xfId="27242" xr:uid="{00000000-0005-0000-0000-00000E140000}"/>
    <cellStyle name="20% - Accent2 4 4 3 4" xfId="6823" xr:uid="{00000000-0005-0000-0000-00000F140000}"/>
    <cellStyle name="20% - Accent2 4 4 3 4 2" xfId="18124" xr:uid="{00000000-0005-0000-0000-000010140000}"/>
    <cellStyle name="20% - Accent2 4 4 3 4 2 2" xfId="40726" xr:uid="{00000000-0005-0000-0000-000011140000}"/>
    <cellStyle name="20% - Accent2 4 4 3 4 3" xfId="29425" xr:uid="{00000000-0005-0000-0000-000012140000}"/>
    <cellStyle name="20% - Accent2 4 4 3 5" xfId="12474" xr:uid="{00000000-0005-0000-0000-000013140000}"/>
    <cellStyle name="20% - Accent2 4 4 3 5 2" xfId="35076" xr:uid="{00000000-0005-0000-0000-000014140000}"/>
    <cellStyle name="20% - Accent2 4 4 3 6" xfId="23775" xr:uid="{00000000-0005-0000-0000-000015140000}"/>
    <cellStyle name="20% - Accent2 4 4 4" xfId="1607" xr:uid="{00000000-0005-0000-0000-000016140000}"/>
    <cellStyle name="20% - Accent2 4 4 4 2" xfId="3543" xr:uid="{00000000-0005-0000-0000-000017140000}"/>
    <cellStyle name="20% - Accent2 4 4 4 2 2" xfId="9289" xr:uid="{00000000-0005-0000-0000-000018140000}"/>
    <cellStyle name="20% - Accent2 4 4 4 2 2 2" xfId="20590" xr:uid="{00000000-0005-0000-0000-000019140000}"/>
    <cellStyle name="20% - Accent2 4 4 4 2 2 2 2" xfId="43192" xr:uid="{00000000-0005-0000-0000-00001A140000}"/>
    <cellStyle name="20% - Accent2 4 4 4 2 2 3" xfId="31891" xr:uid="{00000000-0005-0000-0000-00001B140000}"/>
    <cellStyle name="20% - Accent2 4 4 4 2 3" xfId="14940" xr:uid="{00000000-0005-0000-0000-00001C140000}"/>
    <cellStyle name="20% - Accent2 4 4 4 2 3 2" xfId="37542" xr:uid="{00000000-0005-0000-0000-00001D140000}"/>
    <cellStyle name="20% - Accent2 4 4 4 2 4" xfId="26241" xr:uid="{00000000-0005-0000-0000-00001E140000}"/>
    <cellStyle name="20% - Accent2 4 4 4 3" xfId="5250" xr:uid="{00000000-0005-0000-0000-00001F140000}"/>
    <cellStyle name="20% - Accent2 4 4 4 3 2" xfId="10900" xr:uid="{00000000-0005-0000-0000-000020140000}"/>
    <cellStyle name="20% - Accent2 4 4 4 3 2 2" xfId="22201" xr:uid="{00000000-0005-0000-0000-000021140000}"/>
    <cellStyle name="20% - Accent2 4 4 4 3 2 2 2" xfId="44803" xr:uid="{00000000-0005-0000-0000-000022140000}"/>
    <cellStyle name="20% - Accent2 4 4 4 3 2 3" xfId="33502" xr:uid="{00000000-0005-0000-0000-000023140000}"/>
    <cellStyle name="20% - Accent2 4 4 4 3 3" xfId="16551" xr:uid="{00000000-0005-0000-0000-000024140000}"/>
    <cellStyle name="20% - Accent2 4 4 4 3 3 2" xfId="39153" xr:uid="{00000000-0005-0000-0000-000025140000}"/>
    <cellStyle name="20% - Accent2 4 4 4 3 4" xfId="27852" xr:uid="{00000000-0005-0000-0000-000026140000}"/>
    <cellStyle name="20% - Accent2 4 4 4 4" xfId="7463" xr:uid="{00000000-0005-0000-0000-000027140000}"/>
    <cellStyle name="20% - Accent2 4 4 4 4 2" xfId="18764" xr:uid="{00000000-0005-0000-0000-000028140000}"/>
    <cellStyle name="20% - Accent2 4 4 4 4 2 2" xfId="41366" xr:uid="{00000000-0005-0000-0000-000029140000}"/>
    <cellStyle name="20% - Accent2 4 4 4 4 3" xfId="30065" xr:uid="{00000000-0005-0000-0000-00002A140000}"/>
    <cellStyle name="20% - Accent2 4 4 4 5" xfId="13114" xr:uid="{00000000-0005-0000-0000-00002B140000}"/>
    <cellStyle name="20% - Accent2 4 4 4 5 2" xfId="35716" xr:uid="{00000000-0005-0000-0000-00002C140000}"/>
    <cellStyle name="20% - Accent2 4 4 4 6" xfId="24415" xr:uid="{00000000-0005-0000-0000-00002D140000}"/>
    <cellStyle name="20% - Accent2 4 4 5" xfId="2222" xr:uid="{00000000-0005-0000-0000-00002E140000}"/>
    <cellStyle name="20% - Accent2 4 4 5 2" xfId="8064" xr:uid="{00000000-0005-0000-0000-00002F140000}"/>
    <cellStyle name="20% - Accent2 4 4 5 2 2" xfId="19365" xr:uid="{00000000-0005-0000-0000-000030140000}"/>
    <cellStyle name="20% - Accent2 4 4 5 2 2 2" xfId="41967" xr:uid="{00000000-0005-0000-0000-000031140000}"/>
    <cellStyle name="20% - Accent2 4 4 5 2 3" xfId="30666" xr:uid="{00000000-0005-0000-0000-000032140000}"/>
    <cellStyle name="20% - Accent2 4 4 5 3" xfId="13715" xr:uid="{00000000-0005-0000-0000-000033140000}"/>
    <cellStyle name="20% - Accent2 4 4 5 3 2" xfId="36317" xr:uid="{00000000-0005-0000-0000-000034140000}"/>
    <cellStyle name="20% - Accent2 4 4 5 4" xfId="25016" xr:uid="{00000000-0005-0000-0000-000035140000}"/>
    <cellStyle name="20% - Accent2 4 4 6" xfId="4016" xr:uid="{00000000-0005-0000-0000-000036140000}"/>
    <cellStyle name="20% - Accent2 4 4 6 2" xfId="9666" xr:uid="{00000000-0005-0000-0000-000037140000}"/>
    <cellStyle name="20% - Accent2 4 4 6 2 2" xfId="20967" xr:uid="{00000000-0005-0000-0000-000038140000}"/>
    <cellStyle name="20% - Accent2 4 4 6 2 2 2" xfId="43569" xr:uid="{00000000-0005-0000-0000-000039140000}"/>
    <cellStyle name="20% - Accent2 4 4 6 2 3" xfId="32268" xr:uid="{00000000-0005-0000-0000-00003A140000}"/>
    <cellStyle name="20% - Accent2 4 4 6 3" xfId="15317" xr:uid="{00000000-0005-0000-0000-00003B140000}"/>
    <cellStyle name="20% - Accent2 4 4 6 3 2" xfId="37919" xr:uid="{00000000-0005-0000-0000-00003C140000}"/>
    <cellStyle name="20% - Accent2 4 4 6 4" xfId="26618" xr:uid="{00000000-0005-0000-0000-00003D140000}"/>
    <cellStyle name="20% - Accent2 4 4 7" xfId="6634" xr:uid="{00000000-0005-0000-0000-00003E140000}"/>
    <cellStyle name="20% - Accent2 4 4 7 2" xfId="17935" xr:uid="{00000000-0005-0000-0000-00003F140000}"/>
    <cellStyle name="20% - Accent2 4 4 7 2 2" xfId="40537" xr:uid="{00000000-0005-0000-0000-000040140000}"/>
    <cellStyle name="20% - Accent2 4 4 7 3" xfId="29236" xr:uid="{00000000-0005-0000-0000-000041140000}"/>
    <cellStyle name="20% - Accent2 4 4 8" xfId="12285" xr:uid="{00000000-0005-0000-0000-000042140000}"/>
    <cellStyle name="20% - Accent2 4 4 8 2" xfId="34887" xr:uid="{00000000-0005-0000-0000-000043140000}"/>
    <cellStyle name="20% - Accent2 4 4 9" xfId="23586" xr:uid="{00000000-0005-0000-0000-000044140000}"/>
    <cellStyle name="20% - Accent2 4 5" xfId="511" xr:uid="{00000000-0005-0000-0000-000045140000}"/>
    <cellStyle name="20% - Accent2 4 5 2" xfId="1280" xr:uid="{00000000-0005-0000-0000-000046140000}"/>
    <cellStyle name="20% - Accent2 4 5 2 2" xfId="1610" xr:uid="{00000000-0005-0000-0000-000047140000}"/>
    <cellStyle name="20% - Accent2 4 5 2 2 2" xfId="3349" xr:uid="{00000000-0005-0000-0000-000048140000}"/>
    <cellStyle name="20% - Accent2 4 5 2 2 2 2" xfId="6321" xr:uid="{00000000-0005-0000-0000-000049140000}"/>
    <cellStyle name="20% - Accent2 4 5 2 2 2 2 2" xfId="11971" xr:uid="{00000000-0005-0000-0000-00004A140000}"/>
    <cellStyle name="20% - Accent2 4 5 2 2 2 2 2 2" xfId="23272" xr:uid="{00000000-0005-0000-0000-00004B140000}"/>
    <cellStyle name="20% - Accent2 4 5 2 2 2 2 2 2 2" xfId="45874" xr:uid="{00000000-0005-0000-0000-00004C140000}"/>
    <cellStyle name="20% - Accent2 4 5 2 2 2 2 2 3" xfId="34573" xr:uid="{00000000-0005-0000-0000-00004D140000}"/>
    <cellStyle name="20% - Accent2 4 5 2 2 2 2 3" xfId="17622" xr:uid="{00000000-0005-0000-0000-00004E140000}"/>
    <cellStyle name="20% - Accent2 4 5 2 2 2 2 3 2" xfId="40224" xr:uid="{00000000-0005-0000-0000-00004F140000}"/>
    <cellStyle name="20% - Accent2 4 5 2 2 2 2 4" xfId="28923" xr:uid="{00000000-0005-0000-0000-000050140000}"/>
    <cellStyle name="20% - Accent2 4 5 2 2 2 3" xfId="9139" xr:uid="{00000000-0005-0000-0000-000051140000}"/>
    <cellStyle name="20% - Accent2 4 5 2 2 2 3 2" xfId="20440" xr:uid="{00000000-0005-0000-0000-000052140000}"/>
    <cellStyle name="20% - Accent2 4 5 2 2 2 3 2 2" xfId="43042" xr:uid="{00000000-0005-0000-0000-000053140000}"/>
    <cellStyle name="20% - Accent2 4 5 2 2 2 3 3" xfId="31741" xr:uid="{00000000-0005-0000-0000-000054140000}"/>
    <cellStyle name="20% - Accent2 4 5 2 2 2 4" xfId="14790" xr:uid="{00000000-0005-0000-0000-000055140000}"/>
    <cellStyle name="20% - Accent2 4 5 2 2 2 4 2" xfId="37392" xr:uid="{00000000-0005-0000-0000-000056140000}"/>
    <cellStyle name="20% - Accent2 4 5 2 2 2 5" xfId="26091" xr:uid="{00000000-0005-0000-0000-000057140000}"/>
    <cellStyle name="20% - Accent2 4 5 2 2 3" xfId="5087" xr:uid="{00000000-0005-0000-0000-000058140000}"/>
    <cellStyle name="20% - Accent2 4 5 2 2 3 2" xfId="10737" xr:uid="{00000000-0005-0000-0000-000059140000}"/>
    <cellStyle name="20% - Accent2 4 5 2 2 3 2 2" xfId="22038" xr:uid="{00000000-0005-0000-0000-00005A140000}"/>
    <cellStyle name="20% - Accent2 4 5 2 2 3 2 2 2" xfId="44640" xr:uid="{00000000-0005-0000-0000-00005B140000}"/>
    <cellStyle name="20% - Accent2 4 5 2 2 3 2 3" xfId="33339" xr:uid="{00000000-0005-0000-0000-00005C140000}"/>
    <cellStyle name="20% - Accent2 4 5 2 2 3 3" xfId="16388" xr:uid="{00000000-0005-0000-0000-00005D140000}"/>
    <cellStyle name="20% - Accent2 4 5 2 2 3 3 2" xfId="38990" xr:uid="{00000000-0005-0000-0000-00005E140000}"/>
    <cellStyle name="20% - Accent2 4 5 2 2 3 4" xfId="27689" xr:uid="{00000000-0005-0000-0000-00005F140000}"/>
    <cellStyle name="20% - Accent2 4 5 2 2 4" xfId="7466" xr:uid="{00000000-0005-0000-0000-000060140000}"/>
    <cellStyle name="20% - Accent2 4 5 2 2 4 2" xfId="18767" xr:uid="{00000000-0005-0000-0000-000061140000}"/>
    <cellStyle name="20% - Accent2 4 5 2 2 4 2 2" xfId="41369" xr:uid="{00000000-0005-0000-0000-000062140000}"/>
    <cellStyle name="20% - Accent2 4 5 2 2 4 3" xfId="30068" xr:uid="{00000000-0005-0000-0000-000063140000}"/>
    <cellStyle name="20% - Accent2 4 5 2 2 5" xfId="13117" xr:uid="{00000000-0005-0000-0000-000064140000}"/>
    <cellStyle name="20% - Accent2 4 5 2 2 5 2" xfId="35719" xr:uid="{00000000-0005-0000-0000-000065140000}"/>
    <cellStyle name="20% - Accent2 4 5 2 2 6" xfId="24418" xr:uid="{00000000-0005-0000-0000-000066140000}"/>
    <cellStyle name="20% - Accent2 4 5 2 3" xfId="2678" xr:uid="{00000000-0005-0000-0000-000067140000}"/>
    <cellStyle name="20% - Accent2 4 5 2 3 2" xfId="5697" xr:uid="{00000000-0005-0000-0000-000068140000}"/>
    <cellStyle name="20% - Accent2 4 5 2 3 2 2" xfId="11347" xr:uid="{00000000-0005-0000-0000-000069140000}"/>
    <cellStyle name="20% - Accent2 4 5 2 3 2 2 2" xfId="22648" xr:uid="{00000000-0005-0000-0000-00006A140000}"/>
    <cellStyle name="20% - Accent2 4 5 2 3 2 2 2 2" xfId="45250" xr:uid="{00000000-0005-0000-0000-00006B140000}"/>
    <cellStyle name="20% - Accent2 4 5 2 3 2 2 3" xfId="33949" xr:uid="{00000000-0005-0000-0000-00006C140000}"/>
    <cellStyle name="20% - Accent2 4 5 2 3 2 3" xfId="16998" xr:uid="{00000000-0005-0000-0000-00006D140000}"/>
    <cellStyle name="20% - Accent2 4 5 2 3 2 3 2" xfId="39600" xr:uid="{00000000-0005-0000-0000-00006E140000}"/>
    <cellStyle name="20% - Accent2 4 5 2 3 2 4" xfId="28299" xr:uid="{00000000-0005-0000-0000-00006F140000}"/>
    <cellStyle name="20% - Accent2 4 5 2 3 3" xfId="8514" xr:uid="{00000000-0005-0000-0000-000070140000}"/>
    <cellStyle name="20% - Accent2 4 5 2 3 3 2" xfId="19815" xr:uid="{00000000-0005-0000-0000-000071140000}"/>
    <cellStyle name="20% - Accent2 4 5 2 3 3 2 2" xfId="42417" xr:uid="{00000000-0005-0000-0000-000072140000}"/>
    <cellStyle name="20% - Accent2 4 5 2 3 3 3" xfId="31116" xr:uid="{00000000-0005-0000-0000-000073140000}"/>
    <cellStyle name="20% - Accent2 4 5 2 3 4" xfId="14165" xr:uid="{00000000-0005-0000-0000-000074140000}"/>
    <cellStyle name="20% - Accent2 4 5 2 3 4 2" xfId="36767" xr:uid="{00000000-0005-0000-0000-000075140000}"/>
    <cellStyle name="20% - Accent2 4 5 2 3 5" xfId="25466" xr:uid="{00000000-0005-0000-0000-000076140000}"/>
    <cellStyle name="20% - Accent2 4 5 2 4" xfId="4463" xr:uid="{00000000-0005-0000-0000-000077140000}"/>
    <cellStyle name="20% - Accent2 4 5 2 4 2" xfId="10113" xr:uid="{00000000-0005-0000-0000-000078140000}"/>
    <cellStyle name="20% - Accent2 4 5 2 4 2 2" xfId="21414" xr:uid="{00000000-0005-0000-0000-000079140000}"/>
    <cellStyle name="20% - Accent2 4 5 2 4 2 2 2" xfId="44016" xr:uid="{00000000-0005-0000-0000-00007A140000}"/>
    <cellStyle name="20% - Accent2 4 5 2 4 2 3" xfId="32715" xr:uid="{00000000-0005-0000-0000-00007B140000}"/>
    <cellStyle name="20% - Accent2 4 5 2 4 3" xfId="15764" xr:uid="{00000000-0005-0000-0000-00007C140000}"/>
    <cellStyle name="20% - Accent2 4 5 2 4 3 2" xfId="38366" xr:uid="{00000000-0005-0000-0000-00007D140000}"/>
    <cellStyle name="20% - Accent2 4 5 2 4 4" xfId="27065" xr:uid="{00000000-0005-0000-0000-00007E140000}"/>
    <cellStyle name="20% - Accent2 4 5 2 5" xfId="7259" xr:uid="{00000000-0005-0000-0000-00007F140000}"/>
    <cellStyle name="20% - Accent2 4 5 2 5 2" xfId="18560" xr:uid="{00000000-0005-0000-0000-000080140000}"/>
    <cellStyle name="20% - Accent2 4 5 2 5 2 2" xfId="41162" xr:uid="{00000000-0005-0000-0000-000081140000}"/>
    <cellStyle name="20% - Accent2 4 5 2 5 3" xfId="29861" xr:uid="{00000000-0005-0000-0000-000082140000}"/>
    <cellStyle name="20% - Accent2 4 5 2 6" xfId="12910" xr:uid="{00000000-0005-0000-0000-000083140000}"/>
    <cellStyle name="20% - Accent2 4 5 2 6 2" xfId="35512" xr:uid="{00000000-0005-0000-0000-000084140000}"/>
    <cellStyle name="20% - Accent2 4 5 2 7" xfId="24211" xr:uid="{00000000-0005-0000-0000-000085140000}"/>
    <cellStyle name="20% - Accent2 4 5 3" xfId="978" xr:uid="{00000000-0005-0000-0000-000086140000}"/>
    <cellStyle name="20% - Accent2 4 5 3 2" xfId="3041" xr:uid="{00000000-0005-0000-0000-000087140000}"/>
    <cellStyle name="20% - Accent2 4 5 3 2 2" xfId="6013" xr:uid="{00000000-0005-0000-0000-000088140000}"/>
    <cellStyle name="20% - Accent2 4 5 3 2 2 2" xfId="11663" xr:uid="{00000000-0005-0000-0000-000089140000}"/>
    <cellStyle name="20% - Accent2 4 5 3 2 2 2 2" xfId="22964" xr:uid="{00000000-0005-0000-0000-00008A140000}"/>
    <cellStyle name="20% - Accent2 4 5 3 2 2 2 2 2" xfId="45566" xr:uid="{00000000-0005-0000-0000-00008B140000}"/>
    <cellStyle name="20% - Accent2 4 5 3 2 2 2 3" xfId="34265" xr:uid="{00000000-0005-0000-0000-00008C140000}"/>
    <cellStyle name="20% - Accent2 4 5 3 2 2 3" xfId="17314" xr:uid="{00000000-0005-0000-0000-00008D140000}"/>
    <cellStyle name="20% - Accent2 4 5 3 2 2 3 2" xfId="39916" xr:uid="{00000000-0005-0000-0000-00008E140000}"/>
    <cellStyle name="20% - Accent2 4 5 3 2 2 4" xfId="28615" xr:uid="{00000000-0005-0000-0000-00008F140000}"/>
    <cellStyle name="20% - Accent2 4 5 3 2 3" xfId="8831" xr:uid="{00000000-0005-0000-0000-000090140000}"/>
    <cellStyle name="20% - Accent2 4 5 3 2 3 2" xfId="20132" xr:uid="{00000000-0005-0000-0000-000091140000}"/>
    <cellStyle name="20% - Accent2 4 5 3 2 3 2 2" xfId="42734" xr:uid="{00000000-0005-0000-0000-000092140000}"/>
    <cellStyle name="20% - Accent2 4 5 3 2 3 3" xfId="31433" xr:uid="{00000000-0005-0000-0000-000093140000}"/>
    <cellStyle name="20% - Accent2 4 5 3 2 4" xfId="14482" xr:uid="{00000000-0005-0000-0000-000094140000}"/>
    <cellStyle name="20% - Accent2 4 5 3 2 4 2" xfId="37084" xr:uid="{00000000-0005-0000-0000-000095140000}"/>
    <cellStyle name="20% - Accent2 4 5 3 2 5" xfId="25783" xr:uid="{00000000-0005-0000-0000-000096140000}"/>
    <cellStyle name="20% - Accent2 4 5 3 3" xfId="4779" xr:uid="{00000000-0005-0000-0000-000097140000}"/>
    <cellStyle name="20% - Accent2 4 5 3 3 2" xfId="10429" xr:uid="{00000000-0005-0000-0000-000098140000}"/>
    <cellStyle name="20% - Accent2 4 5 3 3 2 2" xfId="21730" xr:uid="{00000000-0005-0000-0000-000099140000}"/>
    <cellStyle name="20% - Accent2 4 5 3 3 2 2 2" xfId="44332" xr:uid="{00000000-0005-0000-0000-00009A140000}"/>
    <cellStyle name="20% - Accent2 4 5 3 3 2 3" xfId="33031" xr:uid="{00000000-0005-0000-0000-00009B140000}"/>
    <cellStyle name="20% - Accent2 4 5 3 3 3" xfId="16080" xr:uid="{00000000-0005-0000-0000-00009C140000}"/>
    <cellStyle name="20% - Accent2 4 5 3 3 3 2" xfId="38682" xr:uid="{00000000-0005-0000-0000-00009D140000}"/>
    <cellStyle name="20% - Accent2 4 5 3 3 4" xfId="27381" xr:uid="{00000000-0005-0000-0000-00009E140000}"/>
    <cellStyle name="20% - Accent2 4 5 3 4" xfId="6966" xr:uid="{00000000-0005-0000-0000-00009F140000}"/>
    <cellStyle name="20% - Accent2 4 5 3 4 2" xfId="18267" xr:uid="{00000000-0005-0000-0000-0000A0140000}"/>
    <cellStyle name="20% - Accent2 4 5 3 4 2 2" xfId="40869" xr:uid="{00000000-0005-0000-0000-0000A1140000}"/>
    <cellStyle name="20% - Accent2 4 5 3 4 3" xfId="29568" xr:uid="{00000000-0005-0000-0000-0000A2140000}"/>
    <cellStyle name="20% - Accent2 4 5 3 5" xfId="12617" xr:uid="{00000000-0005-0000-0000-0000A3140000}"/>
    <cellStyle name="20% - Accent2 4 5 3 5 2" xfId="35219" xr:uid="{00000000-0005-0000-0000-0000A4140000}"/>
    <cellStyle name="20% - Accent2 4 5 3 6" xfId="23918" xr:uid="{00000000-0005-0000-0000-0000A5140000}"/>
    <cellStyle name="20% - Accent2 4 5 4" xfId="1609" xr:uid="{00000000-0005-0000-0000-0000A6140000}"/>
    <cellStyle name="20% - Accent2 4 5 4 2" xfId="3513" xr:uid="{00000000-0005-0000-0000-0000A7140000}"/>
    <cellStyle name="20% - Accent2 4 5 4 2 2" xfId="9277" xr:uid="{00000000-0005-0000-0000-0000A8140000}"/>
    <cellStyle name="20% - Accent2 4 5 4 2 2 2" xfId="20578" xr:uid="{00000000-0005-0000-0000-0000A9140000}"/>
    <cellStyle name="20% - Accent2 4 5 4 2 2 2 2" xfId="43180" xr:uid="{00000000-0005-0000-0000-0000AA140000}"/>
    <cellStyle name="20% - Accent2 4 5 4 2 2 3" xfId="31879" xr:uid="{00000000-0005-0000-0000-0000AB140000}"/>
    <cellStyle name="20% - Accent2 4 5 4 2 3" xfId="14928" xr:uid="{00000000-0005-0000-0000-0000AC140000}"/>
    <cellStyle name="20% - Accent2 4 5 4 2 3 2" xfId="37530" xr:uid="{00000000-0005-0000-0000-0000AD140000}"/>
    <cellStyle name="20% - Accent2 4 5 4 2 4" xfId="26229" xr:uid="{00000000-0005-0000-0000-0000AE140000}"/>
    <cellStyle name="20% - Accent2 4 5 4 3" xfId="5389" xr:uid="{00000000-0005-0000-0000-0000AF140000}"/>
    <cellStyle name="20% - Accent2 4 5 4 3 2" xfId="11039" xr:uid="{00000000-0005-0000-0000-0000B0140000}"/>
    <cellStyle name="20% - Accent2 4 5 4 3 2 2" xfId="22340" xr:uid="{00000000-0005-0000-0000-0000B1140000}"/>
    <cellStyle name="20% - Accent2 4 5 4 3 2 2 2" xfId="44942" xr:uid="{00000000-0005-0000-0000-0000B2140000}"/>
    <cellStyle name="20% - Accent2 4 5 4 3 2 3" xfId="33641" xr:uid="{00000000-0005-0000-0000-0000B3140000}"/>
    <cellStyle name="20% - Accent2 4 5 4 3 3" xfId="16690" xr:uid="{00000000-0005-0000-0000-0000B4140000}"/>
    <cellStyle name="20% - Accent2 4 5 4 3 3 2" xfId="39292" xr:uid="{00000000-0005-0000-0000-0000B5140000}"/>
    <cellStyle name="20% - Accent2 4 5 4 3 4" xfId="27991" xr:uid="{00000000-0005-0000-0000-0000B6140000}"/>
    <cellStyle name="20% - Accent2 4 5 4 4" xfId="7465" xr:uid="{00000000-0005-0000-0000-0000B7140000}"/>
    <cellStyle name="20% - Accent2 4 5 4 4 2" xfId="18766" xr:uid="{00000000-0005-0000-0000-0000B8140000}"/>
    <cellStyle name="20% - Accent2 4 5 4 4 2 2" xfId="41368" xr:uid="{00000000-0005-0000-0000-0000B9140000}"/>
    <cellStyle name="20% - Accent2 4 5 4 4 3" xfId="30067" xr:uid="{00000000-0005-0000-0000-0000BA140000}"/>
    <cellStyle name="20% - Accent2 4 5 4 5" xfId="13116" xr:uid="{00000000-0005-0000-0000-0000BB140000}"/>
    <cellStyle name="20% - Accent2 4 5 4 5 2" xfId="35718" xr:uid="{00000000-0005-0000-0000-0000BC140000}"/>
    <cellStyle name="20% - Accent2 4 5 4 6" xfId="24417" xr:uid="{00000000-0005-0000-0000-0000BD140000}"/>
    <cellStyle name="20% - Accent2 4 5 5" xfId="2370" xr:uid="{00000000-0005-0000-0000-0000BE140000}"/>
    <cellStyle name="20% - Accent2 4 5 5 2" xfId="8206" xr:uid="{00000000-0005-0000-0000-0000BF140000}"/>
    <cellStyle name="20% - Accent2 4 5 5 2 2" xfId="19507" xr:uid="{00000000-0005-0000-0000-0000C0140000}"/>
    <cellStyle name="20% - Accent2 4 5 5 2 2 2" xfId="42109" xr:uid="{00000000-0005-0000-0000-0000C1140000}"/>
    <cellStyle name="20% - Accent2 4 5 5 2 3" xfId="30808" xr:uid="{00000000-0005-0000-0000-0000C2140000}"/>
    <cellStyle name="20% - Accent2 4 5 5 3" xfId="13857" xr:uid="{00000000-0005-0000-0000-0000C3140000}"/>
    <cellStyle name="20% - Accent2 4 5 5 3 2" xfId="36459" xr:uid="{00000000-0005-0000-0000-0000C4140000}"/>
    <cellStyle name="20% - Accent2 4 5 5 4" xfId="25158" xr:uid="{00000000-0005-0000-0000-0000C5140000}"/>
    <cellStyle name="20% - Accent2 4 5 6" xfId="4155" xr:uid="{00000000-0005-0000-0000-0000C6140000}"/>
    <cellStyle name="20% - Accent2 4 5 6 2" xfId="9805" xr:uid="{00000000-0005-0000-0000-0000C7140000}"/>
    <cellStyle name="20% - Accent2 4 5 6 2 2" xfId="21106" xr:uid="{00000000-0005-0000-0000-0000C8140000}"/>
    <cellStyle name="20% - Accent2 4 5 6 2 2 2" xfId="43708" xr:uid="{00000000-0005-0000-0000-0000C9140000}"/>
    <cellStyle name="20% - Accent2 4 5 6 2 3" xfId="32407" xr:uid="{00000000-0005-0000-0000-0000CA140000}"/>
    <cellStyle name="20% - Accent2 4 5 6 3" xfId="15456" xr:uid="{00000000-0005-0000-0000-0000CB140000}"/>
    <cellStyle name="20% - Accent2 4 5 6 3 2" xfId="38058" xr:uid="{00000000-0005-0000-0000-0000CC140000}"/>
    <cellStyle name="20% - Accent2 4 5 6 4" xfId="26757" xr:uid="{00000000-0005-0000-0000-0000CD140000}"/>
    <cellStyle name="20% - Accent2 4 5 7" xfId="6606" xr:uid="{00000000-0005-0000-0000-0000CE140000}"/>
    <cellStyle name="20% - Accent2 4 5 7 2" xfId="17907" xr:uid="{00000000-0005-0000-0000-0000CF140000}"/>
    <cellStyle name="20% - Accent2 4 5 7 2 2" xfId="40509" xr:uid="{00000000-0005-0000-0000-0000D0140000}"/>
    <cellStyle name="20% - Accent2 4 5 7 3" xfId="29208" xr:uid="{00000000-0005-0000-0000-0000D1140000}"/>
    <cellStyle name="20% - Accent2 4 5 8" xfId="12257" xr:uid="{00000000-0005-0000-0000-0000D2140000}"/>
    <cellStyle name="20% - Accent2 4 5 8 2" xfId="34859" xr:uid="{00000000-0005-0000-0000-0000D3140000}"/>
    <cellStyle name="20% - Accent2 4 5 9" xfId="23558" xr:uid="{00000000-0005-0000-0000-0000D4140000}"/>
    <cellStyle name="20% - Accent2 4 6" xfId="1113" xr:uid="{00000000-0005-0000-0000-0000D5140000}"/>
    <cellStyle name="20% - Accent2 4 6 2" xfId="1611" xr:uid="{00000000-0005-0000-0000-0000D6140000}"/>
    <cellStyle name="20% - Accent2 4 6 2 2" xfId="3180" xr:uid="{00000000-0005-0000-0000-0000D7140000}"/>
    <cellStyle name="20% - Accent2 4 6 2 2 2" xfId="6152" xr:uid="{00000000-0005-0000-0000-0000D8140000}"/>
    <cellStyle name="20% - Accent2 4 6 2 2 2 2" xfId="11802" xr:uid="{00000000-0005-0000-0000-0000D9140000}"/>
    <cellStyle name="20% - Accent2 4 6 2 2 2 2 2" xfId="23103" xr:uid="{00000000-0005-0000-0000-0000DA140000}"/>
    <cellStyle name="20% - Accent2 4 6 2 2 2 2 2 2" xfId="45705" xr:uid="{00000000-0005-0000-0000-0000DB140000}"/>
    <cellStyle name="20% - Accent2 4 6 2 2 2 2 3" xfId="34404" xr:uid="{00000000-0005-0000-0000-0000DC140000}"/>
    <cellStyle name="20% - Accent2 4 6 2 2 2 3" xfId="17453" xr:uid="{00000000-0005-0000-0000-0000DD140000}"/>
    <cellStyle name="20% - Accent2 4 6 2 2 2 3 2" xfId="40055" xr:uid="{00000000-0005-0000-0000-0000DE140000}"/>
    <cellStyle name="20% - Accent2 4 6 2 2 2 4" xfId="28754" xr:uid="{00000000-0005-0000-0000-0000DF140000}"/>
    <cellStyle name="20% - Accent2 4 6 2 2 3" xfId="8970" xr:uid="{00000000-0005-0000-0000-0000E0140000}"/>
    <cellStyle name="20% - Accent2 4 6 2 2 3 2" xfId="20271" xr:uid="{00000000-0005-0000-0000-0000E1140000}"/>
    <cellStyle name="20% - Accent2 4 6 2 2 3 2 2" xfId="42873" xr:uid="{00000000-0005-0000-0000-0000E2140000}"/>
    <cellStyle name="20% - Accent2 4 6 2 2 3 3" xfId="31572" xr:uid="{00000000-0005-0000-0000-0000E3140000}"/>
    <cellStyle name="20% - Accent2 4 6 2 2 4" xfId="14621" xr:uid="{00000000-0005-0000-0000-0000E4140000}"/>
    <cellStyle name="20% - Accent2 4 6 2 2 4 2" xfId="37223" xr:uid="{00000000-0005-0000-0000-0000E5140000}"/>
    <cellStyle name="20% - Accent2 4 6 2 2 5" xfId="25922" xr:uid="{00000000-0005-0000-0000-0000E6140000}"/>
    <cellStyle name="20% - Accent2 4 6 2 3" xfId="4918" xr:uid="{00000000-0005-0000-0000-0000E7140000}"/>
    <cellStyle name="20% - Accent2 4 6 2 3 2" xfId="10568" xr:uid="{00000000-0005-0000-0000-0000E8140000}"/>
    <cellStyle name="20% - Accent2 4 6 2 3 2 2" xfId="21869" xr:uid="{00000000-0005-0000-0000-0000E9140000}"/>
    <cellStyle name="20% - Accent2 4 6 2 3 2 2 2" xfId="44471" xr:uid="{00000000-0005-0000-0000-0000EA140000}"/>
    <cellStyle name="20% - Accent2 4 6 2 3 2 3" xfId="33170" xr:uid="{00000000-0005-0000-0000-0000EB140000}"/>
    <cellStyle name="20% - Accent2 4 6 2 3 3" xfId="16219" xr:uid="{00000000-0005-0000-0000-0000EC140000}"/>
    <cellStyle name="20% - Accent2 4 6 2 3 3 2" xfId="38821" xr:uid="{00000000-0005-0000-0000-0000ED140000}"/>
    <cellStyle name="20% - Accent2 4 6 2 3 4" xfId="27520" xr:uid="{00000000-0005-0000-0000-0000EE140000}"/>
    <cellStyle name="20% - Accent2 4 6 2 4" xfId="7467" xr:uid="{00000000-0005-0000-0000-0000EF140000}"/>
    <cellStyle name="20% - Accent2 4 6 2 4 2" xfId="18768" xr:uid="{00000000-0005-0000-0000-0000F0140000}"/>
    <cellStyle name="20% - Accent2 4 6 2 4 2 2" xfId="41370" xr:uid="{00000000-0005-0000-0000-0000F1140000}"/>
    <cellStyle name="20% - Accent2 4 6 2 4 3" xfId="30069" xr:uid="{00000000-0005-0000-0000-0000F2140000}"/>
    <cellStyle name="20% - Accent2 4 6 2 5" xfId="13118" xr:uid="{00000000-0005-0000-0000-0000F3140000}"/>
    <cellStyle name="20% - Accent2 4 6 2 5 2" xfId="35720" xr:uid="{00000000-0005-0000-0000-0000F4140000}"/>
    <cellStyle name="20% - Accent2 4 6 2 6" xfId="24419" xr:uid="{00000000-0005-0000-0000-0000F5140000}"/>
    <cellStyle name="20% - Accent2 4 6 3" xfId="2509" xr:uid="{00000000-0005-0000-0000-0000F6140000}"/>
    <cellStyle name="20% - Accent2 4 6 3 2" xfId="5528" xr:uid="{00000000-0005-0000-0000-0000F7140000}"/>
    <cellStyle name="20% - Accent2 4 6 3 2 2" xfId="11178" xr:uid="{00000000-0005-0000-0000-0000F8140000}"/>
    <cellStyle name="20% - Accent2 4 6 3 2 2 2" xfId="22479" xr:uid="{00000000-0005-0000-0000-0000F9140000}"/>
    <cellStyle name="20% - Accent2 4 6 3 2 2 2 2" xfId="45081" xr:uid="{00000000-0005-0000-0000-0000FA140000}"/>
    <cellStyle name="20% - Accent2 4 6 3 2 2 3" xfId="33780" xr:uid="{00000000-0005-0000-0000-0000FB140000}"/>
    <cellStyle name="20% - Accent2 4 6 3 2 3" xfId="16829" xr:uid="{00000000-0005-0000-0000-0000FC140000}"/>
    <cellStyle name="20% - Accent2 4 6 3 2 3 2" xfId="39431" xr:uid="{00000000-0005-0000-0000-0000FD140000}"/>
    <cellStyle name="20% - Accent2 4 6 3 2 4" xfId="28130" xr:uid="{00000000-0005-0000-0000-0000FE140000}"/>
    <cellStyle name="20% - Accent2 4 6 3 3" xfId="8345" xr:uid="{00000000-0005-0000-0000-0000FF140000}"/>
    <cellStyle name="20% - Accent2 4 6 3 3 2" xfId="19646" xr:uid="{00000000-0005-0000-0000-000000150000}"/>
    <cellStyle name="20% - Accent2 4 6 3 3 2 2" xfId="42248" xr:uid="{00000000-0005-0000-0000-000001150000}"/>
    <cellStyle name="20% - Accent2 4 6 3 3 3" xfId="30947" xr:uid="{00000000-0005-0000-0000-000002150000}"/>
    <cellStyle name="20% - Accent2 4 6 3 4" xfId="13996" xr:uid="{00000000-0005-0000-0000-000003150000}"/>
    <cellStyle name="20% - Accent2 4 6 3 4 2" xfId="36598" xr:uid="{00000000-0005-0000-0000-000004150000}"/>
    <cellStyle name="20% - Accent2 4 6 3 5" xfId="25297" xr:uid="{00000000-0005-0000-0000-000005150000}"/>
    <cellStyle name="20% - Accent2 4 6 4" xfId="4294" xr:uid="{00000000-0005-0000-0000-000006150000}"/>
    <cellStyle name="20% - Accent2 4 6 4 2" xfId="9944" xr:uid="{00000000-0005-0000-0000-000007150000}"/>
    <cellStyle name="20% - Accent2 4 6 4 2 2" xfId="21245" xr:uid="{00000000-0005-0000-0000-000008150000}"/>
    <cellStyle name="20% - Accent2 4 6 4 2 2 2" xfId="43847" xr:uid="{00000000-0005-0000-0000-000009150000}"/>
    <cellStyle name="20% - Accent2 4 6 4 2 3" xfId="32546" xr:uid="{00000000-0005-0000-0000-00000A150000}"/>
    <cellStyle name="20% - Accent2 4 6 4 3" xfId="15595" xr:uid="{00000000-0005-0000-0000-00000B150000}"/>
    <cellStyle name="20% - Accent2 4 6 4 3 2" xfId="38197" xr:uid="{00000000-0005-0000-0000-00000C150000}"/>
    <cellStyle name="20% - Accent2 4 6 4 4" xfId="26896" xr:uid="{00000000-0005-0000-0000-00000D150000}"/>
    <cellStyle name="20% - Accent2 4 6 5" xfId="7092" xr:uid="{00000000-0005-0000-0000-00000E150000}"/>
    <cellStyle name="20% - Accent2 4 6 5 2" xfId="18393" xr:uid="{00000000-0005-0000-0000-00000F150000}"/>
    <cellStyle name="20% - Accent2 4 6 5 2 2" xfId="40995" xr:uid="{00000000-0005-0000-0000-000010150000}"/>
    <cellStyle name="20% - Accent2 4 6 5 3" xfId="29694" xr:uid="{00000000-0005-0000-0000-000011150000}"/>
    <cellStyle name="20% - Accent2 4 6 6" xfId="12743" xr:uid="{00000000-0005-0000-0000-000012150000}"/>
    <cellStyle name="20% - Accent2 4 6 6 2" xfId="35345" xr:uid="{00000000-0005-0000-0000-000013150000}"/>
    <cellStyle name="20% - Accent2 4 6 7" xfId="24044" xr:uid="{00000000-0005-0000-0000-000014150000}"/>
    <cellStyle name="20% - Accent2 4 7" xfId="777" xr:uid="{00000000-0005-0000-0000-000015150000}"/>
    <cellStyle name="20% - Accent2 4 7 2" xfId="2874" xr:uid="{00000000-0005-0000-0000-000016150000}"/>
    <cellStyle name="20% - Accent2 4 7 2 2" xfId="5846" xr:uid="{00000000-0005-0000-0000-000017150000}"/>
    <cellStyle name="20% - Accent2 4 7 2 2 2" xfId="11496" xr:uid="{00000000-0005-0000-0000-000018150000}"/>
    <cellStyle name="20% - Accent2 4 7 2 2 2 2" xfId="22797" xr:uid="{00000000-0005-0000-0000-000019150000}"/>
    <cellStyle name="20% - Accent2 4 7 2 2 2 2 2" xfId="45399" xr:uid="{00000000-0005-0000-0000-00001A150000}"/>
    <cellStyle name="20% - Accent2 4 7 2 2 2 3" xfId="34098" xr:uid="{00000000-0005-0000-0000-00001B150000}"/>
    <cellStyle name="20% - Accent2 4 7 2 2 3" xfId="17147" xr:uid="{00000000-0005-0000-0000-00001C150000}"/>
    <cellStyle name="20% - Accent2 4 7 2 2 3 2" xfId="39749" xr:uid="{00000000-0005-0000-0000-00001D150000}"/>
    <cellStyle name="20% - Accent2 4 7 2 2 4" xfId="28448" xr:uid="{00000000-0005-0000-0000-00001E150000}"/>
    <cellStyle name="20% - Accent2 4 7 2 3" xfId="8664" xr:uid="{00000000-0005-0000-0000-00001F150000}"/>
    <cellStyle name="20% - Accent2 4 7 2 3 2" xfId="19965" xr:uid="{00000000-0005-0000-0000-000020150000}"/>
    <cellStyle name="20% - Accent2 4 7 2 3 2 2" xfId="42567" xr:uid="{00000000-0005-0000-0000-000021150000}"/>
    <cellStyle name="20% - Accent2 4 7 2 3 3" xfId="31266" xr:uid="{00000000-0005-0000-0000-000022150000}"/>
    <cellStyle name="20% - Accent2 4 7 2 4" xfId="14315" xr:uid="{00000000-0005-0000-0000-000023150000}"/>
    <cellStyle name="20% - Accent2 4 7 2 4 2" xfId="36917" xr:uid="{00000000-0005-0000-0000-000024150000}"/>
    <cellStyle name="20% - Accent2 4 7 2 5" xfId="25616" xr:uid="{00000000-0005-0000-0000-000025150000}"/>
    <cellStyle name="20% - Accent2 4 7 3" xfId="4612" xr:uid="{00000000-0005-0000-0000-000026150000}"/>
    <cellStyle name="20% - Accent2 4 7 3 2" xfId="10262" xr:uid="{00000000-0005-0000-0000-000027150000}"/>
    <cellStyle name="20% - Accent2 4 7 3 2 2" xfId="21563" xr:uid="{00000000-0005-0000-0000-000028150000}"/>
    <cellStyle name="20% - Accent2 4 7 3 2 2 2" xfId="44165" xr:uid="{00000000-0005-0000-0000-000029150000}"/>
    <cellStyle name="20% - Accent2 4 7 3 2 3" xfId="32864" xr:uid="{00000000-0005-0000-0000-00002A150000}"/>
    <cellStyle name="20% - Accent2 4 7 3 3" xfId="15913" xr:uid="{00000000-0005-0000-0000-00002B150000}"/>
    <cellStyle name="20% - Accent2 4 7 3 3 2" xfId="38515" xr:uid="{00000000-0005-0000-0000-00002C150000}"/>
    <cellStyle name="20% - Accent2 4 7 3 4" xfId="27214" xr:uid="{00000000-0005-0000-0000-00002D150000}"/>
    <cellStyle name="20% - Accent2 4 7 4" xfId="6794" xr:uid="{00000000-0005-0000-0000-00002E150000}"/>
    <cellStyle name="20% - Accent2 4 7 4 2" xfId="18095" xr:uid="{00000000-0005-0000-0000-00002F150000}"/>
    <cellStyle name="20% - Accent2 4 7 4 2 2" xfId="40697" xr:uid="{00000000-0005-0000-0000-000030150000}"/>
    <cellStyle name="20% - Accent2 4 7 4 3" xfId="29396" xr:uid="{00000000-0005-0000-0000-000031150000}"/>
    <cellStyle name="20% - Accent2 4 7 5" xfId="12445" xr:uid="{00000000-0005-0000-0000-000032150000}"/>
    <cellStyle name="20% - Accent2 4 7 5 2" xfId="35047" xr:uid="{00000000-0005-0000-0000-000033150000}"/>
    <cellStyle name="20% - Accent2 4 7 6" xfId="23746" xr:uid="{00000000-0005-0000-0000-000034150000}"/>
    <cellStyle name="20% - Accent2 4 8" xfId="1598" xr:uid="{00000000-0005-0000-0000-000035150000}"/>
    <cellStyle name="20% - Accent2 4 8 2" xfId="3526" xr:uid="{00000000-0005-0000-0000-000036150000}"/>
    <cellStyle name="20% - Accent2 4 8 2 2" xfId="9281" xr:uid="{00000000-0005-0000-0000-000037150000}"/>
    <cellStyle name="20% - Accent2 4 8 2 2 2" xfId="20582" xr:uid="{00000000-0005-0000-0000-000038150000}"/>
    <cellStyle name="20% - Accent2 4 8 2 2 2 2" xfId="43184" xr:uid="{00000000-0005-0000-0000-000039150000}"/>
    <cellStyle name="20% - Accent2 4 8 2 2 3" xfId="31883" xr:uid="{00000000-0005-0000-0000-00003A150000}"/>
    <cellStyle name="20% - Accent2 4 8 2 3" xfId="14932" xr:uid="{00000000-0005-0000-0000-00003B150000}"/>
    <cellStyle name="20% - Accent2 4 8 2 3 2" xfId="37534" xr:uid="{00000000-0005-0000-0000-00003C150000}"/>
    <cellStyle name="20% - Accent2 4 8 2 4" xfId="26233" xr:uid="{00000000-0005-0000-0000-00003D150000}"/>
    <cellStyle name="20% - Accent2 4 8 3" xfId="5222" xr:uid="{00000000-0005-0000-0000-00003E150000}"/>
    <cellStyle name="20% - Accent2 4 8 3 2" xfId="10872" xr:uid="{00000000-0005-0000-0000-00003F150000}"/>
    <cellStyle name="20% - Accent2 4 8 3 2 2" xfId="22173" xr:uid="{00000000-0005-0000-0000-000040150000}"/>
    <cellStyle name="20% - Accent2 4 8 3 2 2 2" xfId="44775" xr:uid="{00000000-0005-0000-0000-000041150000}"/>
    <cellStyle name="20% - Accent2 4 8 3 2 3" xfId="33474" xr:uid="{00000000-0005-0000-0000-000042150000}"/>
    <cellStyle name="20% - Accent2 4 8 3 3" xfId="16523" xr:uid="{00000000-0005-0000-0000-000043150000}"/>
    <cellStyle name="20% - Accent2 4 8 3 3 2" xfId="39125" xr:uid="{00000000-0005-0000-0000-000044150000}"/>
    <cellStyle name="20% - Accent2 4 8 3 4" xfId="27824" xr:uid="{00000000-0005-0000-0000-000045150000}"/>
    <cellStyle name="20% - Accent2 4 8 4" xfId="7454" xr:uid="{00000000-0005-0000-0000-000046150000}"/>
    <cellStyle name="20% - Accent2 4 8 4 2" xfId="18755" xr:uid="{00000000-0005-0000-0000-000047150000}"/>
    <cellStyle name="20% - Accent2 4 8 4 2 2" xfId="41357" xr:uid="{00000000-0005-0000-0000-000048150000}"/>
    <cellStyle name="20% - Accent2 4 8 4 3" xfId="30056" xr:uid="{00000000-0005-0000-0000-000049150000}"/>
    <cellStyle name="20% - Accent2 4 8 5" xfId="13105" xr:uid="{00000000-0005-0000-0000-00004A150000}"/>
    <cellStyle name="20% - Accent2 4 8 5 2" xfId="35707" xr:uid="{00000000-0005-0000-0000-00004B150000}"/>
    <cellStyle name="20% - Accent2 4 8 6" xfId="24406" xr:uid="{00000000-0005-0000-0000-00004C150000}"/>
    <cellStyle name="20% - Accent2 4 9" xfId="2193" xr:uid="{00000000-0005-0000-0000-00004D150000}"/>
    <cellStyle name="20% - Accent2 4 9 2" xfId="8036" xr:uid="{00000000-0005-0000-0000-00004E150000}"/>
    <cellStyle name="20% - Accent2 4 9 2 2" xfId="19337" xr:uid="{00000000-0005-0000-0000-00004F150000}"/>
    <cellStyle name="20% - Accent2 4 9 2 2 2" xfId="41939" xr:uid="{00000000-0005-0000-0000-000050150000}"/>
    <cellStyle name="20% - Accent2 4 9 2 3" xfId="30638" xr:uid="{00000000-0005-0000-0000-000051150000}"/>
    <cellStyle name="20% - Accent2 4 9 3" xfId="13687" xr:uid="{00000000-0005-0000-0000-000052150000}"/>
    <cellStyle name="20% - Accent2 4 9 3 2" xfId="36289" xr:uid="{00000000-0005-0000-0000-000053150000}"/>
    <cellStyle name="20% - Accent2 4 9 4" xfId="24988" xr:uid="{00000000-0005-0000-0000-000054150000}"/>
    <cellStyle name="20% - Accent2 5" xfId="264" xr:uid="{00000000-0005-0000-0000-000055150000}"/>
    <cellStyle name="20% - Accent2 5 10" xfId="12130" xr:uid="{00000000-0005-0000-0000-000056150000}"/>
    <cellStyle name="20% - Accent2 5 10 2" xfId="34732" xr:uid="{00000000-0005-0000-0000-000057150000}"/>
    <cellStyle name="20% - Accent2 5 11" xfId="23431" xr:uid="{00000000-0005-0000-0000-000058150000}"/>
    <cellStyle name="20% - Accent2 5 2" xfId="432" xr:uid="{00000000-0005-0000-0000-000059150000}"/>
    <cellStyle name="20% - Accent2 5 2 10" xfId="23527" xr:uid="{00000000-0005-0000-0000-00005A150000}"/>
    <cellStyle name="20% - Accent2 5 2 2" xfId="677" xr:uid="{00000000-0005-0000-0000-00005B150000}"/>
    <cellStyle name="20% - Accent2 5 2 2 2" xfId="1387" xr:uid="{00000000-0005-0000-0000-00005C150000}"/>
    <cellStyle name="20% - Accent2 5 2 2 2 2" xfId="1615" xr:uid="{00000000-0005-0000-0000-00005D150000}"/>
    <cellStyle name="20% - Accent2 5 2 2 2 2 2" xfId="3456" xr:uid="{00000000-0005-0000-0000-00005E150000}"/>
    <cellStyle name="20% - Accent2 5 2 2 2 2 2 2" xfId="6428" xr:uid="{00000000-0005-0000-0000-00005F150000}"/>
    <cellStyle name="20% - Accent2 5 2 2 2 2 2 2 2" xfId="12078" xr:uid="{00000000-0005-0000-0000-000060150000}"/>
    <cellStyle name="20% - Accent2 5 2 2 2 2 2 2 2 2" xfId="23379" xr:uid="{00000000-0005-0000-0000-000061150000}"/>
    <cellStyle name="20% - Accent2 5 2 2 2 2 2 2 2 2 2" xfId="45981" xr:uid="{00000000-0005-0000-0000-000062150000}"/>
    <cellStyle name="20% - Accent2 5 2 2 2 2 2 2 2 3" xfId="34680" xr:uid="{00000000-0005-0000-0000-000063150000}"/>
    <cellStyle name="20% - Accent2 5 2 2 2 2 2 2 3" xfId="17729" xr:uid="{00000000-0005-0000-0000-000064150000}"/>
    <cellStyle name="20% - Accent2 5 2 2 2 2 2 2 3 2" xfId="40331" xr:uid="{00000000-0005-0000-0000-000065150000}"/>
    <cellStyle name="20% - Accent2 5 2 2 2 2 2 2 4" xfId="29030" xr:uid="{00000000-0005-0000-0000-000066150000}"/>
    <cellStyle name="20% - Accent2 5 2 2 2 2 2 3" xfId="9246" xr:uid="{00000000-0005-0000-0000-000067150000}"/>
    <cellStyle name="20% - Accent2 5 2 2 2 2 2 3 2" xfId="20547" xr:uid="{00000000-0005-0000-0000-000068150000}"/>
    <cellStyle name="20% - Accent2 5 2 2 2 2 2 3 2 2" xfId="43149" xr:uid="{00000000-0005-0000-0000-000069150000}"/>
    <cellStyle name="20% - Accent2 5 2 2 2 2 2 3 3" xfId="31848" xr:uid="{00000000-0005-0000-0000-00006A150000}"/>
    <cellStyle name="20% - Accent2 5 2 2 2 2 2 4" xfId="14897" xr:uid="{00000000-0005-0000-0000-00006B150000}"/>
    <cellStyle name="20% - Accent2 5 2 2 2 2 2 4 2" xfId="37499" xr:uid="{00000000-0005-0000-0000-00006C150000}"/>
    <cellStyle name="20% - Accent2 5 2 2 2 2 2 5" xfId="26198" xr:uid="{00000000-0005-0000-0000-00006D150000}"/>
    <cellStyle name="20% - Accent2 5 2 2 2 2 3" xfId="5194" xr:uid="{00000000-0005-0000-0000-00006E150000}"/>
    <cellStyle name="20% - Accent2 5 2 2 2 2 3 2" xfId="10844" xr:uid="{00000000-0005-0000-0000-00006F150000}"/>
    <cellStyle name="20% - Accent2 5 2 2 2 2 3 2 2" xfId="22145" xr:uid="{00000000-0005-0000-0000-000070150000}"/>
    <cellStyle name="20% - Accent2 5 2 2 2 2 3 2 2 2" xfId="44747" xr:uid="{00000000-0005-0000-0000-000071150000}"/>
    <cellStyle name="20% - Accent2 5 2 2 2 2 3 2 3" xfId="33446" xr:uid="{00000000-0005-0000-0000-000072150000}"/>
    <cellStyle name="20% - Accent2 5 2 2 2 2 3 3" xfId="16495" xr:uid="{00000000-0005-0000-0000-000073150000}"/>
    <cellStyle name="20% - Accent2 5 2 2 2 2 3 3 2" xfId="39097" xr:uid="{00000000-0005-0000-0000-000074150000}"/>
    <cellStyle name="20% - Accent2 5 2 2 2 2 3 4" xfId="27796" xr:uid="{00000000-0005-0000-0000-000075150000}"/>
    <cellStyle name="20% - Accent2 5 2 2 2 2 4" xfId="7471" xr:uid="{00000000-0005-0000-0000-000076150000}"/>
    <cellStyle name="20% - Accent2 5 2 2 2 2 4 2" xfId="18772" xr:uid="{00000000-0005-0000-0000-000077150000}"/>
    <cellStyle name="20% - Accent2 5 2 2 2 2 4 2 2" xfId="41374" xr:uid="{00000000-0005-0000-0000-000078150000}"/>
    <cellStyle name="20% - Accent2 5 2 2 2 2 4 3" xfId="30073" xr:uid="{00000000-0005-0000-0000-000079150000}"/>
    <cellStyle name="20% - Accent2 5 2 2 2 2 5" xfId="13122" xr:uid="{00000000-0005-0000-0000-00007A150000}"/>
    <cellStyle name="20% - Accent2 5 2 2 2 2 5 2" xfId="35724" xr:uid="{00000000-0005-0000-0000-00007B150000}"/>
    <cellStyle name="20% - Accent2 5 2 2 2 2 6" xfId="24423" xr:uid="{00000000-0005-0000-0000-00007C150000}"/>
    <cellStyle name="20% - Accent2 5 2 2 2 3" xfId="2785" xr:uid="{00000000-0005-0000-0000-00007D150000}"/>
    <cellStyle name="20% - Accent2 5 2 2 2 3 2" xfId="5804" xr:uid="{00000000-0005-0000-0000-00007E150000}"/>
    <cellStyle name="20% - Accent2 5 2 2 2 3 2 2" xfId="11454" xr:uid="{00000000-0005-0000-0000-00007F150000}"/>
    <cellStyle name="20% - Accent2 5 2 2 2 3 2 2 2" xfId="22755" xr:uid="{00000000-0005-0000-0000-000080150000}"/>
    <cellStyle name="20% - Accent2 5 2 2 2 3 2 2 2 2" xfId="45357" xr:uid="{00000000-0005-0000-0000-000081150000}"/>
    <cellStyle name="20% - Accent2 5 2 2 2 3 2 2 3" xfId="34056" xr:uid="{00000000-0005-0000-0000-000082150000}"/>
    <cellStyle name="20% - Accent2 5 2 2 2 3 2 3" xfId="17105" xr:uid="{00000000-0005-0000-0000-000083150000}"/>
    <cellStyle name="20% - Accent2 5 2 2 2 3 2 3 2" xfId="39707" xr:uid="{00000000-0005-0000-0000-000084150000}"/>
    <cellStyle name="20% - Accent2 5 2 2 2 3 2 4" xfId="28406" xr:uid="{00000000-0005-0000-0000-000085150000}"/>
    <cellStyle name="20% - Accent2 5 2 2 2 3 3" xfId="8621" xr:uid="{00000000-0005-0000-0000-000086150000}"/>
    <cellStyle name="20% - Accent2 5 2 2 2 3 3 2" xfId="19922" xr:uid="{00000000-0005-0000-0000-000087150000}"/>
    <cellStyle name="20% - Accent2 5 2 2 2 3 3 2 2" xfId="42524" xr:uid="{00000000-0005-0000-0000-000088150000}"/>
    <cellStyle name="20% - Accent2 5 2 2 2 3 3 3" xfId="31223" xr:uid="{00000000-0005-0000-0000-000089150000}"/>
    <cellStyle name="20% - Accent2 5 2 2 2 3 4" xfId="14272" xr:uid="{00000000-0005-0000-0000-00008A150000}"/>
    <cellStyle name="20% - Accent2 5 2 2 2 3 4 2" xfId="36874" xr:uid="{00000000-0005-0000-0000-00008B150000}"/>
    <cellStyle name="20% - Accent2 5 2 2 2 3 5" xfId="25573" xr:uid="{00000000-0005-0000-0000-00008C150000}"/>
    <cellStyle name="20% - Accent2 5 2 2 2 4" xfId="4570" xr:uid="{00000000-0005-0000-0000-00008D150000}"/>
    <cellStyle name="20% - Accent2 5 2 2 2 4 2" xfId="10220" xr:uid="{00000000-0005-0000-0000-00008E150000}"/>
    <cellStyle name="20% - Accent2 5 2 2 2 4 2 2" xfId="21521" xr:uid="{00000000-0005-0000-0000-00008F150000}"/>
    <cellStyle name="20% - Accent2 5 2 2 2 4 2 2 2" xfId="44123" xr:uid="{00000000-0005-0000-0000-000090150000}"/>
    <cellStyle name="20% - Accent2 5 2 2 2 4 2 3" xfId="32822" xr:uid="{00000000-0005-0000-0000-000091150000}"/>
    <cellStyle name="20% - Accent2 5 2 2 2 4 3" xfId="15871" xr:uid="{00000000-0005-0000-0000-000092150000}"/>
    <cellStyle name="20% - Accent2 5 2 2 2 4 3 2" xfId="38473" xr:uid="{00000000-0005-0000-0000-000093150000}"/>
    <cellStyle name="20% - Accent2 5 2 2 2 4 4" xfId="27172" xr:uid="{00000000-0005-0000-0000-000094150000}"/>
    <cellStyle name="20% - Accent2 5 2 2 2 5" xfId="7366" xr:uid="{00000000-0005-0000-0000-000095150000}"/>
    <cellStyle name="20% - Accent2 5 2 2 2 5 2" xfId="18667" xr:uid="{00000000-0005-0000-0000-000096150000}"/>
    <cellStyle name="20% - Accent2 5 2 2 2 5 2 2" xfId="41269" xr:uid="{00000000-0005-0000-0000-000097150000}"/>
    <cellStyle name="20% - Accent2 5 2 2 2 5 3" xfId="29968" xr:uid="{00000000-0005-0000-0000-000098150000}"/>
    <cellStyle name="20% - Accent2 5 2 2 2 6" xfId="13017" xr:uid="{00000000-0005-0000-0000-000099150000}"/>
    <cellStyle name="20% - Accent2 5 2 2 2 6 2" xfId="35619" xr:uid="{00000000-0005-0000-0000-00009A150000}"/>
    <cellStyle name="20% - Accent2 5 2 2 2 7" xfId="24318" xr:uid="{00000000-0005-0000-0000-00009B150000}"/>
    <cellStyle name="20% - Accent2 5 2 2 3" xfId="1085" xr:uid="{00000000-0005-0000-0000-00009C150000}"/>
    <cellStyle name="20% - Accent2 5 2 2 3 2" xfId="3148" xr:uid="{00000000-0005-0000-0000-00009D150000}"/>
    <cellStyle name="20% - Accent2 5 2 2 3 2 2" xfId="6120" xr:uid="{00000000-0005-0000-0000-00009E150000}"/>
    <cellStyle name="20% - Accent2 5 2 2 3 2 2 2" xfId="11770" xr:uid="{00000000-0005-0000-0000-00009F150000}"/>
    <cellStyle name="20% - Accent2 5 2 2 3 2 2 2 2" xfId="23071" xr:uid="{00000000-0005-0000-0000-0000A0150000}"/>
    <cellStyle name="20% - Accent2 5 2 2 3 2 2 2 2 2" xfId="45673" xr:uid="{00000000-0005-0000-0000-0000A1150000}"/>
    <cellStyle name="20% - Accent2 5 2 2 3 2 2 2 3" xfId="34372" xr:uid="{00000000-0005-0000-0000-0000A2150000}"/>
    <cellStyle name="20% - Accent2 5 2 2 3 2 2 3" xfId="17421" xr:uid="{00000000-0005-0000-0000-0000A3150000}"/>
    <cellStyle name="20% - Accent2 5 2 2 3 2 2 3 2" xfId="40023" xr:uid="{00000000-0005-0000-0000-0000A4150000}"/>
    <cellStyle name="20% - Accent2 5 2 2 3 2 2 4" xfId="28722" xr:uid="{00000000-0005-0000-0000-0000A5150000}"/>
    <cellStyle name="20% - Accent2 5 2 2 3 2 3" xfId="8938" xr:uid="{00000000-0005-0000-0000-0000A6150000}"/>
    <cellStyle name="20% - Accent2 5 2 2 3 2 3 2" xfId="20239" xr:uid="{00000000-0005-0000-0000-0000A7150000}"/>
    <cellStyle name="20% - Accent2 5 2 2 3 2 3 2 2" xfId="42841" xr:uid="{00000000-0005-0000-0000-0000A8150000}"/>
    <cellStyle name="20% - Accent2 5 2 2 3 2 3 3" xfId="31540" xr:uid="{00000000-0005-0000-0000-0000A9150000}"/>
    <cellStyle name="20% - Accent2 5 2 2 3 2 4" xfId="14589" xr:uid="{00000000-0005-0000-0000-0000AA150000}"/>
    <cellStyle name="20% - Accent2 5 2 2 3 2 4 2" xfId="37191" xr:uid="{00000000-0005-0000-0000-0000AB150000}"/>
    <cellStyle name="20% - Accent2 5 2 2 3 2 5" xfId="25890" xr:uid="{00000000-0005-0000-0000-0000AC150000}"/>
    <cellStyle name="20% - Accent2 5 2 2 3 3" xfId="4886" xr:uid="{00000000-0005-0000-0000-0000AD150000}"/>
    <cellStyle name="20% - Accent2 5 2 2 3 3 2" xfId="10536" xr:uid="{00000000-0005-0000-0000-0000AE150000}"/>
    <cellStyle name="20% - Accent2 5 2 2 3 3 2 2" xfId="21837" xr:uid="{00000000-0005-0000-0000-0000AF150000}"/>
    <cellStyle name="20% - Accent2 5 2 2 3 3 2 2 2" xfId="44439" xr:uid="{00000000-0005-0000-0000-0000B0150000}"/>
    <cellStyle name="20% - Accent2 5 2 2 3 3 2 3" xfId="33138" xr:uid="{00000000-0005-0000-0000-0000B1150000}"/>
    <cellStyle name="20% - Accent2 5 2 2 3 3 3" xfId="16187" xr:uid="{00000000-0005-0000-0000-0000B2150000}"/>
    <cellStyle name="20% - Accent2 5 2 2 3 3 3 2" xfId="38789" xr:uid="{00000000-0005-0000-0000-0000B3150000}"/>
    <cellStyle name="20% - Accent2 5 2 2 3 3 4" xfId="27488" xr:uid="{00000000-0005-0000-0000-0000B4150000}"/>
    <cellStyle name="20% - Accent2 5 2 2 3 4" xfId="7073" xr:uid="{00000000-0005-0000-0000-0000B5150000}"/>
    <cellStyle name="20% - Accent2 5 2 2 3 4 2" xfId="18374" xr:uid="{00000000-0005-0000-0000-0000B6150000}"/>
    <cellStyle name="20% - Accent2 5 2 2 3 4 2 2" xfId="40976" xr:uid="{00000000-0005-0000-0000-0000B7150000}"/>
    <cellStyle name="20% - Accent2 5 2 2 3 4 3" xfId="29675" xr:uid="{00000000-0005-0000-0000-0000B8150000}"/>
    <cellStyle name="20% - Accent2 5 2 2 3 5" xfId="12724" xr:uid="{00000000-0005-0000-0000-0000B9150000}"/>
    <cellStyle name="20% - Accent2 5 2 2 3 5 2" xfId="35326" xr:uid="{00000000-0005-0000-0000-0000BA150000}"/>
    <cellStyle name="20% - Accent2 5 2 2 3 6" xfId="24025" xr:uid="{00000000-0005-0000-0000-0000BB150000}"/>
    <cellStyle name="20% - Accent2 5 2 2 4" xfId="1614" xr:uid="{00000000-0005-0000-0000-0000BC150000}"/>
    <cellStyle name="20% - Accent2 5 2 2 4 2" xfId="3599" xr:uid="{00000000-0005-0000-0000-0000BD150000}"/>
    <cellStyle name="20% - Accent2 5 2 2 4 2 2" xfId="9313" xr:uid="{00000000-0005-0000-0000-0000BE150000}"/>
    <cellStyle name="20% - Accent2 5 2 2 4 2 2 2" xfId="20614" xr:uid="{00000000-0005-0000-0000-0000BF150000}"/>
    <cellStyle name="20% - Accent2 5 2 2 4 2 2 2 2" xfId="43216" xr:uid="{00000000-0005-0000-0000-0000C0150000}"/>
    <cellStyle name="20% - Accent2 5 2 2 4 2 2 3" xfId="31915" xr:uid="{00000000-0005-0000-0000-0000C1150000}"/>
    <cellStyle name="20% - Accent2 5 2 2 4 2 3" xfId="14964" xr:uid="{00000000-0005-0000-0000-0000C2150000}"/>
    <cellStyle name="20% - Accent2 5 2 2 4 2 3 2" xfId="37566" xr:uid="{00000000-0005-0000-0000-0000C3150000}"/>
    <cellStyle name="20% - Accent2 5 2 2 4 2 4" xfId="26265" xr:uid="{00000000-0005-0000-0000-0000C4150000}"/>
    <cellStyle name="20% - Accent2 5 2 2 4 3" xfId="5496" xr:uid="{00000000-0005-0000-0000-0000C5150000}"/>
    <cellStyle name="20% - Accent2 5 2 2 4 3 2" xfId="11146" xr:uid="{00000000-0005-0000-0000-0000C6150000}"/>
    <cellStyle name="20% - Accent2 5 2 2 4 3 2 2" xfId="22447" xr:uid="{00000000-0005-0000-0000-0000C7150000}"/>
    <cellStyle name="20% - Accent2 5 2 2 4 3 2 2 2" xfId="45049" xr:uid="{00000000-0005-0000-0000-0000C8150000}"/>
    <cellStyle name="20% - Accent2 5 2 2 4 3 2 3" xfId="33748" xr:uid="{00000000-0005-0000-0000-0000C9150000}"/>
    <cellStyle name="20% - Accent2 5 2 2 4 3 3" xfId="16797" xr:uid="{00000000-0005-0000-0000-0000CA150000}"/>
    <cellStyle name="20% - Accent2 5 2 2 4 3 3 2" xfId="39399" xr:uid="{00000000-0005-0000-0000-0000CB150000}"/>
    <cellStyle name="20% - Accent2 5 2 2 4 3 4" xfId="28098" xr:uid="{00000000-0005-0000-0000-0000CC150000}"/>
    <cellStyle name="20% - Accent2 5 2 2 4 4" xfId="7470" xr:uid="{00000000-0005-0000-0000-0000CD150000}"/>
    <cellStyle name="20% - Accent2 5 2 2 4 4 2" xfId="18771" xr:uid="{00000000-0005-0000-0000-0000CE150000}"/>
    <cellStyle name="20% - Accent2 5 2 2 4 4 2 2" xfId="41373" xr:uid="{00000000-0005-0000-0000-0000CF150000}"/>
    <cellStyle name="20% - Accent2 5 2 2 4 4 3" xfId="30072" xr:uid="{00000000-0005-0000-0000-0000D0150000}"/>
    <cellStyle name="20% - Accent2 5 2 2 4 5" xfId="13121" xr:uid="{00000000-0005-0000-0000-0000D1150000}"/>
    <cellStyle name="20% - Accent2 5 2 2 4 5 2" xfId="35723" xr:uid="{00000000-0005-0000-0000-0000D2150000}"/>
    <cellStyle name="20% - Accent2 5 2 2 4 6" xfId="24422" xr:uid="{00000000-0005-0000-0000-0000D3150000}"/>
    <cellStyle name="20% - Accent2 5 2 2 5" xfId="2477" xr:uid="{00000000-0005-0000-0000-0000D4150000}"/>
    <cellStyle name="20% - Accent2 5 2 2 5 2" xfId="8313" xr:uid="{00000000-0005-0000-0000-0000D5150000}"/>
    <cellStyle name="20% - Accent2 5 2 2 5 2 2" xfId="19614" xr:uid="{00000000-0005-0000-0000-0000D6150000}"/>
    <cellStyle name="20% - Accent2 5 2 2 5 2 2 2" xfId="42216" xr:uid="{00000000-0005-0000-0000-0000D7150000}"/>
    <cellStyle name="20% - Accent2 5 2 2 5 2 3" xfId="30915" xr:uid="{00000000-0005-0000-0000-0000D8150000}"/>
    <cellStyle name="20% - Accent2 5 2 2 5 3" xfId="13964" xr:uid="{00000000-0005-0000-0000-0000D9150000}"/>
    <cellStyle name="20% - Accent2 5 2 2 5 3 2" xfId="36566" xr:uid="{00000000-0005-0000-0000-0000DA150000}"/>
    <cellStyle name="20% - Accent2 5 2 2 5 4" xfId="25265" xr:uid="{00000000-0005-0000-0000-0000DB150000}"/>
    <cellStyle name="20% - Accent2 5 2 2 6" xfId="4262" xr:uid="{00000000-0005-0000-0000-0000DC150000}"/>
    <cellStyle name="20% - Accent2 5 2 2 6 2" xfId="9912" xr:uid="{00000000-0005-0000-0000-0000DD150000}"/>
    <cellStyle name="20% - Accent2 5 2 2 6 2 2" xfId="21213" xr:uid="{00000000-0005-0000-0000-0000DE150000}"/>
    <cellStyle name="20% - Accent2 5 2 2 6 2 2 2" xfId="43815" xr:uid="{00000000-0005-0000-0000-0000DF150000}"/>
    <cellStyle name="20% - Accent2 5 2 2 6 2 3" xfId="32514" xr:uid="{00000000-0005-0000-0000-0000E0150000}"/>
    <cellStyle name="20% - Accent2 5 2 2 6 3" xfId="15563" xr:uid="{00000000-0005-0000-0000-0000E1150000}"/>
    <cellStyle name="20% - Accent2 5 2 2 6 3 2" xfId="38165" xr:uid="{00000000-0005-0000-0000-0000E2150000}"/>
    <cellStyle name="20% - Accent2 5 2 2 6 4" xfId="26864" xr:uid="{00000000-0005-0000-0000-0000E3150000}"/>
    <cellStyle name="20% - Accent2 5 2 2 7" xfId="6742" xr:uid="{00000000-0005-0000-0000-0000E4150000}"/>
    <cellStyle name="20% - Accent2 5 2 2 7 2" xfId="18043" xr:uid="{00000000-0005-0000-0000-0000E5150000}"/>
    <cellStyle name="20% - Accent2 5 2 2 7 2 2" xfId="40645" xr:uid="{00000000-0005-0000-0000-0000E6150000}"/>
    <cellStyle name="20% - Accent2 5 2 2 7 3" xfId="29344" xr:uid="{00000000-0005-0000-0000-0000E7150000}"/>
    <cellStyle name="20% - Accent2 5 2 2 8" xfId="12393" xr:uid="{00000000-0005-0000-0000-0000E8150000}"/>
    <cellStyle name="20% - Accent2 5 2 2 8 2" xfId="34995" xr:uid="{00000000-0005-0000-0000-0000E9150000}"/>
    <cellStyle name="20% - Accent2 5 2 2 9" xfId="23694" xr:uid="{00000000-0005-0000-0000-0000EA150000}"/>
    <cellStyle name="20% - Accent2 5 2 3" xfId="1249" xr:uid="{00000000-0005-0000-0000-0000EB150000}"/>
    <cellStyle name="20% - Accent2 5 2 3 2" xfId="1616" xr:uid="{00000000-0005-0000-0000-0000EC150000}"/>
    <cellStyle name="20% - Accent2 5 2 3 2 2" xfId="3317" xr:uid="{00000000-0005-0000-0000-0000ED150000}"/>
    <cellStyle name="20% - Accent2 5 2 3 2 2 2" xfId="6289" xr:uid="{00000000-0005-0000-0000-0000EE150000}"/>
    <cellStyle name="20% - Accent2 5 2 3 2 2 2 2" xfId="11939" xr:uid="{00000000-0005-0000-0000-0000EF150000}"/>
    <cellStyle name="20% - Accent2 5 2 3 2 2 2 2 2" xfId="23240" xr:uid="{00000000-0005-0000-0000-0000F0150000}"/>
    <cellStyle name="20% - Accent2 5 2 3 2 2 2 2 2 2" xfId="45842" xr:uid="{00000000-0005-0000-0000-0000F1150000}"/>
    <cellStyle name="20% - Accent2 5 2 3 2 2 2 2 3" xfId="34541" xr:uid="{00000000-0005-0000-0000-0000F2150000}"/>
    <cellStyle name="20% - Accent2 5 2 3 2 2 2 3" xfId="17590" xr:uid="{00000000-0005-0000-0000-0000F3150000}"/>
    <cellStyle name="20% - Accent2 5 2 3 2 2 2 3 2" xfId="40192" xr:uid="{00000000-0005-0000-0000-0000F4150000}"/>
    <cellStyle name="20% - Accent2 5 2 3 2 2 2 4" xfId="28891" xr:uid="{00000000-0005-0000-0000-0000F5150000}"/>
    <cellStyle name="20% - Accent2 5 2 3 2 2 3" xfId="9107" xr:uid="{00000000-0005-0000-0000-0000F6150000}"/>
    <cellStyle name="20% - Accent2 5 2 3 2 2 3 2" xfId="20408" xr:uid="{00000000-0005-0000-0000-0000F7150000}"/>
    <cellStyle name="20% - Accent2 5 2 3 2 2 3 2 2" xfId="43010" xr:uid="{00000000-0005-0000-0000-0000F8150000}"/>
    <cellStyle name="20% - Accent2 5 2 3 2 2 3 3" xfId="31709" xr:uid="{00000000-0005-0000-0000-0000F9150000}"/>
    <cellStyle name="20% - Accent2 5 2 3 2 2 4" xfId="14758" xr:uid="{00000000-0005-0000-0000-0000FA150000}"/>
    <cellStyle name="20% - Accent2 5 2 3 2 2 4 2" xfId="37360" xr:uid="{00000000-0005-0000-0000-0000FB150000}"/>
    <cellStyle name="20% - Accent2 5 2 3 2 2 5" xfId="26059" xr:uid="{00000000-0005-0000-0000-0000FC150000}"/>
    <cellStyle name="20% - Accent2 5 2 3 2 3" xfId="5055" xr:uid="{00000000-0005-0000-0000-0000FD150000}"/>
    <cellStyle name="20% - Accent2 5 2 3 2 3 2" xfId="10705" xr:uid="{00000000-0005-0000-0000-0000FE150000}"/>
    <cellStyle name="20% - Accent2 5 2 3 2 3 2 2" xfId="22006" xr:uid="{00000000-0005-0000-0000-0000FF150000}"/>
    <cellStyle name="20% - Accent2 5 2 3 2 3 2 2 2" xfId="44608" xr:uid="{00000000-0005-0000-0000-000000160000}"/>
    <cellStyle name="20% - Accent2 5 2 3 2 3 2 3" xfId="33307" xr:uid="{00000000-0005-0000-0000-000001160000}"/>
    <cellStyle name="20% - Accent2 5 2 3 2 3 3" xfId="16356" xr:uid="{00000000-0005-0000-0000-000002160000}"/>
    <cellStyle name="20% - Accent2 5 2 3 2 3 3 2" xfId="38958" xr:uid="{00000000-0005-0000-0000-000003160000}"/>
    <cellStyle name="20% - Accent2 5 2 3 2 3 4" xfId="27657" xr:uid="{00000000-0005-0000-0000-000004160000}"/>
    <cellStyle name="20% - Accent2 5 2 3 2 4" xfId="7472" xr:uid="{00000000-0005-0000-0000-000005160000}"/>
    <cellStyle name="20% - Accent2 5 2 3 2 4 2" xfId="18773" xr:uid="{00000000-0005-0000-0000-000006160000}"/>
    <cellStyle name="20% - Accent2 5 2 3 2 4 2 2" xfId="41375" xr:uid="{00000000-0005-0000-0000-000007160000}"/>
    <cellStyle name="20% - Accent2 5 2 3 2 4 3" xfId="30074" xr:uid="{00000000-0005-0000-0000-000008160000}"/>
    <cellStyle name="20% - Accent2 5 2 3 2 5" xfId="13123" xr:uid="{00000000-0005-0000-0000-000009160000}"/>
    <cellStyle name="20% - Accent2 5 2 3 2 5 2" xfId="35725" xr:uid="{00000000-0005-0000-0000-00000A160000}"/>
    <cellStyle name="20% - Accent2 5 2 3 2 6" xfId="24424" xr:uid="{00000000-0005-0000-0000-00000B160000}"/>
    <cellStyle name="20% - Accent2 5 2 3 3" xfId="2646" xr:uid="{00000000-0005-0000-0000-00000C160000}"/>
    <cellStyle name="20% - Accent2 5 2 3 3 2" xfId="5665" xr:uid="{00000000-0005-0000-0000-00000D160000}"/>
    <cellStyle name="20% - Accent2 5 2 3 3 2 2" xfId="11315" xr:uid="{00000000-0005-0000-0000-00000E160000}"/>
    <cellStyle name="20% - Accent2 5 2 3 3 2 2 2" xfId="22616" xr:uid="{00000000-0005-0000-0000-00000F160000}"/>
    <cellStyle name="20% - Accent2 5 2 3 3 2 2 2 2" xfId="45218" xr:uid="{00000000-0005-0000-0000-000010160000}"/>
    <cellStyle name="20% - Accent2 5 2 3 3 2 2 3" xfId="33917" xr:uid="{00000000-0005-0000-0000-000011160000}"/>
    <cellStyle name="20% - Accent2 5 2 3 3 2 3" xfId="16966" xr:uid="{00000000-0005-0000-0000-000012160000}"/>
    <cellStyle name="20% - Accent2 5 2 3 3 2 3 2" xfId="39568" xr:uid="{00000000-0005-0000-0000-000013160000}"/>
    <cellStyle name="20% - Accent2 5 2 3 3 2 4" xfId="28267" xr:uid="{00000000-0005-0000-0000-000014160000}"/>
    <cellStyle name="20% - Accent2 5 2 3 3 3" xfId="8482" xr:uid="{00000000-0005-0000-0000-000015160000}"/>
    <cellStyle name="20% - Accent2 5 2 3 3 3 2" xfId="19783" xr:uid="{00000000-0005-0000-0000-000016160000}"/>
    <cellStyle name="20% - Accent2 5 2 3 3 3 2 2" xfId="42385" xr:uid="{00000000-0005-0000-0000-000017160000}"/>
    <cellStyle name="20% - Accent2 5 2 3 3 3 3" xfId="31084" xr:uid="{00000000-0005-0000-0000-000018160000}"/>
    <cellStyle name="20% - Accent2 5 2 3 3 4" xfId="14133" xr:uid="{00000000-0005-0000-0000-000019160000}"/>
    <cellStyle name="20% - Accent2 5 2 3 3 4 2" xfId="36735" xr:uid="{00000000-0005-0000-0000-00001A160000}"/>
    <cellStyle name="20% - Accent2 5 2 3 3 5" xfId="25434" xr:uid="{00000000-0005-0000-0000-00001B160000}"/>
    <cellStyle name="20% - Accent2 5 2 3 4" xfId="4431" xr:uid="{00000000-0005-0000-0000-00001C160000}"/>
    <cellStyle name="20% - Accent2 5 2 3 4 2" xfId="10081" xr:uid="{00000000-0005-0000-0000-00001D160000}"/>
    <cellStyle name="20% - Accent2 5 2 3 4 2 2" xfId="21382" xr:uid="{00000000-0005-0000-0000-00001E160000}"/>
    <cellStyle name="20% - Accent2 5 2 3 4 2 2 2" xfId="43984" xr:uid="{00000000-0005-0000-0000-00001F160000}"/>
    <cellStyle name="20% - Accent2 5 2 3 4 2 3" xfId="32683" xr:uid="{00000000-0005-0000-0000-000020160000}"/>
    <cellStyle name="20% - Accent2 5 2 3 4 3" xfId="15732" xr:uid="{00000000-0005-0000-0000-000021160000}"/>
    <cellStyle name="20% - Accent2 5 2 3 4 3 2" xfId="38334" xr:uid="{00000000-0005-0000-0000-000022160000}"/>
    <cellStyle name="20% - Accent2 5 2 3 4 4" xfId="27033" xr:uid="{00000000-0005-0000-0000-000023160000}"/>
    <cellStyle name="20% - Accent2 5 2 3 5" xfId="7228" xr:uid="{00000000-0005-0000-0000-000024160000}"/>
    <cellStyle name="20% - Accent2 5 2 3 5 2" xfId="18529" xr:uid="{00000000-0005-0000-0000-000025160000}"/>
    <cellStyle name="20% - Accent2 5 2 3 5 2 2" xfId="41131" xr:uid="{00000000-0005-0000-0000-000026160000}"/>
    <cellStyle name="20% - Accent2 5 2 3 5 3" xfId="29830" xr:uid="{00000000-0005-0000-0000-000027160000}"/>
    <cellStyle name="20% - Accent2 5 2 3 6" xfId="12879" xr:uid="{00000000-0005-0000-0000-000028160000}"/>
    <cellStyle name="20% - Accent2 5 2 3 6 2" xfId="35481" xr:uid="{00000000-0005-0000-0000-000029160000}"/>
    <cellStyle name="20% - Accent2 5 2 3 7" xfId="24180" xr:uid="{00000000-0005-0000-0000-00002A160000}"/>
    <cellStyle name="20% - Accent2 5 2 4" xfId="940" xr:uid="{00000000-0005-0000-0000-00002B160000}"/>
    <cellStyle name="20% - Accent2 5 2 4 2" xfId="3010" xr:uid="{00000000-0005-0000-0000-00002C160000}"/>
    <cellStyle name="20% - Accent2 5 2 4 2 2" xfId="5982" xr:uid="{00000000-0005-0000-0000-00002D160000}"/>
    <cellStyle name="20% - Accent2 5 2 4 2 2 2" xfId="11632" xr:uid="{00000000-0005-0000-0000-00002E160000}"/>
    <cellStyle name="20% - Accent2 5 2 4 2 2 2 2" xfId="22933" xr:uid="{00000000-0005-0000-0000-00002F160000}"/>
    <cellStyle name="20% - Accent2 5 2 4 2 2 2 2 2" xfId="45535" xr:uid="{00000000-0005-0000-0000-000030160000}"/>
    <cellStyle name="20% - Accent2 5 2 4 2 2 2 3" xfId="34234" xr:uid="{00000000-0005-0000-0000-000031160000}"/>
    <cellStyle name="20% - Accent2 5 2 4 2 2 3" xfId="17283" xr:uid="{00000000-0005-0000-0000-000032160000}"/>
    <cellStyle name="20% - Accent2 5 2 4 2 2 3 2" xfId="39885" xr:uid="{00000000-0005-0000-0000-000033160000}"/>
    <cellStyle name="20% - Accent2 5 2 4 2 2 4" xfId="28584" xr:uid="{00000000-0005-0000-0000-000034160000}"/>
    <cellStyle name="20% - Accent2 5 2 4 2 3" xfId="8800" xr:uid="{00000000-0005-0000-0000-000035160000}"/>
    <cellStyle name="20% - Accent2 5 2 4 2 3 2" xfId="20101" xr:uid="{00000000-0005-0000-0000-000036160000}"/>
    <cellStyle name="20% - Accent2 5 2 4 2 3 2 2" xfId="42703" xr:uid="{00000000-0005-0000-0000-000037160000}"/>
    <cellStyle name="20% - Accent2 5 2 4 2 3 3" xfId="31402" xr:uid="{00000000-0005-0000-0000-000038160000}"/>
    <cellStyle name="20% - Accent2 5 2 4 2 4" xfId="14451" xr:uid="{00000000-0005-0000-0000-000039160000}"/>
    <cellStyle name="20% - Accent2 5 2 4 2 4 2" xfId="37053" xr:uid="{00000000-0005-0000-0000-00003A160000}"/>
    <cellStyle name="20% - Accent2 5 2 4 2 5" xfId="25752" xr:uid="{00000000-0005-0000-0000-00003B160000}"/>
    <cellStyle name="20% - Accent2 5 2 4 3" xfId="4748" xr:uid="{00000000-0005-0000-0000-00003C160000}"/>
    <cellStyle name="20% - Accent2 5 2 4 3 2" xfId="10398" xr:uid="{00000000-0005-0000-0000-00003D160000}"/>
    <cellStyle name="20% - Accent2 5 2 4 3 2 2" xfId="21699" xr:uid="{00000000-0005-0000-0000-00003E160000}"/>
    <cellStyle name="20% - Accent2 5 2 4 3 2 2 2" xfId="44301" xr:uid="{00000000-0005-0000-0000-00003F160000}"/>
    <cellStyle name="20% - Accent2 5 2 4 3 2 3" xfId="33000" xr:uid="{00000000-0005-0000-0000-000040160000}"/>
    <cellStyle name="20% - Accent2 5 2 4 3 3" xfId="16049" xr:uid="{00000000-0005-0000-0000-000041160000}"/>
    <cellStyle name="20% - Accent2 5 2 4 3 3 2" xfId="38651" xr:uid="{00000000-0005-0000-0000-000042160000}"/>
    <cellStyle name="20% - Accent2 5 2 4 3 4" xfId="27350" xr:uid="{00000000-0005-0000-0000-000043160000}"/>
    <cellStyle name="20% - Accent2 5 2 4 4" xfId="6935" xr:uid="{00000000-0005-0000-0000-000044160000}"/>
    <cellStyle name="20% - Accent2 5 2 4 4 2" xfId="18236" xr:uid="{00000000-0005-0000-0000-000045160000}"/>
    <cellStyle name="20% - Accent2 5 2 4 4 2 2" xfId="40838" xr:uid="{00000000-0005-0000-0000-000046160000}"/>
    <cellStyle name="20% - Accent2 5 2 4 4 3" xfId="29537" xr:uid="{00000000-0005-0000-0000-000047160000}"/>
    <cellStyle name="20% - Accent2 5 2 4 5" xfId="12586" xr:uid="{00000000-0005-0000-0000-000048160000}"/>
    <cellStyle name="20% - Accent2 5 2 4 5 2" xfId="35188" xr:uid="{00000000-0005-0000-0000-000049160000}"/>
    <cellStyle name="20% - Accent2 5 2 4 6" xfId="23887" xr:uid="{00000000-0005-0000-0000-00004A160000}"/>
    <cellStyle name="20% - Accent2 5 2 5" xfId="1613" xr:uid="{00000000-0005-0000-0000-00004B160000}"/>
    <cellStyle name="20% - Accent2 5 2 5 2" xfId="3598" xr:uid="{00000000-0005-0000-0000-00004C160000}"/>
    <cellStyle name="20% - Accent2 5 2 5 2 2" xfId="9312" xr:uid="{00000000-0005-0000-0000-00004D160000}"/>
    <cellStyle name="20% - Accent2 5 2 5 2 2 2" xfId="20613" xr:uid="{00000000-0005-0000-0000-00004E160000}"/>
    <cellStyle name="20% - Accent2 5 2 5 2 2 2 2" xfId="43215" xr:uid="{00000000-0005-0000-0000-00004F160000}"/>
    <cellStyle name="20% - Accent2 5 2 5 2 2 3" xfId="31914" xr:uid="{00000000-0005-0000-0000-000050160000}"/>
    <cellStyle name="20% - Accent2 5 2 5 2 3" xfId="14963" xr:uid="{00000000-0005-0000-0000-000051160000}"/>
    <cellStyle name="20% - Accent2 5 2 5 2 3 2" xfId="37565" xr:uid="{00000000-0005-0000-0000-000052160000}"/>
    <cellStyle name="20% - Accent2 5 2 5 2 4" xfId="26264" xr:uid="{00000000-0005-0000-0000-000053160000}"/>
    <cellStyle name="20% - Accent2 5 2 5 3" xfId="5358" xr:uid="{00000000-0005-0000-0000-000054160000}"/>
    <cellStyle name="20% - Accent2 5 2 5 3 2" xfId="11008" xr:uid="{00000000-0005-0000-0000-000055160000}"/>
    <cellStyle name="20% - Accent2 5 2 5 3 2 2" xfId="22309" xr:uid="{00000000-0005-0000-0000-000056160000}"/>
    <cellStyle name="20% - Accent2 5 2 5 3 2 2 2" xfId="44911" xr:uid="{00000000-0005-0000-0000-000057160000}"/>
    <cellStyle name="20% - Accent2 5 2 5 3 2 3" xfId="33610" xr:uid="{00000000-0005-0000-0000-000058160000}"/>
    <cellStyle name="20% - Accent2 5 2 5 3 3" xfId="16659" xr:uid="{00000000-0005-0000-0000-000059160000}"/>
    <cellStyle name="20% - Accent2 5 2 5 3 3 2" xfId="39261" xr:uid="{00000000-0005-0000-0000-00005A160000}"/>
    <cellStyle name="20% - Accent2 5 2 5 3 4" xfId="27960" xr:uid="{00000000-0005-0000-0000-00005B160000}"/>
    <cellStyle name="20% - Accent2 5 2 5 4" xfId="7469" xr:uid="{00000000-0005-0000-0000-00005C160000}"/>
    <cellStyle name="20% - Accent2 5 2 5 4 2" xfId="18770" xr:uid="{00000000-0005-0000-0000-00005D160000}"/>
    <cellStyle name="20% - Accent2 5 2 5 4 2 2" xfId="41372" xr:uid="{00000000-0005-0000-0000-00005E160000}"/>
    <cellStyle name="20% - Accent2 5 2 5 4 3" xfId="30071" xr:uid="{00000000-0005-0000-0000-00005F160000}"/>
    <cellStyle name="20% - Accent2 5 2 5 5" xfId="13120" xr:uid="{00000000-0005-0000-0000-000060160000}"/>
    <cellStyle name="20% - Accent2 5 2 5 5 2" xfId="35722" xr:uid="{00000000-0005-0000-0000-000061160000}"/>
    <cellStyle name="20% - Accent2 5 2 5 6" xfId="24421" xr:uid="{00000000-0005-0000-0000-000062160000}"/>
    <cellStyle name="20% - Accent2 5 2 6" xfId="2337" xr:uid="{00000000-0005-0000-0000-000063160000}"/>
    <cellStyle name="20% - Accent2 5 2 6 2" xfId="8173" xr:uid="{00000000-0005-0000-0000-000064160000}"/>
    <cellStyle name="20% - Accent2 5 2 6 2 2" xfId="19474" xr:uid="{00000000-0005-0000-0000-000065160000}"/>
    <cellStyle name="20% - Accent2 5 2 6 2 2 2" xfId="42076" xr:uid="{00000000-0005-0000-0000-000066160000}"/>
    <cellStyle name="20% - Accent2 5 2 6 2 3" xfId="30775" xr:uid="{00000000-0005-0000-0000-000067160000}"/>
    <cellStyle name="20% - Accent2 5 2 6 3" xfId="13824" xr:uid="{00000000-0005-0000-0000-000068160000}"/>
    <cellStyle name="20% - Accent2 5 2 6 3 2" xfId="36426" xr:uid="{00000000-0005-0000-0000-000069160000}"/>
    <cellStyle name="20% - Accent2 5 2 6 4" xfId="25125" xr:uid="{00000000-0005-0000-0000-00006A160000}"/>
    <cellStyle name="20% - Accent2 5 2 7" xfId="4124" xr:uid="{00000000-0005-0000-0000-00006B160000}"/>
    <cellStyle name="20% - Accent2 5 2 7 2" xfId="9774" xr:uid="{00000000-0005-0000-0000-00006C160000}"/>
    <cellStyle name="20% - Accent2 5 2 7 2 2" xfId="21075" xr:uid="{00000000-0005-0000-0000-00006D160000}"/>
    <cellStyle name="20% - Accent2 5 2 7 2 2 2" xfId="43677" xr:uid="{00000000-0005-0000-0000-00006E160000}"/>
    <cellStyle name="20% - Accent2 5 2 7 2 3" xfId="32376" xr:uid="{00000000-0005-0000-0000-00006F160000}"/>
    <cellStyle name="20% - Accent2 5 2 7 3" xfId="15425" xr:uid="{00000000-0005-0000-0000-000070160000}"/>
    <cellStyle name="20% - Accent2 5 2 7 3 2" xfId="38027" xr:uid="{00000000-0005-0000-0000-000071160000}"/>
    <cellStyle name="20% - Accent2 5 2 7 4" xfId="26726" xr:uid="{00000000-0005-0000-0000-000072160000}"/>
    <cellStyle name="20% - Accent2 5 2 8" xfId="6575" xr:uid="{00000000-0005-0000-0000-000073160000}"/>
    <cellStyle name="20% - Accent2 5 2 8 2" xfId="17876" xr:uid="{00000000-0005-0000-0000-000074160000}"/>
    <cellStyle name="20% - Accent2 5 2 8 2 2" xfId="40478" xr:uid="{00000000-0005-0000-0000-000075160000}"/>
    <cellStyle name="20% - Accent2 5 2 8 3" xfId="29177" xr:uid="{00000000-0005-0000-0000-000076160000}"/>
    <cellStyle name="20% - Accent2 5 2 9" xfId="12226" xr:uid="{00000000-0005-0000-0000-000077160000}"/>
    <cellStyle name="20% - Accent2 5 2 9 2" xfId="34828" xr:uid="{00000000-0005-0000-0000-000078160000}"/>
    <cellStyle name="20% - Accent2 5 3" xfId="580" xr:uid="{00000000-0005-0000-0000-000079160000}"/>
    <cellStyle name="20% - Accent2 5 3 2" xfId="1293" xr:uid="{00000000-0005-0000-0000-00007A160000}"/>
    <cellStyle name="20% - Accent2 5 3 2 2" xfId="1618" xr:uid="{00000000-0005-0000-0000-00007B160000}"/>
    <cellStyle name="20% - Accent2 5 3 2 2 2" xfId="3362" xr:uid="{00000000-0005-0000-0000-00007C160000}"/>
    <cellStyle name="20% - Accent2 5 3 2 2 2 2" xfId="6334" xr:uid="{00000000-0005-0000-0000-00007D160000}"/>
    <cellStyle name="20% - Accent2 5 3 2 2 2 2 2" xfId="11984" xr:uid="{00000000-0005-0000-0000-00007E160000}"/>
    <cellStyle name="20% - Accent2 5 3 2 2 2 2 2 2" xfId="23285" xr:uid="{00000000-0005-0000-0000-00007F160000}"/>
    <cellStyle name="20% - Accent2 5 3 2 2 2 2 2 2 2" xfId="45887" xr:uid="{00000000-0005-0000-0000-000080160000}"/>
    <cellStyle name="20% - Accent2 5 3 2 2 2 2 2 3" xfId="34586" xr:uid="{00000000-0005-0000-0000-000081160000}"/>
    <cellStyle name="20% - Accent2 5 3 2 2 2 2 3" xfId="17635" xr:uid="{00000000-0005-0000-0000-000082160000}"/>
    <cellStyle name="20% - Accent2 5 3 2 2 2 2 3 2" xfId="40237" xr:uid="{00000000-0005-0000-0000-000083160000}"/>
    <cellStyle name="20% - Accent2 5 3 2 2 2 2 4" xfId="28936" xr:uid="{00000000-0005-0000-0000-000084160000}"/>
    <cellStyle name="20% - Accent2 5 3 2 2 2 3" xfId="9152" xr:uid="{00000000-0005-0000-0000-000085160000}"/>
    <cellStyle name="20% - Accent2 5 3 2 2 2 3 2" xfId="20453" xr:uid="{00000000-0005-0000-0000-000086160000}"/>
    <cellStyle name="20% - Accent2 5 3 2 2 2 3 2 2" xfId="43055" xr:uid="{00000000-0005-0000-0000-000087160000}"/>
    <cellStyle name="20% - Accent2 5 3 2 2 2 3 3" xfId="31754" xr:uid="{00000000-0005-0000-0000-000088160000}"/>
    <cellStyle name="20% - Accent2 5 3 2 2 2 4" xfId="14803" xr:uid="{00000000-0005-0000-0000-000089160000}"/>
    <cellStyle name="20% - Accent2 5 3 2 2 2 4 2" xfId="37405" xr:uid="{00000000-0005-0000-0000-00008A160000}"/>
    <cellStyle name="20% - Accent2 5 3 2 2 2 5" xfId="26104" xr:uid="{00000000-0005-0000-0000-00008B160000}"/>
    <cellStyle name="20% - Accent2 5 3 2 2 3" xfId="5100" xr:uid="{00000000-0005-0000-0000-00008C160000}"/>
    <cellStyle name="20% - Accent2 5 3 2 2 3 2" xfId="10750" xr:uid="{00000000-0005-0000-0000-00008D160000}"/>
    <cellStyle name="20% - Accent2 5 3 2 2 3 2 2" xfId="22051" xr:uid="{00000000-0005-0000-0000-00008E160000}"/>
    <cellStyle name="20% - Accent2 5 3 2 2 3 2 2 2" xfId="44653" xr:uid="{00000000-0005-0000-0000-00008F160000}"/>
    <cellStyle name="20% - Accent2 5 3 2 2 3 2 3" xfId="33352" xr:uid="{00000000-0005-0000-0000-000090160000}"/>
    <cellStyle name="20% - Accent2 5 3 2 2 3 3" xfId="16401" xr:uid="{00000000-0005-0000-0000-000091160000}"/>
    <cellStyle name="20% - Accent2 5 3 2 2 3 3 2" xfId="39003" xr:uid="{00000000-0005-0000-0000-000092160000}"/>
    <cellStyle name="20% - Accent2 5 3 2 2 3 4" xfId="27702" xr:uid="{00000000-0005-0000-0000-000093160000}"/>
    <cellStyle name="20% - Accent2 5 3 2 2 4" xfId="7474" xr:uid="{00000000-0005-0000-0000-000094160000}"/>
    <cellStyle name="20% - Accent2 5 3 2 2 4 2" xfId="18775" xr:uid="{00000000-0005-0000-0000-000095160000}"/>
    <cellStyle name="20% - Accent2 5 3 2 2 4 2 2" xfId="41377" xr:uid="{00000000-0005-0000-0000-000096160000}"/>
    <cellStyle name="20% - Accent2 5 3 2 2 4 3" xfId="30076" xr:uid="{00000000-0005-0000-0000-000097160000}"/>
    <cellStyle name="20% - Accent2 5 3 2 2 5" xfId="13125" xr:uid="{00000000-0005-0000-0000-000098160000}"/>
    <cellStyle name="20% - Accent2 5 3 2 2 5 2" xfId="35727" xr:uid="{00000000-0005-0000-0000-000099160000}"/>
    <cellStyle name="20% - Accent2 5 3 2 2 6" xfId="24426" xr:uid="{00000000-0005-0000-0000-00009A160000}"/>
    <cellStyle name="20% - Accent2 5 3 2 3" xfId="2691" xr:uid="{00000000-0005-0000-0000-00009B160000}"/>
    <cellStyle name="20% - Accent2 5 3 2 3 2" xfId="5710" xr:uid="{00000000-0005-0000-0000-00009C160000}"/>
    <cellStyle name="20% - Accent2 5 3 2 3 2 2" xfId="11360" xr:uid="{00000000-0005-0000-0000-00009D160000}"/>
    <cellStyle name="20% - Accent2 5 3 2 3 2 2 2" xfId="22661" xr:uid="{00000000-0005-0000-0000-00009E160000}"/>
    <cellStyle name="20% - Accent2 5 3 2 3 2 2 2 2" xfId="45263" xr:uid="{00000000-0005-0000-0000-00009F160000}"/>
    <cellStyle name="20% - Accent2 5 3 2 3 2 2 3" xfId="33962" xr:uid="{00000000-0005-0000-0000-0000A0160000}"/>
    <cellStyle name="20% - Accent2 5 3 2 3 2 3" xfId="17011" xr:uid="{00000000-0005-0000-0000-0000A1160000}"/>
    <cellStyle name="20% - Accent2 5 3 2 3 2 3 2" xfId="39613" xr:uid="{00000000-0005-0000-0000-0000A2160000}"/>
    <cellStyle name="20% - Accent2 5 3 2 3 2 4" xfId="28312" xr:uid="{00000000-0005-0000-0000-0000A3160000}"/>
    <cellStyle name="20% - Accent2 5 3 2 3 3" xfId="8527" xr:uid="{00000000-0005-0000-0000-0000A4160000}"/>
    <cellStyle name="20% - Accent2 5 3 2 3 3 2" xfId="19828" xr:uid="{00000000-0005-0000-0000-0000A5160000}"/>
    <cellStyle name="20% - Accent2 5 3 2 3 3 2 2" xfId="42430" xr:uid="{00000000-0005-0000-0000-0000A6160000}"/>
    <cellStyle name="20% - Accent2 5 3 2 3 3 3" xfId="31129" xr:uid="{00000000-0005-0000-0000-0000A7160000}"/>
    <cellStyle name="20% - Accent2 5 3 2 3 4" xfId="14178" xr:uid="{00000000-0005-0000-0000-0000A8160000}"/>
    <cellStyle name="20% - Accent2 5 3 2 3 4 2" xfId="36780" xr:uid="{00000000-0005-0000-0000-0000A9160000}"/>
    <cellStyle name="20% - Accent2 5 3 2 3 5" xfId="25479" xr:uid="{00000000-0005-0000-0000-0000AA160000}"/>
    <cellStyle name="20% - Accent2 5 3 2 4" xfId="4476" xr:uid="{00000000-0005-0000-0000-0000AB160000}"/>
    <cellStyle name="20% - Accent2 5 3 2 4 2" xfId="10126" xr:uid="{00000000-0005-0000-0000-0000AC160000}"/>
    <cellStyle name="20% - Accent2 5 3 2 4 2 2" xfId="21427" xr:uid="{00000000-0005-0000-0000-0000AD160000}"/>
    <cellStyle name="20% - Accent2 5 3 2 4 2 2 2" xfId="44029" xr:uid="{00000000-0005-0000-0000-0000AE160000}"/>
    <cellStyle name="20% - Accent2 5 3 2 4 2 3" xfId="32728" xr:uid="{00000000-0005-0000-0000-0000AF160000}"/>
    <cellStyle name="20% - Accent2 5 3 2 4 3" xfId="15777" xr:uid="{00000000-0005-0000-0000-0000B0160000}"/>
    <cellStyle name="20% - Accent2 5 3 2 4 3 2" xfId="38379" xr:uid="{00000000-0005-0000-0000-0000B1160000}"/>
    <cellStyle name="20% - Accent2 5 3 2 4 4" xfId="27078" xr:uid="{00000000-0005-0000-0000-0000B2160000}"/>
    <cellStyle name="20% - Accent2 5 3 2 5" xfId="7272" xr:uid="{00000000-0005-0000-0000-0000B3160000}"/>
    <cellStyle name="20% - Accent2 5 3 2 5 2" xfId="18573" xr:uid="{00000000-0005-0000-0000-0000B4160000}"/>
    <cellStyle name="20% - Accent2 5 3 2 5 2 2" xfId="41175" xr:uid="{00000000-0005-0000-0000-0000B5160000}"/>
    <cellStyle name="20% - Accent2 5 3 2 5 3" xfId="29874" xr:uid="{00000000-0005-0000-0000-0000B6160000}"/>
    <cellStyle name="20% - Accent2 5 3 2 6" xfId="12923" xr:uid="{00000000-0005-0000-0000-0000B7160000}"/>
    <cellStyle name="20% - Accent2 5 3 2 6 2" xfId="35525" xr:uid="{00000000-0005-0000-0000-0000B8160000}"/>
    <cellStyle name="20% - Accent2 5 3 2 7" xfId="24224" xr:uid="{00000000-0005-0000-0000-0000B9160000}"/>
    <cellStyle name="20% - Accent2 5 3 3" xfId="991" xr:uid="{00000000-0005-0000-0000-0000BA160000}"/>
    <cellStyle name="20% - Accent2 5 3 3 2" xfId="3054" xr:uid="{00000000-0005-0000-0000-0000BB160000}"/>
    <cellStyle name="20% - Accent2 5 3 3 2 2" xfId="6026" xr:uid="{00000000-0005-0000-0000-0000BC160000}"/>
    <cellStyle name="20% - Accent2 5 3 3 2 2 2" xfId="11676" xr:uid="{00000000-0005-0000-0000-0000BD160000}"/>
    <cellStyle name="20% - Accent2 5 3 3 2 2 2 2" xfId="22977" xr:uid="{00000000-0005-0000-0000-0000BE160000}"/>
    <cellStyle name="20% - Accent2 5 3 3 2 2 2 2 2" xfId="45579" xr:uid="{00000000-0005-0000-0000-0000BF160000}"/>
    <cellStyle name="20% - Accent2 5 3 3 2 2 2 3" xfId="34278" xr:uid="{00000000-0005-0000-0000-0000C0160000}"/>
    <cellStyle name="20% - Accent2 5 3 3 2 2 3" xfId="17327" xr:uid="{00000000-0005-0000-0000-0000C1160000}"/>
    <cellStyle name="20% - Accent2 5 3 3 2 2 3 2" xfId="39929" xr:uid="{00000000-0005-0000-0000-0000C2160000}"/>
    <cellStyle name="20% - Accent2 5 3 3 2 2 4" xfId="28628" xr:uid="{00000000-0005-0000-0000-0000C3160000}"/>
    <cellStyle name="20% - Accent2 5 3 3 2 3" xfId="8844" xr:uid="{00000000-0005-0000-0000-0000C4160000}"/>
    <cellStyle name="20% - Accent2 5 3 3 2 3 2" xfId="20145" xr:uid="{00000000-0005-0000-0000-0000C5160000}"/>
    <cellStyle name="20% - Accent2 5 3 3 2 3 2 2" xfId="42747" xr:uid="{00000000-0005-0000-0000-0000C6160000}"/>
    <cellStyle name="20% - Accent2 5 3 3 2 3 3" xfId="31446" xr:uid="{00000000-0005-0000-0000-0000C7160000}"/>
    <cellStyle name="20% - Accent2 5 3 3 2 4" xfId="14495" xr:uid="{00000000-0005-0000-0000-0000C8160000}"/>
    <cellStyle name="20% - Accent2 5 3 3 2 4 2" xfId="37097" xr:uid="{00000000-0005-0000-0000-0000C9160000}"/>
    <cellStyle name="20% - Accent2 5 3 3 2 5" xfId="25796" xr:uid="{00000000-0005-0000-0000-0000CA160000}"/>
    <cellStyle name="20% - Accent2 5 3 3 3" xfId="4792" xr:uid="{00000000-0005-0000-0000-0000CB160000}"/>
    <cellStyle name="20% - Accent2 5 3 3 3 2" xfId="10442" xr:uid="{00000000-0005-0000-0000-0000CC160000}"/>
    <cellStyle name="20% - Accent2 5 3 3 3 2 2" xfId="21743" xr:uid="{00000000-0005-0000-0000-0000CD160000}"/>
    <cellStyle name="20% - Accent2 5 3 3 3 2 2 2" xfId="44345" xr:uid="{00000000-0005-0000-0000-0000CE160000}"/>
    <cellStyle name="20% - Accent2 5 3 3 3 2 3" xfId="33044" xr:uid="{00000000-0005-0000-0000-0000CF160000}"/>
    <cellStyle name="20% - Accent2 5 3 3 3 3" xfId="16093" xr:uid="{00000000-0005-0000-0000-0000D0160000}"/>
    <cellStyle name="20% - Accent2 5 3 3 3 3 2" xfId="38695" xr:uid="{00000000-0005-0000-0000-0000D1160000}"/>
    <cellStyle name="20% - Accent2 5 3 3 3 4" xfId="27394" xr:uid="{00000000-0005-0000-0000-0000D2160000}"/>
    <cellStyle name="20% - Accent2 5 3 3 4" xfId="6979" xr:uid="{00000000-0005-0000-0000-0000D3160000}"/>
    <cellStyle name="20% - Accent2 5 3 3 4 2" xfId="18280" xr:uid="{00000000-0005-0000-0000-0000D4160000}"/>
    <cellStyle name="20% - Accent2 5 3 3 4 2 2" xfId="40882" xr:uid="{00000000-0005-0000-0000-0000D5160000}"/>
    <cellStyle name="20% - Accent2 5 3 3 4 3" xfId="29581" xr:uid="{00000000-0005-0000-0000-0000D6160000}"/>
    <cellStyle name="20% - Accent2 5 3 3 5" xfId="12630" xr:uid="{00000000-0005-0000-0000-0000D7160000}"/>
    <cellStyle name="20% - Accent2 5 3 3 5 2" xfId="35232" xr:uid="{00000000-0005-0000-0000-0000D8160000}"/>
    <cellStyle name="20% - Accent2 5 3 3 6" xfId="23931" xr:uid="{00000000-0005-0000-0000-0000D9160000}"/>
    <cellStyle name="20% - Accent2 5 3 4" xfId="1617" xr:uid="{00000000-0005-0000-0000-0000DA160000}"/>
    <cellStyle name="20% - Accent2 5 3 4 2" xfId="3600" xr:uid="{00000000-0005-0000-0000-0000DB160000}"/>
    <cellStyle name="20% - Accent2 5 3 4 2 2" xfId="9314" xr:uid="{00000000-0005-0000-0000-0000DC160000}"/>
    <cellStyle name="20% - Accent2 5 3 4 2 2 2" xfId="20615" xr:uid="{00000000-0005-0000-0000-0000DD160000}"/>
    <cellStyle name="20% - Accent2 5 3 4 2 2 2 2" xfId="43217" xr:uid="{00000000-0005-0000-0000-0000DE160000}"/>
    <cellStyle name="20% - Accent2 5 3 4 2 2 3" xfId="31916" xr:uid="{00000000-0005-0000-0000-0000DF160000}"/>
    <cellStyle name="20% - Accent2 5 3 4 2 3" xfId="14965" xr:uid="{00000000-0005-0000-0000-0000E0160000}"/>
    <cellStyle name="20% - Accent2 5 3 4 2 3 2" xfId="37567" xr:uid="{00000000-0005-0000-0000-0000E1160000}"/>
    <cellStyle name="20% - Accent2 5 3 4 2 4" xfId="26266" xr:uid="{00000000-0005-0000-0000-0000E2160000}"/>
    <cellStyle name="20% - Accent2 5 3 4 3" xfId="5402" xr:uid="{00000000-0005-0000-0000-0000E3160000}"/>
    <cellStyle name="20% - Accent2 5 3 4 3 2" xfId="11052" xr:uid="{00000000-0005-0000-0000-0000E4160000}"/>
    <cellStyle name="20% - Accent2 5 3 4 3 2 2" xfId="22353" xr:uid="{00000000-0005-0000-0000-0000E5160000}"/>
    <cellStyle name="20% - Accent2 5 3 4 3 2 2 2" xfId="44955" xr:uid="{00000000-0005-0000-0000-0000E6160000}"/>
    <cellStyle name="20% - Accent2 5 3 4 3 2 3" xfId="33654" xr:uid="{00000000-0005-0000-0000-0000E7160000}"/>
    <cellStyle name="20% - Accent2 5 3 4 3 3" xfId="16703" xr:uid="{00000000-0005-0000-0000-0000E8160000}"/>
    <cellStyle name="20% - Accent2 5 3 4 3 3 2" xfId="39305" xr:uid="{00000000-0005-0000-0000-0000E9160000}"/>
    <cellStyle name="20% - Accent2 5 3 4 3 4" xfId="28004" xr:uid="{00000000-0005-0000-0000-0000EA160000}"/>
    <cellStyle name="20% - Accent2 5 3 4 4" xfId="7473" xr:uid="{00000000-0005-0000-0000-0000EB160000}"/>
    <cellStyle name="20% - Accent2 5 3 4 4 2" xfId="18774" xr:uid="{00000000-0005-0000-0000-0000EC160000}"/>
    <cellStyle name="20% - Accent2 5 3 4 4 2 2" xfId="41376" xr:uid="{00000000-0005-0000-0000-0000ED160000}"/>
    <cellStyle name="20% - Accent2 5 3 4 4 3" xfId="30075" xr:uid="{00000000-0005-0000-0000-0000EE160000}"/>
    <cellStyle name="20% - Accent2 5 3 4 5" xfId="13124" xr:uid="{00000000-0005-0000-0000-0000EF160000}"/>
    <cellStyle name="20% - Accent2 5 3 4 5 2" xfId="35726" xr:uid="{00000000-0005-0000-0000-0000F0160000}"/>
    <cellStyle name="20% - Accent2 5 3 4 6" xfId="24425" xr:uid="{00000000-0005-0000-0000-0000F1160000}"/>
    <cellStyle name="20% - Accent2 5 3 5" xfId="2383" xr:uid="{00000000-0005-0000-0000-0000F2160000}"/>
    <cellStyle name="20% - Accent2 5 3 5 2" xfId="8219" xr:uid="{00000000-0005-0000-0000-0000F3160000}"/>
    <cellStyle name="20% - Accent2 5 3 5 2 2" xfId="19520" xr:uid="{00000000-0005-0000-0000-0000F4160000}"/>
    <cellStyle name="20% - Accent2 5 3 5 2 2 2" xfId="42122" xr:uid="{00000000-0005-0000-0000-0000F5160000}"/>
    <cellStyle name="20% - Accent2 5 3 5 2 3" xfId="30821" xr:uid="{00000000-0005-0000-0000-0000F6160000}"/>
    <cellStyle name="20% - Accent2 5 3 5 3" xfId="13870" xr:uid="{00000000-0005-0000-0000-0000F7160000}"/>
    <cellStyle name="20% - Accent2 5 3 5 3 2" xfId="36472" xr:uid="{00000000-0005-0000-0000-0000F8160000}"/>
    <cellStyle name="20% - Accent2 5 3 5 4" xfId="25171" xr:uid="{00000000-0005-0000-0000-0000F9160000}"/>
    <cellStyle name="20% - Accent2 5 3 6" xfId="4168" xr:uid="{00000000-0005-0000-0000-0000FA160000}"/>
    <cellStyle name="20% - Accent2 5 3 6 2" xfId="9818" xr:uid="{00000000-0005-0000-0000-0000FB160000}"/>
    <cellStyle name="20% - Accent2 5 3 6 2 2" xfId="21119" xr:uid="{00000000-0005-0000-0000-0000FC160000}"/>
    <cellStyle name="20% - Accent2 5 3 6 2 2 2" xfId="43721" xr:uid="{00000000-0005-0000-0000-0000FD160000}"/>
    <cellStyle name="20% - Accent2 5 3 6 2 3" xfId="32420" xr:uid="{00000000-0005-0000-0000-0000FE160000}"/>
    <cellStyle name="20% - Accent2 5 3 6 3" xfId="15469" xr:uid="{00000000-0005-0000-0000-0000FF160000}"/>
    <cellStyle name="20% - Accent2 5 3 6 3 2" xfId="38071" xr:uid="{00000000-0005-0000-0000-000000170000}"/>
    <cellStyle name="20% - Accent2 5 3 6 4" xfId="26770" xr:uid="{00000000-0005-0000-0000-000001170000}"/>
    <cellStyle name="20% - Accent2 5 3 7" xfId="6646" xr:uid="{00000000-0005-0000-0000-000002170000}"/>
    <cellStyle name="20% - Accent2 5 3 7 2" xfId="17947" xr:uid="{00000000-0005-0000-0000-000003170000}"/>
    <cellStyle name="20% - Accent2 5 3 7 2 2" xfId="40549" xr:uid="{00000000-0005-0000-0000-000004170000}"/>
    <cellStyle name="20% - Accent2 5 3 7 3" xfId="29248" xr:uid="{00000000-0005-0000-0000-000005170000}"/>
    <cellStyle name="20% - Accent2 5 3 8" xfId="12297" xr:uid="{00000000-0005-0000-0000-000006170000}"/>
    <cellStyle name="20% - Accent2 5 3 8 2" xfId="34899" xr:uid="{00000000-0005-0000-0000-000007170000}"/>
    <cellStyle name="20% - Accent2 5 3 9" xfId="23598" xr:uid="{00000000-0005-0000-0000-000008170000}"/>
    <cellStyle name="20% - Accent2 5 4" xfId="1153" xr:uid="{00000000-0005-0000-0000-000009170000}"/>
    <cellStyle name="20% - Accent2 5 4 2" xfId="1619" xr:uid="{00000000-0005-0000-0000-00000A170000}"/>
    <cellStyle name="20% - Accent2 5 4 2 2" xfId="3221" xr:uid="{00000000-0005-0000-0000-00000B170000}"/>
    <cellStyle name="20% - Accent2 5 4 2 2 2" xfId="6193" xr:uid="{00000000-0005-0000-0000-00000C170000}"/>
    <cellStyle name="20% - Accent2 5 4 2 2 2 2" xfId="11843" xr:uid="{00000000-0005-0000-0000-00000D170000}"/>
    <cellStyle name="20% - Accent2 5 4 2 2 2 2 2" xfId="23144" xr:uid="{00000000-0005-0000-0000-00000E170000}"/>
    <cellStyle name="20% - Accent2 5 4 2 2 2 2 2 2" xfId="45746" xr:uid="{00000000-0005-0000-0000-00000F170000}"/>
    <cellStyle name="20% - Accent2 5 4 2 2 2 2 3" xfId="34445" xr:uid="{00000000-0005-0000-0000-000010170000}"/>
    <cellStyle name="20% - Accent2 5 4 2 2 2 3" xfId="17494" xr:uid="{00000000-0005-0000-0000-000011170000}"/>
    <cellStyle name="20% - Accent2 5 4 2 2 2 3 2" xfId="40096" xr:uid="{00000000-0005-0000-0000-000012170000}"/>
    <cellStyle name="20% - Accent2 5 4 2 2 2 4" xfId="28795" xr:uid="{00000000-0005-0000-0000-000013170000}"/>
    <cellStyle name="20% - Accent2 5 4 2 2 3" xfId="9011" xr:uid="{00000000-0005-0000-0000-000014170000}"/>
    <cellStyle name="20% - Accent2 5 4 2 2 3 2" xfId="20312" xr:uid="{00000000-0005-0000-0000-000015170000}"/>
    <cellStyle name="20% - Accent2 5 4 2 2 3 2 2" xfId="42914" xr:uid="{00000000-0005-0000-0000-000016170000}"/>
    <cellStyle name="20% - Accent2 5 4 2 2 3 3" xfId="31613" xr:uid="{00000000-0005-0000-0000-000017170000}"/>
    <cellStyle name="20% - Accent2 5 4 2 2 4" xfId="14662" xr:uid="{00000000-0005-0000-0000-000018170000}"/>
    <cellStyle name="20% - Accent2 5 4 2 2 4 2" xfId="37264" xr:uid="{00000000-0005-0000-0000-000019170000}"/>
    <cellStyle name="20% - Accent2 5 4 2 2 5" xfId="25963" xr:uid="{00000000-0005-0000-0000-00001A170000}"/>
    <cellStyle name="20% - Accent2 5 4 2 3" xfId="4959" xr:uid="{00000000-0005-0000-0000-00001B170000}"/>
    <cellStyle name="20% - Accent2 5 4 2 3 2" xfId="10609" xr:uid="{00000000-0005-0000-0000-00001C170000}"/>
    <cellStyle name="20% - Accent2 5 4 2 3 2 2" xfId="21910" xr:uid="{00000000-0005-0000-0000-00001D170000}"/>
    <cellStyle name="20% - Accent2 5 4 2 3 2 2 2" xfId="44512" xr:uid="{00000000-0005-0000-0000-00001E170000}"/>
    <cellStyle name="20% - Accent2 5 4 2 3 2 3" xfId="33211" xr:uid="{00000000-0005-0000-0000-00001F170000}"/>
    <cellStyle name="20% - Accent2 5 4 2 3 3" xfId="16260" xr:uid="{00000000-0005-0000-0000-000020170000}"/>
    <cellStyle name="20% - Accent2 5 4 2 3 3 2" xfId="38862" xr:uid="{00000000-0005-0000-0000-000021170000}"/>
    <cellStyle name="20% - Accent2 5 4 2 3 4" xfId="27561" xr:uid="{00000000-0005-0000-0000-000022170000}"/>
    <cellStyle name="20% - Accent2 5 4 2 4" xfId="7475" xr:uid="{00000000-0005-0000-0000-000023170000}"/>
    <cellStyle name="20% - Accent2 5 4 2 4 2" xfId="18776" xr:uid="{00000000-0005-0000-0000-000024170000}"/>
    <cellStyle name="20% - Accent2 5 4 2 4 2 2" xfId="41378" xr:uid="{00000000-0005-0000-0000-000025170000}"/>
    <cellStyle name="20% - Accent2 5 4 2 4 3" xfId="30077" xr:uid="{00000000-0005-0000-0000-000026170000}"/>
    <cellStyle name="20% - Accent2 5 4 2 5" xfId="13126" xr:uid="{00000000-0005-0000-0000-000027170000}"/>
    <cellStyle name="20% - Accent2 5 4 2 5 2" xfId="35728" xr:uid="{00000000-0005-0000-0000-000028170000}"/>
    <cellStyle name="20% - Accent2 5 4 2 6" xfId="24427" xr:uid="{00000000-0005-0000-0000-000029170000}"/>
    <cellStyle name="20% - Accent2 5 4 3" xfId="2550" xr:uid="{00000000-0005-0000-0000-00002A170000}"/>
    <cellStyle name="20% - Accent2 5 4 3 2" xfId="5569" xr:uid="{00000000-0005-0000-0000-00002B170000}"/>
    <cellStyle name="20% - Accent2 5 4 3 2 2" xfId="11219" xr:uid="{00000000-0005-0000-0000-00002C170000}"/>
    <cellStyle name="20% - Accent2 5 4 3 2 2 2" xfId="22520" xr:uid="{00000000-0005-0000-0000-00002D170000}"/>
    <cellStyle name="20% - Accent2 5 4 3 2 2 2 2" xfId="45122" xr:uid="{00000000-0005-0000-0000-00002E170000}"/>
    <cellStyle name="20% - Accent2 5 4 3 2 2 3" xfId="33821" xr:uid="{00000000-0005-0000-0000-00002F170000}"/>
    <cellStyle name="20% - Accent2 5 4 3 2 3" xfId="16870" xr:uid="{00000000-0005-0000-0000-000030170000}"/>
    <cellStyle name="20% - Accent2 5 4 3 2 3 2" xfId="39472" xr:uid="{00000000-0005-0000-0000-000031170000}"/>
    <cellStyle name="20% - Accent2 5 4 3 2 4" xfId="28171" xr:uid="{00000000-0005-0000-0000-000032170000}"/>
    <cellStyle name="20% - Accent2 5 4 3 3" xfId="8386" xr:uid="{00000000-0005-0000-0000-000033170000}"/>
    <cellStyle name="20% - Accent2 5 4 3 3 2" xfId="19687" xr:uid="{00000000-0005-0000-0000-000034170000}"/>
    <cellStyle name="20% - Accent2 5 4 3 3 2 2" xfId="42289" xr:uid="{00000000-0005-0000-0000-000035170000}"/>
    <cellStyle name="20% - Accent2 5 4 3 3 3" xfId="30988" xr:uid="{00000000-0005-0000-0000-000036170000}"/>
    <cellStyle name="20% - Accent2 5 4 3 4" xfId="14037" xr:uid="{00000000-0005-0000-0000-000037170000}"/>
    <cellStyle name="20% - Accent2 5 4 3 4 2" xfId="36639" xr:uid="{00000000-0005-0000-0000-000038170000}"/>
    <cellStyle name="20% - Accent2 5 4 3 5" xfId="25338" xr:uid="{00000000-0005-0000-0000-000039170000}"/>
    <cellStyle name="20% - Accent2 5 4 4" xfId="4335" xr:uid="{00000000-0005-0000-0000-00003A170000}"/>
    <cellStyle name="20% - Accent2 5 4 4 2" xfId="9985" xr:uid="{00000000-0005-0000-0000-00003B170000}"/>
    <cellStyle name="20% - Accent2 5 4 4 2 2" xfId="21286" xr:uid="{00000000-0005-0000-0000-00003C170000}"/>
    <cellStyle name="20% - Accent2 5 4 4 2 2 2" xfId="43888" xr:uid="{00000000-0005-0000-0000-00003D170000}"/>
    <cellStyle name="20% - Accent2 5 4 4 2 3" xfId="32587" xr:uid="{00000000-0005-0000-0000-00003E170000}"/>
    <cellStyle name="20% - Accent2 5 4 4 3" xfId="15636" xr:uid="{00000000-0005-0000-0000-00003F170000}"/>
    <cellStyle name="20% - Accent2 5 4 4 3 2" xfId="38238" xr:uid="{00000000-0005-0000-0000-000040170000}"/>
    <cellStyle name="20% - Accent2 5 4 4 4" xfId="26937" xr:uid="{00000000-0005-0000-0000-000041170000}"/>
    <cellStyle name="20% - Accent2 5 4 5" xfId="7132" xr:uid="{00000000-0005-0000-0000-000042170000}"/>
    <cellStyle name="20% - Accent2 5 4 5 2" xfId="18433" xr:uid="{00000000-0005-0000-0000-000043170000}"/>
    <cellStyle name="20% - Accent2 5 4 5 2 2" xfId="41035" xr:uid="{00000000-0005-0000-0000-000044170000}"/>
    <cellStyle name="20% - Accent2 5 4 5 3" xfId="29734" xr:uid="{00000000-0005-0000-0000-000045170000}"/>
    <cellStyle name="20% - Accent2 5 4 6" xfId="12783" xr:uid="{00000000-0005-0000-0000-000046170000}"/>
    <cellStyle name="20% - Accent2 5 4 6 2" xfId="35385" xr:uid="{00000000-0005-0000-0000-000047170000}"/>
    <cellStyle name="20% - Accent2 5 4 7" xfId="24084" xr:uid="{00000000-0005-0000-0000-000048170000}"/>
    <cellStyle name="20% - Accent2 5 5" xfId="832" xr:uid="{00000000-0005-0000-0000-000049170000}"/>
    <cellStyle name="20% - Accent2 5 5 2" xfId="2914" xr:uid="{00000000-0005-0000-0000-00004A170000}"/>
    <cellStyle name="20% - Accent2 5 5 2 2" xfId="5886" xr:uid="{00000000-0005-0000-0000-00004B170000}"/>
    <cellStyle name="20% - Accent2 5 5 2 2 2" xfId="11536" xr:uid="{00000000-0005-0000-0000-00004C170000}"/>
    <cellStyle name="20% - Accent2 5 5 2 2 2 2" xfId="22837" xr:uid="{00000000-0005-0000-0000-00004D170000}"/>
    <cellStyle name="20% - Accent2 5 5 2 2 2 2 2" xfId="45439" xr:uid="{00000000-0005-0000-0000-00004E170000}"/>
    <cellStyle name="20% - Accent2 5 5 2 2 2 3" xfId="34138" xr:uid="{00000000-0005-0000-0000-00004F170000}"/>
    <cellStyle name="20% - Accent2 5 5 2 2 3" xfId="17187" xr:uid="{00000000-0005-0000-0000-000050170000}"/>
    <cellStyle name="20% - Accent2 5 5 2 2 3 2" xfId="39789" xr:uid="{00000000-0005-0000-0000-000051170000}"/>
    <cellStyle name="20% - Accent2 5 5 2 2 4" xfId="28488" xr:uid="{00000000-0005-0000-0000-000052170000}"/>
    <cellStyle name="20% - Accent2 5 5 2 3" xfId="8704" xr:uid="{00000000-0005-0000-0000-000053170000}"/>
    <cellStyle name="20% - Accent2 5 5 2 3 2" xfId="20005" xr:uid="{00000000-0005-0000-0000-000054170000}"/>
    <cellStyle name="20% - Accent2 5 5 2 3 2 2" xfId="42607" xr:uid="{00000000-0005-0000-0000-000055170000}"/>
    <cellStyle name="20% - Accent2 5 5 2 3 3" xfId="31306" xr:uid="{00000000-0005-0000-0000-000056170000}"/>
    <cellStyle name="20% - Accent2 5 5 2 4" xfId="14355" xr:uid="{00000000-0005-0000-0000-000057170000}"/>
    <cellStyle name="20% - Accent2 5 5 2 4 2" xfId="36957" xr:uid="{00000000-0005-0000-0000-000058170000}"/>
    <cellStyle name="20% - Accent2 5 5 2 5" xfId="25656" xr:uid="{00000000-0005-0000-0000-000059170000}"/>
    <cellStyle name="20% - Accent2 5 5 3" xfId="4652" xr:uid="{00000000-0005-0000-0000-00005A170000}"/>
    <cellStyle name="20% - Accent2 5 5 3 2" xfId="10302" xr:uid="{00000000-0005-0000-0000-00005B170000}"/>
    <cellStyle name="20% - Accent2 5 5 3 2 2" xfId="21603" xr:uid="{00000000-0005-0000-0000-00005C170000}"/>
    <cellStyle name="20% - Accent2 5 5 3 2 2 2" xfId="44205" xr:uid="{00000000-0005-0000-0000-00005D170000}"/>
    <cellStyle name="20% - Accent2 5 5 3 2 3" xfId="32904" xr:uid="{00000000-0005-0000-0000-00005E170000}"/>
    <cellStyle name="20% - Accent2 5 5 3 3" xfId="15953" xr:uid="{00000000-0005-0000-0000-00005F170000}"/>
    <cellStyle name="20% - Accent2 5 5 3 3 2" xfId="38555" xr:uid="{00000000-0005-0000-0000-000060170000}"/>
    <cellStyle name="20% - Accent2 5 5 3 4" xfId="27254" xr:uid="{00000000-0005-0000-0000-000061170000}"/>
    <cellStyle name="20% - Accent2 5 5 4" xfId="6837" xr:uid="{00000000-0005-0000-0000-000062170000}"/>
    <cellStyle name="20% - Accent2 5 5 4 2" xfId="18138" xr:uid="{00000000-0005-0000-0000-000063170000}"/>
    <cellStyle name="20% - Accent2 5 5 4 2 2" xfId="40740" xr:uid="{00000000-0005-0000-0000-000064170000}"/>
    <cellStyle name="20% - Accent2 5 5 4 3" xfId="29439" xr:uid="{00000000-0005-0000-0000-000065170000}"/>
    <cellStyle name="20% - Accent2 5 5 5" xfId="12488" xr:uid="{00000000-0005-0000-0000-000066170000}"/>
    <cellStyle name="20% - Accent2 5 5 5 2" xfId="35090" xr:uid="{00000000-0005-0000-0000-000067170000}"/>
    <cellStyle name="20% - Accent2 5 5 6" xfId="23789" xr:uid="{00000000-0005-0000-0000-000068170000}"/>
    <cellStyle name="20% - Accent2 5 6" xfId="1612" xr:uid="{00000000-0005-0000-0000-000069170000}"/>
    <cellStyle name="20% - Accent2 5 6 2" xfId="3597" xr:uid="{00000000-0005-0000-0000-00006A170000}"/>
    <cellStyle name="20% - Accent2 5 6 2 2" xfId="9311" xr:uid="{00000000-0005-0000-0000-00006B170000}"/>
    <cellStyle name="20% - Accent2 5 6 2 2 2" xfId="20612" xr:uid="{00000000-0005-0000-0000-00006C170000}"/>
    <cellStyle name="20% - Accent2 5 6 2 2 2 2" xfId="43214" xr:uid="{00000000-0005-0000-0000-00006D170000}"/>
    <cellStyle name="20% - Accent2 5 6 2 2 3" xfId="31913" xr:uid="{00000000-0005-0000-0000-00006E170000}"/>
    <cellStyle name="20% - Accent2 5 6 2 3" xfId="14962" xr:uid="{00000000-0005-0000-0000-00006F170000}"/>
    <cellStyle name="20% - Accent2 5 6 2 3 2" xfId="37564" xr:uid="{00000000-0005-0000-0000-000070170000}"/>
    <cellStyle name="20% - Accent2 5 6 2 4" xfId="26263" xr:uid="{00000000-0005-0000-0000-000071170000}"/>
    <cellStyle name="20% - Accent2 5 6 3" xfId="5262" xr:uid="{00000000-0005-0000-0000-000072170000}"/>
    <cellStyle name="20% - Accent2 5 6 3 2" xfId="10912" xr:uid="{00000000-0005-0000-0000-000073170000}"/>
    <cellStyle name="20% - Accent2 5 6 3 2 2" xfId="22213" xr:uid="{00000000-0005-0000-0000-000074170000}"/>
    <cellStyle name="20% - Accent2 5 6 3 2 2 2" xfId="44815" xr:uid="{00000000-0005-0000-0000-000075170000}"/>
    <cellStyle name="20% - Accent2 5 6 3 2 3" xfId="33514" xr:uid="{00000000-0005-0000-0000-000076170000}"/>
    <cellStyle name="20% - Accent2 5 6 3 3" xfId="16563" xr:uid="{00000000-0005-0000-0000-000077170000}"/>
    <cellStyle name="20% - Accent2 5 6 3 3 2" xfId="39165" xr:uid="{00000000-0005-0000-0000-000078170000}"/>
    <cellStyle name="20% - Accent2 5 6 3 4" xfId="27864" xr:uid="{00000000-0005-0000-0000-000079170000}"/>
    <cellStyle name="20% - Accent2 5 6 4" xfId="7468" xr:uid="{00000000-0005-0000-0000-00007A170000}"/>
    <cellStyle name="20% - Accent2 5 6 4 2" xfId="18769" xr:uid="{00000000-0005-0000-0000-00007B170000}"/>
    <cellStyle name="20% - Accent2 5 6 4 2 2" xfId="41371" xr:uid="{00000000-0005-0000-0000-00007C170000}"/>
    <cellStyle name="20% - Accent2 5 6 4 3" xfId="30070" xr:uid="{00000000-0005-0000-0000-00007D170000}"/>
    <cellStyle name="20% - Accent2 5 6 5" xfId="13119" xr:uid="{00000000-0005-0000-0000-00007E170000}"/>
    <cellStyle name="20% - Accent2 5 6 5 2" xfId="35721" xr:uid="{00000000-0005-0000-0000-00007F170000}"/>
    <cellStyle name="20% - Accent2 5 6 6" xfId="24420" xr:uid="{00000000-0005-0000-0000-000080170000}"/>
    <cellStyle name="20% - Accent2 5 7" xfId="2235" xr:uid="{00000000-0005-0000-0000-000081170000}"/>
    <cellStyle name="20% - Accent2 5 7 2" xfId="8076" xr:uid="{00000000-0005-0000-0000-000082170000}"/>
    <cellStyle name="20% - Accent2 5 7 2 2" xfId="19377" xr:uid="{00000000-0005-0000-0000-000083170000}"/>
    <cellStyle name="20% - Accent2 5 7 2 2 2" xfId="41979" xr:uid="{00000000-0005-0000-0000-000084170000}"/>
    <cellStyle name="20% - Accent2 5 7 2 3" xfId="30678" xr:uid="{00000000-0005-0000-0000-000085170000}"/>
    <cellStyle name="20% - Accent2 5 7 3" xfId="13727" xr:uid="{00000000-0005-0000-0000-000086170000}"/>
    <cellStyle name="20% - Accent2 5 7 3 2" xfId="36329" xr:uid="{00000000-0005-0000-0000-000087170000}"/>
    <cellStyle name="20% - Accent2 5 7 4" xfId="25028" xr:uid="{00000000-0005-0000-0000-000088170000}"/>
    <cellStyle name="20% - Accent2 5 8" xfId="4028" xr:uid="{00000000-0005-0000-0000-000089170000}"/>
    <cellStyle name="20% - Accent2 5 8 2" xfId="9678" xr:uid="{00000000-0005-0000-0000-00008A170000}"/>
    <cellStyle name="20% - Accent2 5 8 2 2" xfId="20979" xr:uid="{00000000-0005-0000-0000-00008B170000}"/>
    <cellStyle name="20% - Accent2 5 8 2 2 2" xfId="43581" xr:uid="{00000000-0005-0000-0000-00008C170000}"/>
    <cellStyle name="20% - Accent2 5 8 2 3" xfId="32280" xr:uid="{00000000-0005-0000-0000-00008D170000}"/>
    <cellStyle name="20% - Accent2 5 8 3" xfId="15329" xr:uid="{00000000-0005-0000-0000-00008E170000}"/>
    <cellStyle name="20% - Accent2 5 8 3 2" xfId="37931" xr:uid="{00000000-0005-0000-0000-00008F170000}"/>
    <cellStyle name="20% - Accent2 5 8 4" xfId="26630" xr:uid="{00000000-0005-0000-0000-000090170000}"/>
    <cellStyle name="20% - Accent2 5 9" xfId="6479" xr:uid="{00000000-0005-0000-0000-000091170000}"/>
    <cellStyle name="20% - Accent2 5 9 2" xfId="17780" xr:uid="{00000000-0005-0000-0000-000092170000}"/>
    <cellStyle name="20% - Accent2 5 9 2 2" xfId="40382" xr:uid="{00000000-0005-0000-0000-000093170000}"/>
    <cellStyle name="20% - Accent2 5 9 3" xfId="29081" xr:uid="{00000000-0005-0000-0000-000094170000}"/>
    <cellStyle name="20% - Accent2 6" xfId="286" xr:uid="{00000000-0005-0000-0000-000095170000}"/>
    <cellStyle name="20% - Accent2 7" xfId="390" xr:uid="{00000000-0005-0000-0000-000096170000}"/>
    <cellStyle name="20% - Accent2 7 10" xfId="23485" xr:uid="{00000000-0005-0000-0000-000097170000}"/>
    <cellStyle name="20% - Accent2 7 2" xfId="635" xr:uid="{00000000-0005-0000-0000-000098170000}"/>
    <cellStyle name="20% - Accent2 7 2 2" xfId="1345" xr:uid="{00000000-0005-0000-0000-000099170000}"/>
    <cellStyle name="20% - Accent2 7 2 2 2" xfId="1622" xr:uid="{00000000-0005-0000-0000-00009A170000}"/>
    <cellStyle name="20% - Accent2 7 2 2 2 2" xfId="3414" xr:uid="{00000000-0005-0000-0000-00009B170000}"/>
    <cellStyle name="20% - Accent2 7 2 2 2 2 2" xfId="6386" xr:uid="{00000000-0005-0000-0000-00009C170000}"/>
    <cellStyle name="20% - Accent2 7 2 2 2 2 2 2" xfId="12036" xr:uid="{00000000-0005-0000-0000-00009D170000}"/>
    <cellStyle name="20% - Accent2 7 2 2 2 2 2 2 2" xfId="23337" xr:uid="{00000000-0005-0000-0000-00009E170000}"/>
    <cellStyle name="20% - Accent2 7 2 2 2 2 2 2 2 2" xfId="45939" xr:uid="{00000000-0005-0000-0000-00009F170000}"/>
    <cellStyle name="20% - Accent2 7 2 2 2 2 2 2 3" xfId="34638" xr:uid="{00000000-0005-0000-0000-0000A0170000}"/>
    <cellStyle name="20% - Accent2 7 2 2 2 2 2 3" xfId="17687" xr:uid="{00000000-0005-0000-0000-0000A1170000}"/>
    <cellStyle name="20% - Accent2 7 2 2 2 2 2 3 2" xfId="40289" xr:uid="{00000000-0005-0000-0000-0000A2170000}"/>
    <cellStyle name="20% - Accent2 7 2 2 2 2 2 4" xfId="28988" xr:uid="{00000000-0005-0000-0000-0000A3170000}"/>
    <cellStyle name="20% - Accent2 7 2 2 2 2 3" xfId="9204" xr:uid="{00000000-0005-0000-0000-0000A4170000}"/>
    <cellStyle name="20% - Accent2 7 2 2 2 2 3 2" xfId="20505" xr:uid="{00000000-0005-0000-0000-0000A5170000}"/>
    <cellStyle name="20% - Accent2 7 2 2 2 2 3 2 2" xfId="43107" xr:uid="{00000000-0005-0000-0000-0000A6170000}"/>
    <cellStyle name="20% - Accent2 7 2 2 2 2 3 3" xfId="31806" xr:uid="{00000000-0005-0000-0000-0000A7170000}"/>
    <cellStyle name="20% - Accent2 7 2 2 2 2 4" xfId="14855" xr:uid="{00000000-0005-0000-0000-0000A8170000}"/>
    <cellStyle name="20% - Accent2 7 2 2 2 2 4 2" xfId="37457" xr:uid="{00000000-0005-0000-0000-0000A9170000}"/>
    <cellStyle name="20% - Accent2 7 2 2 2 2 5" xfId="26156" xr:uid="{00000000-0005-0000-0000-0000AA170000}"/>
    <cellStyle name="20% - Accent2 7 2 2 2 3" xfId="5152" xr:uid="{00000000-0005-0000-0000-0000AB170000}"/>
    <cellStyle name="20% - Accent2 7 2 2 2 3 2" xfId="10802" xr:uid="{00000000-0005-0000-0000-0000AC170000}"/>
    <cellStyle name="20% - Accent2 7 2 2 2 3 2 2" xfId="22103" xr:uid="{00000000-0005-0000-0000-0000AD170000}"/>
    <cellStyle name="20% - Accent2 7 2 2 2 3 2 2 2" xfId="44705" xr:uid="{00000000-0005-0000-0000-0000AE170000}"/>
    <cellStyle name="20% - Accent2 7 2 2 2 3 2 3" xfId="33404" xr:uid="{00000000-0005-0000-0000-0000AF170000}"/>
    <cellStyle name="20% - Accent2 7 2 2 2 3 3" xfId="16453" xr:uid="{00000000-0005-0000-0000-0000B0170000}"/>
    <cellStyle name="20% - Accent2 7 2 2 2 3 3 2" xfId="39055" xr:uid="{00000000-0005-0000-0000-0000B1170000}"/>
    <cellStyle name="20% - Accent2 7 2 2 2 3 4" xfId="27754" xr:uid="{00000000-0005-0000-0000-0000B2170000}"/>
    <cellStyle name="20% - Accent2 7 2 2 2 4" xfId="7478" xr:uid="{00000000-0005-0000-0000-0000B3170000}"/>
    <cellStyle name="20% - Accent2 7 2 2 2 4 2" xfId="18779" xr:uid="{00000000-0005-0000-0000-0000B4170000}"/>
    <cellStyle name="20% - Accent2 7 2 2 2 4 2 2" xfId="41381" xr:uid="{00000000-0005-0000-0000-0000B5170000}"/>
    <cellStyle name="20% - Accent2 7 2 2 2 4 3" xfId="30080" xr:uid="{00000000-0005-0000-0000-0000B6170000}"/>
    <cellStyle name="20% - Accent2 7 2 2 2 5" xfId="13129" xr:uid="{00000000-0005-0000-0000-0000B7170000}"/>
    <cellStyle name="20% - Accent2 7 2 2 2 5 2" xfId="35731" xr:uid="{00000000-0005-0000-0000-0000B8170000}"/>
    <cellStyle name="20% - Accent2 7 2 2 2 6" xfId="24430" xr:uid="{00000000-0005-0000-0000-0000B9170000}"/>
    <cellStyle name="20% - Accent2 7 2 2 3" xfId="2743" xr:uid="{00000000-0005-0000-0000-0000BA170000}"/>
    <cellStyle name="20% - Accent2 7 2 2 3 2" xfId="5762" xr:uid="{00000000-0005-0000-0000-0000BB170000}"/>
    <cellStyle name="20% - Accent2 7 2 2 3 2 2" xfId="11412" xr:uid="{00000000-0005-0000-0000-0000BC170000}"/>
    <cellStyle name="20% - Accent2 7 2 2 3 2 2 2" xfId="22713" xr:uid="{00000000-0005-0000-0000-0000BD170000}"/>
    <cellStyle name="20% - Accent2 7 2 2 3 2 2 2 2" xfId="45315" xr:uid="{00000000-0005-0000-0000-0000BE170000}"/>
    <cellStyle name="20% - Accent2 7 2 2 3 2 2 3" xfId="34014" xr:uid="{00000000-0005-0000-0000-0000BF170000}"/>
    <cellStyle name="20% - Accent2 7 2 2 3 2 3" xfId="17063" xr:uid="{00000000-0005-0000-0000-0000C0170000}"/>
    <cellStyle name="20% - Accent2 7 2 2 3 2 3 2" xfId="39665" xr:uid="{00000000-0005-0000-0000-0000C1170000}"/>
    <cellStyle name="20% - Accent2 7 2 2 3 2 4" xfId="28364" xr:uid="{00000000-0005-0000-0000-0000C2170000}"/>
    <cellStyle name="20% - Accent2 7 2 2 3 3" xfId="8579" xr:uid="{00000000-0005-0000-0000-0000C3170000}"/>
    <cellStyle name="20% - Accent2 7 2 2 3 3 2" xfId="19880" xr:uid="{00000000-0005-0000-0000-0000C4170000}"/>
    <cellStyle name="20% - Accent2 7 2 2 3 3 2 2" xfId="42482" xr:uid="{00000000-0005-0000-0000-0000C5170000}"/>
    <cellStyle name="20% - Accent2 7 2 2 3 3 3" xfId="31181" xr:uid="{00000000-0005-0000-0000-0000C6170000}"/>
    <cellStyle name="20% - Accent2 7 2 2 3 4" xfId="14230" xr:uid="{00000000-0005-0000-0000-0000C7170000}"/>
    <cellStyle name="20% - Accent2 7 2 2 3 4 2" xfId="36832" xr:uid="{00000000-0005-0000-0000-0000C8170000}"/>
    <cellStyle name="20% - Accent2 7 2 2 3 5" xfId="25531" xr:uid="{00000000-0005-0000-0000-0000C9170000}"/>
    <cellStyle name="20% - Accent2 7 2 2 4" xfId="4528" xr:uid="{00000000-0005-0000-0000-0000CA170000}"/>
    <cellStyle name="20% - Accent2 7 2 2 4 2" xfId="10178" xr:uid="{00000000-0005-0000-0000-0000CB170000}"/>
    <cellStyle name="20% - Accent2 7 2 2 4 2 2" xfId="21479" xr:uid="{00000000-0005-0000-0000-0000CC170000}"/>
    <cellStyle name="20% - Accent2 7 2 2 4 2 2 2" xfId="44081" xr:uid="{00000000-0005-0000-0000-0000CD170000}"/>
    <cellStyle name="20% - Accent2 7 2 2 4 2 3" xfId="32780" xr:uid="{00000000-0005-0000-0000-0000CE170000}"/>
    <cellStyle name="20% - Accent2 7 2 2 4 3" xfId="15829" xr:uid="{00000000-0005-0000-0000-0000CF170000}"/>
    <cellStyle name="20% - Accent2 7 2 2 4 3 2" xfId="38431" xr:uid="{00000000-0005-0000-0000-0000D0170000}"/>
    <cellStyle name="20% - Accent2 7 2 2 4 4" xfId="27130" xr:uid="{00000000-0005-0000-0000-0000D1170000}"/>
    <cellStyle name="20% - Accent2 7 2 2 5" xfId="7324" xr:uid="{00000000-0005-0000-0000-0000D2170000}"/>
    <cellStyle name="20% - Accent2 7 2 2 5 2" xfId="18625" xr:uid="{00000000-0005-0000-0000-0000D3170000}"/>
    <cellStyle name="20% - Accent2 7 2 2 5 2 2" xfId="41227" xr:uid="{00000000-0005-0000-0000-0000D4170000}"/>
    <cellStyle name="20% - Accent2 7 2 2 5 3" xfId="29926" xr:uid="{00000000-0005-0000-0000-0000D5170000}"/>
    <cellStyle name="20% - Accent2 7 2 2 6" xfId="12975" xr:uid="{00000000-0005-0000-0000-0000D6170000}"/>
    <cellStyle name="20% - Accent2 7 2 2 6 2" xfId="35577" xr:uid="{00000000-0005-0000-0000-0000D7170000}"/>
    <cellStyle name="20% - Accent2 7 2 2 7" xfId="24276" xr:uid="{00000000-0005-0000-0000-0000D8170000}"/>
    <cellStyle name="20% - Accent2 7 2 3" xfId="1043" xr:uid="{00000000-0005-0000-0000-0000D9170000}"/>
    <cellStyle name="20% - Accent2 7 2 3 2" xfId="3106" xr:uid="{00000000-0005-0000-0000-0000DA170000}"/>
    <cellStyle name="20% - Accent2 7 2 3 2 2" xfId="6078" xr:uid="{00000000-0005-0000-0000-0000DB170000}"/>
    <cellStyle name="20% - Accent2 7 2 3 2 2 2" xfId="11728" xr:uid="{00000000-0005-0000-0000-0000DC170000}"/>
    <cellStyle name="20% - Accent2 7 2 3 2 2 2 2" xfId="23029" xr:uid="{00000000-0005-0000-0000-0000DD170000}"/>
    <cellStyle name="20% - Accent2 7 2 3 2 2 2 2 2" xfId="45631" xr:uid="{00000000-0005-0000-0000-0000DE170000}"/>
    <cellStyle name="20% - Accent2 7 2 3 2 2 2 3" xfId="34330" xr:uid="{00000000-0005-0000-0000-0000DF170000}"/>
    <cellStyle name="20% - Accent2 7 2 3 2 2 3" xfId="17379" xr:uid="{00000000-0005-0000-0000-0000E0170000}"/>
    <cellStyle name="20% - Accent2 7 2 3 2 2 3 2" xfId="39981" xr:uid="{00000000-0005-0000-0000-0000E1170000}"/>
    <cellStyle name="20% - Accent2 7 2 3 2 2 4" xfId="28680" xr:uid="{00000000-0005-0000-0000-0000E2170000}"/>
    <cellStyle name="20% - Accent2 7 2 3 2 3" xfId="8896" xr:uid="{00000000-0005-0000-0000-0000E3170000}"/>
    <cellStyle name="20% - Accent2 7 2 3 2 3 2" xfId="20197" xr:uid="{00000000-0005-0000-0000-0000E4170000}"/>
    <cellStyle name="20% - Accent2 7 2 3 2 3 2 2" xfId="42799" xr:uid="{00000000-0005-0000-0000-0000E5170000}"/>
    <cellStyle name="20% - Accent2 7 2 3 2 3 3" xfId="31498" xr:uid="{00000000-0005-0000-0000-0000E6170000}"/>
    <cellStyle name="20% - Accent2 7 2 3 2 4" xfId="14547" xr:uid="{00000000-0005-0000-0000-0000E7170000}"/>
    <cellStyle name="20% - Accent2 7 2 3 2 4 2" xfId="37149" xr:uid="{00000000-0005-0000-0000-0000E8170000}"/>
    <cellStyle name="20% - Accent2 7 2 3 2 5" xfId="25848" xr:uid="{00000000-0005-0000-0000-0000E9170000}"/>
    <cellStyle name="20% - Accent2 7 2 3 3" xfId="4844" xr:uid="{00000000-0005-0000-0000-0000EA170000}"/>
    <cellStyle name="20% - Accent2 7 2 3 3 2" xfId="10494" xr:uid="{00000000-0005-0000-0000-0000EB170000}"/>
    <cellStyle name="20% - Accent2 7 2 3 3 2 2" xfId="21795" xr:uid="{00000000-0005-0000-0000-0000EC170000}"/>
    <cellStyle name="20% - Accent2 7 2 3 3 2 2 2" xfId="44397" xr:uid="{00000000-0005-0000-0000-0000ED170000}"/>
    <cellStyle name="20% - Accent2 7 2 3 3 2 3" xfId="33096" xr:uid="{00000000-0005-0000-0000-0000EE170000}"/>
    <cellStyle name="20% - Accent2 7 2 3 3 3" xfId="16145" xr:uid="{00000000-0005-0000-0000-0000EF170000}"/>
    <cellStyle name="20% - Accent2 7 2 3 3 3 2" xfId="38747" xr:uid="{00000000-0005-0000-0000-0000F0170000}"/>
    <cellStyle name="20% - Accent2 7 2 3 3 4" xfId="27446" xr:uid="{00000000-0005-0000-0000-0000F1170000}"/>
    <cellStyle name="20% - Accent2 7 2 3 4" xfId="7031" xr:uid="{00000000-0005-0000-0000-0000F2170000}"/>
    <cellStyle name="20% - Accent2 7 2 3 4 2" xfId="18332" xr:uid="{00000000-0005-0000-0000-0000F3170000}"/>
    <cellStyle name="20% - Accent2 7 2 3 4 2 2" xfId="40934" xr:uid="{00000000-0005-0000-0000-0000F4170000}"/>
    <cellStyle name="20% - Accent2 7 2 3 4 3" xfId="29633" xr:uid="{00000000-0005-0000-0000-0000F5170000}"/>
    <cellStyle name="20% - Accent2 7 2 3 5" xfId="12682" xr:uid="{00000000-0005-0000-0000-0000F6170000}"/>
    <cellStyle name="20% - Accent2 7 2 3 5 2" xfId="35284" xr:uid="{00000000-0005-0000-0000-0000F7170000}"/>
    <cellStyle name="20% - Accent2 7 2 3 6" xfId="23983" xr:uid="{00000000-0005-0000-0000-0000F8170000}"/>
    <cellStyle name="20% - Accent2 7 2 4" xfId="1621" xr:uid="{00000000-0005-0000-0000-0000F9170000}"/>
    <cellStyle name="20% - Accent2 7 2 4 2" xfId="3602" xr:uid="{00000000-0005-0000-0000-0000FA170000}"/>
    <cellStyle name="20% - Accent2 7 2 4 2 2" xfId="9316" xr:uid="{00000000-0005-0000-0000-0000FB170000}"/>
    <cellStyle name="20% - Accent2 7 2 4 2 2 2" xfId="20617" xr:uid="{00000000-0005-0000-0000-0000FC170000}"/>
    <cellStyle name="20% - Accent2 7 2 4 2 2 2 2" xfId="43219" xr:uid="{00000000-0005-0000-0000-0000FD170000}"/>
    <cellStyle name="20% - Accent2 7 2 4 2 2 3" xfId="31918" xr:uid="{00000000-0005-0000-0000-0000FE170000}"/>
    <cellStyle name="20% - Accent2 7 2 4 2 3" xfId="14967" xr:uid="{00000000-0005-0000-0000-0000FF170000}"/>
    <cellStyle name="20% - Accent2 7 2 4 2 3 2" xfId="37569" xr:uid="{00000000-0005-0000-0000-000000180000}"/>
    <cellStyle name="20% - Accent2 7 2 4 2 4" xfId="26268" xr:uid="{00000000-0005-0000-0000-000001180000}"/>
    <cellStyle name="20% - Accent2 7 2 4 3" xfId="5454" xr:uid="{00000000-0005-0000-0000-000002180000}"/>
    <cellStyle name="20% - Accent2 7 2 4 3 2" xfId="11104" xr:uid="{00000000-0005-0000-0000-000003180000}"/>
    <cellStyle name="20% - Accent2 7 2 4 3 2 2" xfId="22405" xr:uid="{00000000-0005-0000-0000-000004180000}"/>
    <cellStyle name="20% - Accent2 7 2 4 3 2 2 2" xfId="45007" xr:uid="{00000000-0005-0000-0000-000005180000}"/>
    <cellStyle name="20% - Accent2 7 2 4 3 2 3" xfId="33706" xr:uid="{00000000-0005-0000-0000-000006180000}"/>
    <cellStyle name="20% - Accent2 7 2 4 3 3" xfId="16755" xr:uid="{00000000-0005-0000-0000-000007180000}"/>
    <cellStyle name="20% - Accent2 7 2 4 3 3 2" xfId="39357" xr:uid="{00000000-0005-0000-0000-000008180000}"/>
    <cellStyle name="20% - Accent2 7 2 4 3 4" xfId="28056" xr:uid="{00000000-0005-0000-0000-000009180000}"/>
    <cellStyle name="20% - Accent2 7 2 4 4" xfId="7477" xr:uid="{00000000-0005-0000-0000-00000A180000}"/>
    <cellStyle name="20% - Accent2 7 2 4 4 2" xfId="18778" xr:uid="{00000000-0005-0000-0000-00000B180000}"/>
    <cellStyle name="20% - Accent2 7 2 4 4 2 2" xfId="41380" xr:uid="{00000000-0005-0000-0000-00000C180000}"/>
    <cellStyle name="20% - Accent2 7 2 4 4 3" xfId="30079" xr:uid="{00000000-0005-0000-0000-00000D180000}"/>
    <cellStyle name="20% - Accent2 7 2 4 5" xfId="13128" xr:uid="{00000000-0005-0000-0000-00000E180000}"/>
    <cellStyle name="20% - Accent2 7 2 4 5 2" xfId="35730" xr:uid="{00000000-0005-0000-0000-00000F180000}"/>
    <cellStyle name="20% - Accent2 7 2 4 6" xfId="24429" xr:uid="{00000000-0005-0000-0000-000010180000}"/>
    <cellStyle name="20% - Accent2 7 2 5" xfId="2435" xr:uid="{00000000-0005-0000-0000-000011180000}"/>
    <cellStyle name="20% - Accent2 7 2 5 2" xfId="8271" xr:uid="{00000000-0005-0000-0000-000012180000}"/>
    <cellStyle name="20% - Accent2 7 2 5 2 2" xfId="19572" xr:uid="{00000000-0005-0000-0000-000013180000}"/>
    <cellStyle name="20% - Accent2 7 2 5 2 2 2" xfId="42174" xr:uid="{00000000-0005-0000-0000-000014180000}"/>
    <cellStyle name="20% - Accent2 7 2 5 2 3" xfId="30873" xr:uid="{00000000-0005-0000-0000-000015180000}"/>
    <cellStyle name="20% - Accent2 7 2 5 3" xfId="13922" xr:uid="{00000000-0005-0000-0000-000016180000}"/>
    <cellStyle name="20% - Accent2 7 2 5 3 2" xfId="36524" xr:uid="{00000000-0005-0000-0000-000017180000}"/>
    <cellStyle name="20% - Accent2 7 2 5 4" xfId="25223" xr:uid="{00000000-0005-0000-0000-000018180000}"/>
    <cellStyle name="20% - Accent2 7 2 6" xfId="4220" xr:uid="{00000000-0005-0000-0000-000019180000}"/>
    <cellStyle name="20% - Accent2 7 2 6 2" xfId="9870" xr:uid="{00000000-0005-0000-0000-00001A180000}"/>
    <cellStyle name="20% - Accent2 7 2 6 2 2" xfId="21171" xr:uid="{00000000-0005-0000-0000-00001B180000}"/>
    <cellStyle name="20% - Accent2 7 2 6 2 2 2" xfId="43773" xr:uid="{00000000-0005-0000-0000-00001C180000}"/>
    <cellStyle name="20% - Accent2 7 2 6 2 3" xfId="32472" xr:uid="{00000000-0005-0000-0000-00001D180000}"/>
    <cellStyle name="20% - Accent2 7 2 6 3" xfId="15521" xr:uid="{00000000-0005-0000-0000-00001E180000}"/>
    <cellStyle name="20% - Accent2 7 2 6 3 2" xfId="38123" xr:uid="{00000000-0005-0000-0000-00001F180000}"/>
    <cellStyle name="20% - Accent2 7 2 6 4" xfId="26822" xr:uid="{00000000-0005-0000-0000-000020180000}"/>
    <cellStyle name="20% - Accent2 7 2 7" xfId="6700" xr:uid="{00000000-0005-0000-0000-000021180000}"/>
    <cellStyle name="20% - Accent2 7 2 7 2" xfId="18001" xr:uid="{00000000-0005-0000-0000-000022180000}"/>
    <cellStyle name="20% - Accent2 7 2 7 2 2" xfId="40603" xr:uid="{00000000-0005-0000-0000-000023180000}"/>
    <cellStyle name="20% - Accent2 7 2 7 3" xfId="29302" xr:uid="{00000000-0005-0000-0000-000024180000}"/>
    <cellStyle name="20% - Accent2 7 2 8" xfId="12351" xr:uid="{00000000-0005-0000-0000-000025180000}"/>
    <cellStyle name="20% - Accent2 7 2 8 2" xfId="34953" xr:uid="{00000000-0005-0000-0000-000026180000}"/>
    <cellStyle name="20% - Accent2 7 2 9" xfId="23652" xr:uid="{00000000-0005-0000-0000-000027180000}"/>
    <cellStyle name="20% - Accent2 7 3" xfId="1207" xr:uid="{00000000-0005-0000-0000-000028180000}"/>
    <cellStyle name="20% - Accent2 7 3 2" xfId="1623" xr:uid="{00000000-0005-0000-0000-000029180000}"/>
    <cellStyle name="20% - Accent2 7 3 2 2" xfId="3275" xr:uid="{00000000-0005-0000-0000-00002A180000}"/>
    <cellStyle name="20% - Accent2 7 3 2 2 2" xfId="6247" xr:uid="{00000000-0005-0000-0000-00002B180000}"/>
    <cellStyle name="20% - Accent2 7 3 2 2 2 2" xfId="11897" xr:uid="{00000000-0005-0000-0000-00002C180000}"/>
    <cellStyle name="20% - Accent2 7 3 2 2 2 2 2" xfId="23198" xr:uid="{00000000-0005-0000-0000-00002D180000}"/>
    <cellStyle name="20% - Accent2 7 3 2 2 2 2 2 2" xfId="45800" xr:uid="{00000000-0005-0000-0000-00002E180000}"/>
    <cellStyle name="20% - Accent2 7 3 2 2 2 2 3" xfId="34499" xr:uid="{00000000-0005-0000-0000-00002F180000}"/>
    <cellStyle name="20% - Accent2 7 3 2 2 2 3" xfId="17548" xr:uid="{00000000-0005-0000-0000-000030180000}"/>
    <cellStyle name="20% - Accent2 7 3 2 2 2 3 2" xfId="40150" xr:uid="{00000000-0005-0000-0000-000031180000}"/>
    <cellStyle name="20% - Accent2 7 3 2 2 2 4" xfId="28849" xr:uid="{00000000-0005-0000-0000-000032180000}"/>
    <cellStyle name="20% - Accent2 7 3 2 2 3" xfId="9065" xr:uid="{00000000-0005-0000-0000-000033180000}"/>
    <cellStyle name="20% - Accent2 7 3 2 2 3 2" xfId="20366" xr:uid="{00000000-0005-0000-0000-000034180000}"/>
    <cellStyle name="20% - Accent2 7 3 2 2 3 2 2" xfId="42968" xr:uid="{00000000-0005-0000-0000-000035180000}"/>
    <cellStyle name="20% - Accent2 7 3 2 2 3 3" xfId="31667" xr:uid="{00000000-0005-0000-0000-000036180000}"/>
    <cellStyle name="20% - Accent2 7 3 2 2 4" xfId="14716" xr:uid="{00000000-0005-0000-0000-000037180000}"/>
    <cellStyle name="20% - Accent2 7 3 2 2 4 2" xfId="37318" xr:uid="{00000000-0005-0000-0000-000038180000}"/>
    <cellStyle name="20% - Accent2 7 3 2 2 5" xfId="26017" xr:uid="{00000000-0005-0000-0000-000039180000}"/>
    <cellStyle name="20% - Accent2 7 3 2 3" xfId="5013" xr:uid="{00000000-0005-0000-0000-00003A180000}"/>
    <cellStyle name="20% - Accent2 7 3 2 3 2" xfId="10663" xr:uid="{00000000-0005-0000-0000-00003B180000}"/>
    <cellStyle name="20% - Accent2 7 3 2 3 2 2" xfId="21964" xr:uid="{00000000-0005-0000-0000-00003C180000}"/>
    <cellStyle name="20% - Accent2 7 3 2 3 2 2 2" xfId="44566" xr:uid="{00000000-0005-0000-0000-00003D180000}"/>
    <cellStyle name="20% - Accent2 7 3 2 3 2 3" xfId="33265" xr:uid="{00000000-0005-0000-0000-00003E180000}"/>
    <cellStyle name="20% - Accent2 7 3 2 3 3" xfId="16314" xr:uid="{00000000-0005-0000-0000-00003F180000}"/>
    <cellStyle name="20% - Accent2 7 3 2 3 3 2" xfId="38916" xr:uid="{00000000-0005-0000-0000-000040180000}"/>
    <cellStyle name="20% - Accent2 7 3 2 3 4" xfId="27615" xr:uid="{00000000-0005-0000-0000-000041180000}"/>
    <cellStyle name="20% - Accent2 7 3 2 4" xfId="7479" xr:uid="{00000000-0005-0000-0000-000042180000}"/>
    <cellStyle name="20% - Accent2 7 3 2 4 2" xfId="18780" xr:uid="{00000000-0005-0000-0000-000043180000}"/>
    <cellStyle name="20% - Accent2 7 3 2 4 2 2" xfId="41382" xr:uid="{00000000-0005-0000-0000-000044180000}"/>
    <cellStyle name="20% - Accent2 7 3 2 4 3" xfId="30081" xr:uid="{00000000-0005-0000-0000-000045180000}"/>
    <cellStyle name="20% - Accent2 7 3 2 5" xfId="13130" xr:uid="{00000000-0005-0000-0000-000046180000}"/>
    <cellStyle name="20% - Accent2 7 3 2 5 2" xfId="35732" xr:uid="{00000000-0005-0000-0000-000047180000}"/>
    <cellStyle name="20% - Accent2 7 3 2 6" xfId="24431" xr:uid="{00000000-0005-0000-0000-000048180000}"/>
    <cellStyle name="20% - Accent2 7 3 3" xfId="2604" xr:uid="{00000000-0005-0000-0000-000049180000}"/>
    <cellStyle name="20% - Accent2 7 3 3 2" xfId="5623" xr:uid="{00000000-0005-0000-0000-00004A180000}"/>
    <cellStyle name="20% - Accent2 7 3 3 2 2" xfId="11273" xr:uid="{00000000-0005-0000-0000-00004B180000}"/>
    <cellStyle name="20% - Accent2 7 3 3 2 2 2" xfId="22574" xr:uid="{00000000-0005-0000-0000-00004C180000}"/>
    <cellStyle name="20% - Accent2 7 3 3 2 2 2 2" xfId="45176" xr:uid="{00000000-0005-0000-0000-00004D180000}"/>
    <cellStyle name="20% - Accent2 7 3 3 2 2 3" xfId="33875" xr:uid="{00000000-0005-0000-0000-00004E180000}"/>
    <cellStyle name="20% - Accent2 7 3 3 2 3" xfId="16924" xr:uid="{00000000-0005-0000-0000-00004F180000}"/>
    <cellStyle name="20% - Accent2 7 3 3 2 3 2" xfId="39526" xr:uid="{00000000-0005-0000-0000-000050180000}"/>
    <cellStyle name="20% - Accent2 7 3 3 2 4" xfId="28225" xr:uid="{00000000-0005-0000-0000-000051180000}"/>
    <cellStyle name="20% - Accent2 7 3 3 3" xfId="8440" xr:uid="{00000000-0005-0000-0000-000052180000}"/>
    <cellStyle name="20% - Accent2 7 3 3 3 2" xfId="19741" xr:uid="{00000000-0005-0000-0000-000053180000}"/>
    <cellStyle name="20% - Accent2 7 3 3 3 2 2" xfId="42343" xr:uid="{00000000-0005-0000-0000-000054180000}"/>
    <cellStyle name="20% - Accent2 7 3 3 3 3" xfId="31042" xr:uid="{00000000-0005-0000-0000-000055180000}"/>
    <cellStyle name="20% - Accent2 7 3 3 4" xfId="14091" xr:uid="{00000000-0005-0000-0000-000056180000}"/>
    <cellStyle name="20% - Accent2 7 3 3 4 2" xfId="36693" xr:uid="{00000000-0005-0000-0000-000057180000}"/>
    <cellStyle name="20% - Accent2 7 3 3 5" xfId="25392" xr:uid="{00000000-0005-0000-0000-000058180000}"/>
    <cellStyle name="20% - Accent2 7 3 4" xfId="4389" xr:uid="{00000000-0005-0000-0000-000059180000}"/>
    <cellStyle name="20% - Accent2 7 3 4 2" xfId="10039" xr:uid="{00000000-0005-0000-0000-00005A180000}"/>
    <cellStyle name="20% - Accent2 7 3 4 2 2" xfId="21340" xr:uid="{00000000-0005-0000-0000-00005B180000}"/>
    <cellStyle name="20% - Accent2 7 3 4 2 2 2" xfId="43942" xr:uid="{00000000-0005-0000-0000-00005C180000}"/>
    <cellStyle name="20% - Accent2 7 3 4 2 3" xfId="32641" xr:uid="{00000000-0005-0000-0000-00005D180000}"/>
    <cellStyle name="20% - Accent2 7 3 4 3" xfId="15690" xr:uid="{00000000-0005-0000-0000-00005E180000}"/>
    <cellStyle name="20% - Accent2 7 3 4 3 2" xfId="38292" xr:uid="{00000000-0005-0000-0000-00005F180000}"/>
    <cellStyle name="20% - Accent2 7 3 4 4" xfId="26991" xr:uid="{00000000-0005-0000-0000-000060180000}"/>
    <cellStyle name="20% - Accent2 7 3 5" xfId="7186" xr:uid="{00000000-0005-0000-0000-000061180000}"/>
    <cellStyle name="20% - Accent2 7 3 5 2" xfId="18487" xr:uid="{00000000-0005-0000-0000-000062180000}"/>
    <cellStyle name="20% - Accent2 7 3 5 2 2" xfId="41089" xr:uid="{00000000-0005-0000-0000-000063180000}"/>
    <cellStyle name="20% - Accent2 7 3 5 3" xfId="29788" xr:uid="{00000000-0005-0000-0000-000064180000}"/>
    <cellStyle name="20% - Accent2 7 3 6" xfId="12837" xr:uid="{00000000-0005-0000-0000-000065180000}"/>
    <cellStyle name="20% - Accent2 7 3 6 2" xfId="35439" xr:uid="{00000000-0005-0000-0000-000066180000}"/>
    <cellStyle name="20% - Accent2 7 3 7" xfId="24138" xr:uid="{00000000-0005-0000-0000-000067180000}"/>
    <cellStyle name="20% - Accent2 7 4" xfId="898" xr:uid="{00000000-0005-0000-0000-000068180000}"/>
    <cellStyle name="20% - Accent2 7 4 2" xfId="2968" xr:uid="{00000000-0005-0000-0000-000069180000}"/>
    <cellStyle name="20% - Accent2 7 4 2 2" xfId="5940" xr:uid="{00000000-0005-0000-0000-00006A180000}"/>
    <cellStyle name="20% - Accent2 7 4 2 2 2" xfId="11590" xr:uid="{00000000-0005-0000-0000-00006B180000}"/>
    <cellStyle name="20% - Accent2 7 4 2 2 2 2" xfId="22891" xr:uid="{00000000-0005-0000-0000-00006C180000}"/>
    <cellStyle name="20% - Accent2 7 4 2 2 2 2 2" xfId="45493" xr:uid="{00000000-0005-0000-0000-00006D180000}"/>
    <cellStyle name="20% - Accent2 7 4 2 2 2 3" xfId="34192" xr:uid="{00000000-0005-0000-0000-00006E180000}"/>
    <cellStyle name="20% - Accent2 7 4 2 2 3" xfId="17241" xr:uid="{00000000-0005-0000-0000-00006F180000}"/>
    <cellStyle name="20% - Accent2 7 4 2 2 3 2" xfId="39843" xr:uid="{00000000-0005-0000-0000-000070180000}"/>
    <cellStyle name="20% - Accent2 7 4 2 2 4" xfId="28542" xr:uid="{00000000-0005-0000-0000-000071180000}"/>
    <cellStyle name="20% - Accent2 7 4 2 3" xfId="8758" xr:uid="{00000000-0005-0000-0000-000072180000}"/>
    <cellStyle name="20% - Accent2 7 4 2 3 2" xfId="20059" xr:uid="{00000000-0005-0000-0000-000073180000}"/>
    <cellStyle name="20% - Accent2 7 4 2 3 2 2" xfId="42661" xr:uid="{00000000-0005-0000-0000-000074180000}"/>
    <cellStyle name="20% - Accent2 7 4 2 3 3" xfId="31360" xr:uid="{00000000-0005-0000-0000-000075180000}"/>
    <cellStyle name="20% - Accent2 7 4 2 4" xfId="14409" xr:uid="{00000000-0005-0000-0000-000076180000}"/>
    <cellStyle name="20% - Accent2 7 4 2 4 2" xfId="37011" xr:uid="{00000000-0005-0000-0000-000077180000}"/>
    <cellStyle name="20% - Accent2 7 4 2 5" xfId="25710" xr:uid="{00000000-0005-0000-0000-000078180000}"/>
    <cellStyle name="20% - Accent2 7 4 3" xfId="4706" xr:uid="{00000000-0005-0000-0000-000079180000}"/>
    <cellStyle name="20% - Accent2 7 4 3 2" xfId="10356" xr:uid="{00000000-0005-0000-0000-00007A180000}"/>
    <cellStyle name="20% - Accent2 7 4 3 2 2" xfId="21657" xr:uid="{00000000-0005-0000-0000-00007B180000}"/>
    <cellStyle name="20% - Accent2 7 4 3 2 2 2" xfId="44259" xr:uid="{00000000-0005-0000-0000-00007C180000}"/>
    <cellStyle name="20% - Accent2 7 4 3 2 3" xfId="32958" xr:uid="{00000000-0005-0000-0000-00007D180000}"/>
    <cellStyle name="20% - Accent2 7 4 3 3" xfId="16007" xr:uid="{00000000-0005-0000-0000-00007E180000}"/>
    <cellStyle name="20% - Accent2 7 4 3 3 2" xfId="38609" xr:uid="{00000000-0005-0000-0000-00007F180000}"/>
    <cellStyle name="20% - Accent2 7 4 3 4" xfId="27308" xr:uid="{00000000-0005-0000-0000-000080180000}"/>
    <cellStyle name="20% - Accent2 7 4 4" xfId="6893" xr:uid="{00000000-0005-0000-0000-000081180000}"/>
    <cellStyle name="20% - Accent2 7 4 4 2" xfId="18194" xr:uid="{00000000-0005-0000-0000-000082180000}"/>
    <cellStyle name="20% - Accent2 7 4 4 2 2" xfId="40796" xr:uid="{00000000-0005-0000-0000-000083180000}"/>
    <cellStyle name="20% - Accent2 7 4 4 3" xfId="29495" xr:uid="{00000000-0005-0000-0000-000084180000}"/>
    <cellStyle name="20% - Accent2 7 4 5" xfId="12544" xr:uid="{00000000-0005-0000-0000-000085180000}"/>
    <cellStyle name="20% - Accent2 7 4 5 2" xfId="35146" xr:uid="{00000000-0005-0000-0000-000086180000}"/>
    <cellStyle name="20% - Accent2 7 4 6" xfId="23845" xr:uid="{00000000-0005-0000-0000-000087180000}"/>
    <cellStyle name="20% - Accent2 7 5" xfId="1620" xr:uid="{00000000-0005-0000-0000-000088180000}"/>
    <cellStyle name="20% - Accent2 7 5 2" xfId="3601" xr:uid="{00000000-0005-0000-0000-000089180000}"/>
    <cellStyle name="20% - Accent2 7 5 2 2" xfId="9315" xr:uid="{00000000-0005-0000-0000-00008A180000}"/>
    <cellStyle name="20% - Accent2 7 5 2 2 2" xfId="20616" xr:uid="{00000000-0005-0000-0000-00008B180000}"/>
    <cellStyle name="20% - Accent2 7 5 2 2 2 2" xfId="43218" xr:uid="{00000000-0005-0000-0000-00008C180000}"/>
    <cellStyle name="20% - Accent2 7 5 2 2 3" xfId="31917" xr:uid="{00000000-0005-0000-0000-00008D180000}"/>
    <cellStyle name="20% - Accent2 7 5 2 3" xfId="14966" xr:uid="{00000000-0005-0000-0000-00008E180000}"/>
    <cellStyle name="20% - Accent2 7 5 2 3 2" xfId="37568" xr:uid="{00000000-0005-0000-0000-00008F180000}"/>
    <cellStyle name="20% - Accent2 7 5 2 4" xfId="26267" xr:uid="{00000000-0005-0000-0000-000090180000}"/>
    <cellStyle name="20% - Accent2 7 5 3" xfId="5316" xr:uid="{00000000-0005-0000-0000-000091180000}"/>
    <cellStyle name="20% - Accent2 7 5 3 2" xfId="10966" xr:uid="{00000000-0005-0000-0000-000092180000}"/>
    <cellStyle name="20% - Accent2 7 5 3 2 2" xfId="22267" xr:uid="{00000000-0005-0000-0000-000093180000}"/>
    <cellStyle name="20% - Accent2 7 5 3 2 2 2" xfId="44869" xr:uid="{00000000-0005-0000-0000-000094180000}"/>
    <cellStyle name="20% - Accent2 7 5 3 2 3" xfId="33568" xr:uid="{00000000-0005-0000-0000-000095180000}"/>
    <cellStyle name="20% - Accent2 7 5 3 3" xfId="16617" xr:uid="{00000000-0005-0000-0000-000096180000}"/>
    <cellStyle name="20% - Accent2 7 5 3 3 2" xfId="39219" xr:uid="{00000000-0005-0000-0000-000097180000}"/>
    <cellStyle name="20% - Accent2 7 5 3 4" xfId="27918" xr:uid="{00000000-0005-0000-0000-000098180000}"/>
    <cellStyle name="20% - Accent2 7 5 4" xfId="7476" xr:uid="{00000000-0005-0000-0000-000099180000}"/>
    <cellStyle name="20% - Accent2 7 5 4 2" xfId="18777" xr:uid="{00000000-0005-0000-0000-00009A180000}"/>
    <cellStyle name="20% - Accent2 7 5 4 2 2" xfId="41379" xr:uid="{00000000-0005-0000-0000-00009B180000}"/>
    <cellStyle name="20% - Accent2 7 5 4 3" xfId="30078" xr:uid="{00000000-0005-0000-0000-00009C180000}"/>
    <cellStyle name="20% - Accent2 7 5 5" xfId="13127" xr:uid="{00000000-0005-0000-0000-00009D180000}"/>
    <cellStyle name="20% - Accent2 7 5 5 2" xfId="35729" xr:uid="{00000000-0005-0000-0000-00009E180000}"/>
    <cellStyle name="20% - Accent2 7 5 6" xfId="24428" xr:uid="{00000000-0005-0000-0000-00009F180000}"/>
    <cellStyle name="20% - Accent2 7 6" xfId="2295" xr:uid="{00000000-0005-0000-0000-0000A0180000}"/>
    <cellStyle name="20% - Accent2 7 6 2" xfId="8131" xr:uid="{00000000-0005-0000-0000-0000A1180000}"/>
    <cellStyle name="20% - Accent2 7 6 2 2" xfId="19432" xr:uid="{00000000-0005-0000-0000-0000A2180000}"/>
    <cellStyle name="20% - Accent2 7 6 2 2 2" xfId="42034" xr:uid="{00000000-0005-0000-0000-0000A3180000}"/>
    <cellStyle name="20% - Accent2 7 6 2 3" xfId="30733" xr:uid="{00000000-0005-0000-0000-0000A4180000}"/>
    <cellStyle name="20% - Accent2 7 6 3" xfId="13782" xr:uid="{00000000-0005-0000-0000-0000A5180000}"/>
    <cellStyle name="20% - Accent2 7 6 3 2" xfId="36384" xr:uid="{00000000-0005-0000-0000-0000A6180000}"/>
    <cellStyle name="20% - Accent2 7 6 4" xfId="25083" xr:uid="{00000000-0005-0000-0000-0000A7180000}"/>
    <cellStyle name="20% - Accent2 7 7" xfId="4082" xr:uid="{00000000-0005-0000-0000-0000A8180000}"/>
    <cellStyle name="20% - Accent2 7 7 2" xfId="9732" xr:uid="{00000000-0005-0000-0000-0000A9180000}"/>
    <cellStyle name="20% - Accent2 7 7 2 2" xfId="21033" xr:uid="{00000000-0005-0000-0000-0000AA180000}"/>
    <cellStyle name="20% - Accent2 7 7 2 2 2" xfId="43635" xr:uid="{00000000-0005-0000-0000-0000AB180000}"/>
    <cellStyle name="20% - Accent2 7 7 2 3" xfId="32334" xr:uid="{00000000-0005-0000-0000-0000AC180000}"/>
    <cellStyle name="20% - Accent2 7 7 3" xfId="15383" xr:uid="{00000000-0005-0000-0000-0000AD180000}"/>
    <cellStyle name="20% - Accent2 7 7 3 2" xfId="37985" xr:uid="{00000000-0005-0000-0000-0000AE180000}"/>
    <cellStyle name="20% - Accent2 7 7 4" xfId="26684" xr:uid="{00000000-0005-0000-0000-0000AF180000}"/>
    <cellStyle name="20% - Accent2 7 8" xfId="6533" xr:uid="{00000000-0005-0000-0000-0000B0180000}"/>
    <cellStyle name="20% - Accent2 7 8 2" xfId="17834" xr:uid="{00000000-0005-0000-0000-0000B1180000}"/>
    <cellStyle name="20% - Accent2 7 8 2 2" xfId="40436" xr:uid="{00000000-0005-0000-0000-0000B2180000}"/>
    <cellStyle name="20% - Accent2 7 8 3" xfId="29135" xr:uid="{00000000-0005-0000-0000-0000B3180000}"/>
    <cellStyle name="20% - Accent2 7 9" xfId="12184" xr:uid="{00000000-0005-0000-0000-0000B4180000}"/>
    <cellStyle name="20% - Accent2 7 9 2" xfId="34786" xr:uid="{00000000-0005-0000-0000-0000B5180000}"/>
    <cellStyle name="20% - Accent2 8" xfId="493" xr:uid="{00000000-0005-0000-0000-0000B6180000}"/>
    <cellStyle name="20% - Accent2 8 2" xfId="1264" xr:uid="{00000000-0005-0000-0000-0000B7180000}"/>
    <cellStyle name="20% - Accent2 8 2 2" xfId="1625" xr:uid="{00000000-0005-0000-0000-0000B8180000}"/>
    <cellStyle name="20% - Accent2 8 2 2 2" xfId="3333" xr:uid="{00000000-0005-0000-0000-0000B9180000}"/>
    <cellStyle name="20% - Accent2 8 2 2 2 2" xfId="6305" xr:uid="{00000000-0005-0000-0000-0000BA180000}"/>
    <cellStyle name="20% - Accent2 8 2 2 2 2 2" xfId="11955" xr:uid="{00000000-0005-0000-0000-0000BB180000}"/>
    <cellStyle name="20% - Accent2 8 2 2 2 2 2 2" xfId="23256" xr:uid="{00000000-0005-0000-0000-0000BC180000}"/>
    <cellStyle name="20% - Accent2 8 2 2 2 2 2 2 2" xfId="45858" xr:uid="{00000000-0005-0000-0000-0000BD180000}"/>
    <cellStyle name="20% - Accent2 8 2 2 2 2 2 3" xfId="34557" xr:uid="{00000000-0005-0000-0000-0000BE180000}"/>
    <cellStyle name="20% - Accent2 8 2 2 2 2 3" xfId="17606" xr:uid="{00000000-0005-0000-0000-0000BF180000}"/>
    <cellStyle name="20% - Accent2 8 2 2 2 2 3 2" xfId="40208" xr:uid="{00000000-0005-0000-0000-0000C0180000}"/>
    <cellStyle name="20% - Accent2 8 2 2 2 2 4" xfId="28907" xr:uid="{00000000-0005-0000-0000-0000C1180000}"/>
    <cellStyle name="20% - Accent2 8 2 2 2 3" xfId="9123" xr:uid="{00000000-0005-0000-0000-0000C2180000}"/>
    <cellStyle name="20% - Accent2 8 2 2 2 3 2" xfId="20424" xr:uid="{00000000-0005-0000-0000-0000C3180000}"/>
    <cellStyle name="20% - Accent2 8 2 2 2 3 2 2" xfId="43026" xr:uid="{00000000-0005-0000-0000-0000C4180000}"/>
    <cellStyle name="20% - Accent2 8 2 2 2 3 3" xfId="31725" xr:uid="{00000000-0005-0000-0000-0000C5180000}"/>
    <cellStyle name="20% - Accent2 8 2 2 2 4" xfId="14774" xr:uid="{00000000-0005-0000-0000-0000C6180000}"/>
    <cellStyle name="20% - Accent2 8 2 2 2 4 2" xfId="37376" xr:uid="{00000000-0005-0000-0000-0000C7180000}"/>
    <cellStyle name="20% - Accent2 8 2 2 2 5" xfId="26075" xr:uid="{00000000-0005-0000-0000-0000C8180000}"/>
    <cellStyle name="20% - Accent2 8 2 2 3" xfId="5071" xr:uid="{00000000-0005-0000-0000-0000C9180000}"/>
    <cellStyle name="20% - Accent2 8 2 2 3 2" xfId="10721" xr:uid="{00000000-0005-0000-0000-0000CA180000}"/>
    <cellStyle name="20% - Accent2 8 2 2 3 2 2" xfId="22022" xr:uid="{00000000-0005-0000-0000-0000CB180000}"/>
    <cellStyle name="20% - Accent2 8 2 2 3 2 2 2" xfId="44624" xr:uid="{00000000-0005-0000-0000-0000CC180000}"/>
    <cellStyle name="20% - Accent2 8 2 2 3 2 3" xfId="33323" xr:uid="{00000000-0005-0000-0000-0000CD180000}"/>
    <cellStyle name="20% - Accent2 8 2 2 3 3" xfId="16372" xr:uid="{00000000-0005-0000-0000-0000CE180000}"/>
    <cellStyle name="20% - Accent2 8 2 2 3 3 2" xfId="38974" xr:uid="{00000000-0005-0000-0000-0000CF180000}"/>
    <cellStyle name="20% - Accent2 8 2 2 3 4" xfId="27673" xr:uid="{00000000-0005-0000-0000-0000D0180000}"/>
    <cellStyle name="20% - Accent2 8 2 2 4" xfId="7481" xr:uid="{00000000-0005-0000-0000-0000D1180000}"/>
    <cellStyle name="20% - Accent2 8 2 2 4 2" xfId="18782" xr:uid="{00000000-0005-0000-0000-0000D2180000}"/>
    <cellStyle name="20% - Accent2 8 2 2 4 2 2" xfId="41384" xr:uid="{00000000-0005-0000-0000-0000D3180000}"/>
    <cellStyle name="20% - Accent2 8 2 2 4 3" xfId="30083" xr:uid="{00000000-0005-0000-0000-0000D4180000}"/>
    <cellStyle name="20% - Accent2 8 2 2 5" xfId="13132" xr:uid="{00000000-0005-0000-0000-0000D5180000}"/>
    <cellStyle name="20% - Accent2 8 2 2 5 2" xfId="35734" xr:uid="{00000000-0005-0000-0000-0000D6180000}"/>
    <cellStyle name="20% - Accent2 8 2 2 6" xfId="24433" xr:uid="{00000000-0005-0000-0000-0000D7180000}"/>
    <cellStyle name="20% - Accent2 8 2 3" xfId="2662" xr:uid="{00000000-0005-0000-0000-0000D8180000}"/>
    <cellStyle name="20% - Accent2 8 2 3 2" xfId="5681" xr:uid="{00000000-0005-0000-0000-0000D9180000}"/>
    <cellStyle name="20% - Accent2 8 2 3 2 2" xfId="11331" xr:uid="{00000000-0005-0000-0000-0000DA180000}"/>
    <cellStyle name="20% - Accent2 8 2 3 2 2 2" xfId="22632" xr:uid="{00000000-0005-0000-0000-0000DB180000}"/>
    <cellStyle name="20% - Accent2 8 2 3 2 2 2 2" xfId="45234" xr:uid="{00000000-0005-0000-0000-0000DC180000}"/>
    <cellStyle name="20% - Accent2 8 2 3 2 2 3" xfId="33933" xr:uid="{00000000-0005-0000-0000-0000DD180000}"/>
    <cellStyle name="20% - Accent2 8 2 3 2 3" xfId="16982" xr:uid="{00000000-0005-0000-0000-0000DE180000}"/>
    <cellStyle name="20% - Accent2 8 2 3 2 3 2" xfId="39584" xr:uid="{00000000-0005-0000-0000-0000DF180000}"/>
    <cellStyle name="20% - Accent2 8 2 3 2 4" xfId="28283" xr:uid="{00000000-0005-0000-0000-0000E0180000}"/>
    <cellStyle name="20% - Accent2 8 2 3 3" xfId="8498" xr:uid="{00000000-0005-0000-0000-0000E1180000}"/>
    <cellStyle name="20% - Accent2 8 2 3 3 2" xfId="19799" xr:uid="{00000000-0005-0000-0000-0000E2180000}"/>
    <cellStyle name="20% - Accent2 8 2 3 3 2 2" xfId="42401" xr:uid="{00000000-0005-0000-0000-0000E3180000}"/>
    <cellStyle name="20% - Accent2 8 2 3 3 3" xfId="31100" xr:uid="{00000000-0005-0000-0000-0000E4180000}"/>
    <cellStyle name="20% - Accent2 8 2 3 4" xfId="14149" xr:uid="{00000000-0005-0000-0000-0000E5180000}"/>
    <cellStyle name="20% - Accent2 8 2 3 4 2" xfId="36751" xr:uid="{00000000-0005-0000-0000-0000E6180000}"/>
    <cellStyle name="20% - Accent2 8 2 3 5" xfId="25450" xr:uid="{00000000-0005-0000-0000-0000E7180000}"/>
    <cellStyle name="20% - Accent2 8 2 4" xfId="4447" xr:uid="{00000000-0005-0000-0000-0000E8180000}"/>
    <cellStyle name="20% - Accent2 8 2 4 2" xfId="10097" xr:uid="{00000000-0005-0000-0000-0000E9180000}"/>
    <cellStyle name="20% - Accent2 8 2 4 2 2" xfId="21398" xr:uid="{00000000-0005-0000-0000-0000EA180000}"/>
    <cellStyle name="20% - Accent2 8 2 4 2 2 2" xfId="44000" xr:uid="{00000000-0005-0000-0000-0000EB180000}"/>
    <cellStyle name="20% - Accent2 8 2 4 2 3" xfId="32699" xr:uid="{00000000-0005-0000-0000-0000EC180000}"/>
    <cellStyle name="20% - Accent2 8 2 4 3" xfId="15748" xr:uid="{00000000-0005-0000-0000-0000ED180000}"/>
    <cellStyle name="20% - Accent2 8 2 4 3 2" xfId="38350" xr:uid="{00000000-0005-0000-0000-0000EE180000}"/>
    <cellStyle name="20% - Accent2 8 2 4 4" xfId="27049" xr:uid="{00000000-0005-0000-0000-0000EF180000}"/>
    <cellStyle name="20% - Accent2 8 2 5" xfId="7243" xr:uid="{00000000-0005-0000-0000-0000F0180000}"/>
    <cellStyle name="20% - Accent2 8 2 5 2" xfId="18544" xr:uid="{00000000-0005-0000-0000-0000F1180000}"/>
    <cellStyle name="20% - Accent2 8 2 5 2 2" xfId="41146" xr:uid="{00000000-0005-0000-0000-0000F2180000}"/>
    <cellStyle name="20% - Accent2 8 2 5 3" xfId="29845" xr:uid="{00000000-0005-0000-0000-0000F3180000}"/>
    <cellStyle name="20% - Accent2 8 2 6" xfId="12894" xr:uid="{00000000-0005-0000-0000-0000F4180000}"/>
    <cellStyle name="20% - Accent2 8 2 6 2" xfId="35496" xr:uid="{00000000-0005-0000-0000-0000F5180000}"/>
    <cellStyle name="20% - Accent2 8 2 7" xfId="24195" xr:uid="{00000000-0005-0000-0000-0000F6180000}"/>
    <cellStyle name="20% - Accent2 8 3" xfId="961" xr:uid="{00000000-0005-0000-0000-0000F7180000}"/>
    <cellStyle name="20% - Accent2 8 3 2" xfId="3025" xr:uid="{00000000-0005-0000-0000-0000F8180000}"/>
    <cellStyle name="20% - Accent2 8 3 2 2" xfId="5997" xr:uid="{00000000-0005-0000-0000-0000F9180000}"/>
    <cellStyle name="20% - Accent2 8 3 2 2 2" xfId="11647" xr:uid="{00000000-0005-0000-0000-0000FA180000}"/>
    <cellStyle name="20% - Accent2 8 3 2 2 2 2" xfId="22948" xr:uid="{00000000-0005-0000-0000-0000FB180000}"/>
    <cellStyle name="20% - Accent2 8 3 2 2 2 2 2" xfId="45550" xr:uid="{00000000-0005-0000-0000-0000FC180000}"/>
    <cellStyle name="20% - Accent2 8 3 2 2 2 3" xfId="34249" xr:uid="{00000000-0005-0000-0000-0000FD180000}"/>
    <cellStyle name="20% - Accent2 8 3 2 2 3" xfId="17298" xr:uid="{00000000-0005-0000-0000-0000FE180000}"/>
    <cellStyle name="20% - Accent2 8 3 2 2 3 2" xfId="39900" xr:uid="{00000000-0005-0000-0000-0000FF180000}"/>
    <cellStyle name="20% - Accent2 8 3 2 2 4" xfId="28599" xr:uid="{00000000-0005-0000-0000-000000190000}"/>
    <cellStyle name="20% - Accent2 8 3 2 3" xfId="8815" xr:uid="{00000000-0005-0000-0000-000001190000}"/>
    <cellStyle name="20% - Accent2 8 3 2 3 2" xfId="20116" xr:uid="{00000000-0005-0000-0000-000002190000}"/>
    <cellStyle name="20% - Accent2 8 3 2 3 2 2" xfId="42718" xr:uid="{00000000-0005-0000-0000-000003190000}"/>
    <cellStyle name="20% - Accent2 8 3 2 3 3" xfId="31417" xr:uid="{00000000-0005-0000-0000-000004190000}"/>
    <cellStyle name="20% - Accent2 8 3 2 4" xfId="14466" xr:uid="{00000000-0005-0000-0000-000005190000}"/>
    <cellStyle name="20% - Accent2 8 3 2 4 2" xfId="37068" xr:uid="{00000000-0005-0000-0000-000006190000}"/>
    <cellStyle name="20% - Accent2 8 3 2 5" xfId="25767" xr:uid="{00000000-0005-0000-0000-000007190000}"/>
    <cellStyle name="20% - Accent2 8 3 3" xfId="4763" xr:uid="{00000000-0005-0000-0000-000008190000}"/>
    <cellStyle name="20% - Accent2 8 3 3 2" xfId="10413" xr:uid="{00000000-0005-0000-0000-000009190000}"/>
    <cellStyle name="20% - Accent2 8 3 3 2 2" xfId="21714" xr:uid="{00000000-0005-0000-0000-00000A190000}"/>
    <cellStyle name="20% - Accent2 8 3 3 2 2 2" xfId="44316" xr:uid="{00000000-0005-0000-0000-00000B190000}"/>
    <cellStyle name="20% - Accent2 8 3 3 2 3" xfId="33015" xr:uid="{00000000-0005-0000-0000-00000C190000}"/>
    <cellStyle name="20% - Accent2 8 3 3 3" xfId="16064" xr:uid="{00000000-0005-0000-0000-00000D190000}"/>
    <cellStyle name="20% - Accent2 8 3 3 3 2" xfId="38666" xr:uid="{00000000-0005-0000-0000-00000E190000}"/>
    <cellStyle name="20% - Accent2 8 3 3 4" xfId="27365" xr:uid="{00000000-0005-0000-0000-00000F190000}"/>
    <cellStyle name="20% - Accent2 8 3 4" xfId="6950" xr:uid="{00000000-0005-0000-0000-000010190000}"/>
    <cellStyle name="20% - Accent2 8 3 4 2" xfId="18251" xr:uid="{00000000-0005-0000-0000-000011190000}"/>
    <cellStyle name="20% - Accent2 8 3 4 2 2" xfId="40853" xr:uid="{00000000-0005-0000-0000-000012190000}"/>
    <cellStyle name="20% - Accent2 8 3 4 3" xfId="29552" xr:uid="{00000000-0005-0000-0000-000013190000}"/>
    <cellStyle name="20% - Accent2 8 3 5" xfId="12601" xr:uid="{00000000-0005-0000-0000-000014190000}"/>
    <cellStyle name="20% - Accent2 8 3 5 2" xfId="35203" xr:uid="{00000000-0005-0000-0000-000015190000}"/>
    <cellStyle name="20% - Accent2 8 3 6" xfId="23902" xr:uid="{00000000-0005-0000-0000-000016190000}"/>
    <cellStyle name="20% - Accent2 8 4" xfId="1624" xr:uid="{00000000-0005-0000-0000-000017190000}"/>
    <cellStyle name="20% - Accent2 8 4 2" xfId="3603" xr:uid="{00000000-0005-0000-0000-000018190000}"/>
    <cellStyle name="20% - Accent2 8 4 2 2" xfId="9317" xr:uid="{00000000-0005-0000-0000-000019190000}"/>
    <cellStyle name="20% - Accent2 8 4 2 2 2" xfId="20618" xr:uid="{00000000-0005-0000-0000-00001A190000}"/>
    <cellStyle name="20% - Accent2 8 4 2 2 2 2" xfId="43220" xr:uid="{00000000-0005-0000-0000-00001B190000}"/>
    <cellStyle name="20% - Accent2 8 4 2 2 3" xfId="31919" xr:uid="{00000000-0005-0000-0000-00001C190000}"/>
    <cellStyle name="20% - Accent2 8 4 2 3" xfId="14968" xr:uid="{00000000-0005-0000-0000-00001D190000}"/>
    <cellStyle name="20% - Accent2 8 4 2 3 2" xfId="37570" xr:uid="{00000000-0005-0000-0000-00001E190000}"/>
    <cellStyle name="20% - Accent2 8 4 2 4" xfId="26269" xr:uid="{00000000-0005-0000-0000-00001F190000}"/>
    <cellStyle name="20% - Accent2 8 4 3" xfId="5373" xr:uid="{00000000-0005-0000-0000-000020190000}"/>
    <cellStyle name="20% - Accent2 8 4 3 2" xfId="11023" xr:uid="{00000000-0005-0000-0000-000021190000}"/>
    <cellStyle name="20% - Accent2 8 4 3 2 2" xfId="22324" xr:uid="{00000000-0005-0000-0000-000022190000}"/>
    <cellStyle name="20% - Accent2 8 4 3 2 2 2" xfId="44926" xr:uid="{00000000-0005-0000-0000-000023190000}"/>
    <cellStyle name="20% - Accent2 8 4 3 2 3" xfId="33625" xr:uid="{00000000-0005-0000-0000-000024190000}"/>
    <cellStyle name="20% - Accent2 8 4 3 3" xfId="16674" xr:uid="{00000000-0005-0000-0000-000025190000}"/>
    <cellStyle name="20% - Accent2 8 4 3 3 2" xfId="39276" xr:uid="{00000000-0005-0000-0000-000026190000}"/>
    <cellStyle name="20% - Accent2 8 4 3 4" xfId="27975" xr:uid="{00000000-0005-0000-0000-000027190000}"/>
    <cellStyle name="20% - Accent2 8 4 4" xfId="7480" xr:uid="{00000000-0005-0000-0000-000028190000}"/>
    <cellStyle name="20% - Accent2 8 4 4 2" xfId="18781" xr:uid="{00000000-0005-0000-0000-000029190000}"/>
    <cellStyle name="20% - Accent2 8 4 4 2 2" xfId="41383" xr:uid="{00000000-0005-0000-0000-00002A190000}"/>
    <cellStyle name="20% - Accent2 8 4 4 3" xfId="30082" xr:uid="{00000000-0005-0000-0000-00002B190000}"/>
    <cellStyle name="20% - Accent2 8 4 5" xfId="13131" xr:uid="{00000000-0005-0000-0000-00002C190000}"/>
    <cellStyle name="20% - Accent2 8 4 5 2" xfId="35733" xr:uid="{00000000-0005-0000-0000-00002D190000}"/>
    <cellStyle name="20% - Accent2 8 4 6" xfId="24432" xr:uid="{00000000-0005-0000-0000-00002E190000}"/>
    <cellStyle name="20% - Accent2 8 5" xfId="2354" xr:uid="{00000000-0005-0000-0000-00002F190000}"/>
    <cellStyle name="20% - Accent2 8 5 2" xfId="8190" xr:uid="{00000000-0005-0000-0000-000030190000}"/>
    <cellStyle name="20% - Accent2 8 5 2 2" xfId="19491" xr:uid="{00000000-0005-0000-0000-000031190000}"/>
    <cellStyle name="20% - Accent2 8 5 2 2 2" xfId="42093" xr:uid="{00000000-0005-0000-0000-000032190000}"/>
    <cellStyle name="20% - Accent2 8 5 2 3" xfId="30792" xr:uid="{00000000-0005-0000-0000-000033190000}"/>
    <cellStyle name="20% - Accent2 8 5 3" xfId="13841" xr:uid="{00000000-0005-0000-0000-000034190000}"/>
    <cellStyle name="20% - Accent2 8 5 3 2" xfId="36443" xr:uid="{00000000-0005-0000-0000-000035190000}"/>
    <cellStyle name="20% - Accent2 8 5 4" xfId="25142" xr:uid="{00000000-0005-0000-0000-000036190000}"/>
    <cellStyle name="20% - Accent2 8 6" xfId="4139" xr:uid="{00000000-0005-0000-0000-000037190000}"/>
    <cellStyle name="20% - Accent2 8 6 2" xfId="9789" xr:uid="{00000000-0005-0000-0000-000038190000}"/>
    <cellStyle name="20% - Accent2 8 6 2 2" xfId="21090" xr:uid="{00000000-0005-0000-0000-000039190000}"/>
    <cellStyle name="20% - Accent2 8 6 2 2 2" xfId="43692" xr:uid="{00000000-0005-0000-0000-00003A190000}"/>
    <cellStyle name="20% - Accent2 8 6 2 3" xfId="32391" xr:uid="{00000000-0005-0000-0000-00003B190000}"/>
    <cellStyle name="20% - Accent2 8 6 3" xfId="15440" xr:uid="{00000000-0005-0000-0000-00003C190000}"/>
    <cellStyle name="20% - Accent2 8 6 3 2" xfId="38042" xr:uid="{00000000-0005-0000-0000-00003D190000}"/>
    <cellStyle name="20% - Accent2 8 6 4" xfId="26741" xr:uid="{00000000-0005-0000-0000-00003E190000}"/>
    <cellStyle name="20% - Accent2 8 7" xfId="6590" xr:uid="{00000000-0005-0000-0000-00003F190000}"/>
    <cellStyle name="20% - Accent2 8 7 2" xfId="17891" xr:uid="{00000000-0005-0000-0000-000040190000}"/>
    <cellStyle name="20% - Accent2 8 7 2 2" xfId="40493" xr:uid="{00000000-0005-0000-0000-000041190000}"/>
    <cellStyle name="20% - Accent2 8 7 3" xfId="29192" xr:uid="{00000000-0005-0000-0000-000042190000}"/>
    <cellStyle name="20% - Accent2 8 8" xfId="12241" xr:uid="{00000000-0005-0000-0000-000043190000}"/>
    <cellStyle name="20% - Accent2 8 8 2" xfId="34843" xr:uid="{00000000-0005-0000-0000-000044190000}"/>
    <cellStyle name="20% - Accent2 8 9" xfId="23542" xr:uid="{00000000-0005-0000-0000-000045190000}"/>
    <cellStyle name="20% - Accent2 9" xfId="695" xr:uid="{00000000-0005-0000-0000-000046190000}"/>
    <cellStyle name="20% - Accent2 9 2" xfId="752" xr:uid="{00000000-0005-0000-0000-000047190000}"/>
    <cellStyle name="20% - Accent2 9 2 2" xfId="3165" xr:uid="{00000000-0005-0000-0000-000048190000}"/>
    <cellStyle name="20% - Accent2 9 2 2 2" xfId="6137" xr:uid="{00000000-0005-0000-0000-000049190000}"/>
    <cellStyle name="20% - Accent2 9 2 2 2 2" xfId="11787" xr:uid="{00000000-0005-0000-0000-00004A190000}"/>
    <cellStyle name="20% - Accent2 9 2 2 2 2 2" xfId="23088" xr:uid="{00000000-0005-0000-0000-00004B190000}"/>
    <cellStyle name="20% - Accent2 9 2 2 2 2 2 2" xfId="45690" xr:uid="{00000000-0005-0000-0000-00004C190000}"/>
    <cellStyle name="20% - Accent2 9 2 2 2 2 3" xfId="34389" xr:uid="{00000000-0005-0000-0000-00004D190000}"/>
    <cellStyle name="20% - Accent2 9 2 2 2 3" xfId="17438" xr:uid="{00000000-0005-0000-0000-00004E190000}"/>
    <cellStyle name="20% - Accent2 9 2 2 2 3 2" xfId="40040" xr:uid="{00000000-0005-0000-0000-00004F190000}"/>
    <cellStyle name="20% - Accent2 9 2 2 2 4" xfId="28739" xr:uid="{00000000-0005-0000-0000-000050190000}"/>
    <cellStyle name="20% - Accent2 9 2 2 3" xfId="8955" xr:uid="{00000000-0005-0000-0000-000051190000}"/>
    <cellStyle name="20% - Accent2 9 2 2 3 2" xfId="20256" xr:uid="{00000000-0005-0000-0000-000052190000}"/>
    <cellStyle name="20% - Accent2 9 2 2 3 2 2" xfId="42858" xr:uid="{00000000-0005-0000-0000-000053190000}"/>
    <cellStyle name="20% - Accent2 9 2 2 3 3" xfId="31557" xr:uid="{00000000-0005-0000-0000-000054190000}"/>
    <cellStyle name="20% - Accent2 9 2 2 4" xfId="14606" xr:uid="{00000000-0005-0000-0000-000055190000}"/>
    <cellStyle name="20% - Accent2 9 2 2 4 2" xfId="37208" xr:uid="{00000000-0005-0000-0000-000056190000}"/>
    <cellStyle name="20% - Accent2 9 2 2 5" xfId="25907" xr:uid="{00000000-0005-0000-0000-000057190000}"/>
    <cellStyle name="20% - Accent2 9 2 3" xfId="4903" xr:uid="{00000000-0005-0000-0000-000058190000}"/>
    <cellStyle name="20% - Accent2 9 2 3 2" xfId="10553" xr:uid="{00000000-0005-0000-0000-000059190000}"/>
    <cellStyle name="20% - Accent2 9 2 3 2 2" xfId="21854" xr:uid="{00000000-0005-0000-0000-00005A190000}"/>
    <cellStyle name="20% - Accent2 9 2 3 2 2 2" xfId="44456" xr:uid="{00000000-0005-0000-0000-00005B190000}"/>
    <cellStyle name="20% - Accent2 9 2 3 2 3" xfId="33155" xr:uid="{00000000-0005-0000-0000-00005C190000}"/>
    <cellStyle name="20% - Accent2 9 2 3 3" xfId="16204" xr:uid="{00000000-0005-0000-0000-00005D190000}"/>
    <cellStyle name="20% - Accent2 9 2 3 3 2" xfId="38806" xr:uid="{00000000-0005-0000-0000-00005E190000}"/>
    <cellStyle name="20% - Accent2 9 2 3 4" xfId="27505" xr:uid="{00000000-0005-0000-0000-00005F190000}"/>
    <cellStyle name="20% - Accent2 9 2 4" xfId="6779" xr:uid="{00000000-0005-0000-0000-000060190000}"/>
    <cellStyle name="20% - Accent2 9 2 4 2" xfId="18080" xr:uid="{00000000-0005-0000-0000-000061190000}"/>
    <cellStyle name="20% - Accent2 9 2 4 2 2" xfId="40682" xr:uid="{00000000-0005-0000-0000-000062190000}"/>
    <cellStyle name="20% - Accent2 9 2 4 3" xfId="29381" xr:uid="{00000000-0005-0000-0000-000063190000}"/>
    <cellStyle name="20% - Accent2 9 2 5" xfId="12430" xr:uid="{00000000-0005-0000-0000-000064190000}"/>
    <cellStyle name="20% - Accent2 9 2 5 2" xfId="35032" xr:uid="{00000000-0005-0000-0000-000065190000}"/>
    <cellStyle name="20% - Accent2 9 2 6" xfId="23731" xr:uid="{00000000-0005-0000-0000-000066190000}"/>
    <cellStyle name="20% - Accent2 9 3" xfId="1626" xr:uid="{00000000-0005-0000-0000-000067190000}"/>
    <cellStyle name="20% - Accent2 9 3 2" xfId="3604" xr:uid="{00000000-0005-0000-0000-000068190000}"/>
    <cellStyle name="20% - Accent2 9 3 2 2" xfId="9318" xr:uid="{00000000-0005-0000-0000-000069190000}"/>
    <cellStyle name="20% - Accent2 9 3 2 2 2" xfId="20619" xr:uid="{00000000-0005-0000-0000-00006A190000}"/>
    <cellStyle name="20% - Accent2 9 3 2 2 2 2" xfId="43221" xr:uid="{00000000-0005-0000-0000-00006B190000}"/>
    <cellStyle name="20% - Accent2 9 3 2 2 3" xfId="31920" xr:uid="{00000000-0005-0000-0000-00006C190000}"/>
    <cellStyle name="20% - Accent2 9 3 2 3" xfId="14969" xr:uid="{00000000-0005-0000-0000-00006D190000}"/>
    <cellStyle name="20% - Accent2 9 3 2 3 2" xfId="37571" xr:uid="{00000000-0005-0000-0000-00006E190000}"/>
    <cellStyle name="20% - Accent2 9 3 2 4" xfId="26270" xr:uid="{00000000-0005-0000-0000-00006F190000}"/>
    <cellStyle name="20% - Accent2 9 3 3" xfId="5513" xr:uid="{00000000-0005-0000-0000-000070190000}"/>
    <cellStyle name="20% - Accent2 9 3 3 2" xfId="11163" xr:uid="{00000000-0005-0000-0000-000071190000}"/>
    <cellStyle name="20% - Accent2 9 3 3 2 2" xfId="22464" xr:uid="{00000000-0005-0000-0000-000072190000}"/>
    <cellStyle name="20% - Accent2 9 3 3 2 2 2" xfId="45066" xr:uid="{00000000-0005-0000-0000-000073190000}"/>
    <cellStyle name="20% - Accent2 9 3 3 2 3" xfId="33765" xr:uid="{00000000-0005-0000-0000-000074190000}"/>
    <cellStyle name="20% - Accent2 9 3 3 3" xfId="16814" xr:uid="{00000000-0005-0000-0000-000075190000}"/>
    <cellStyle name="20% - Accent2 9 3 3 3 2" xfId="39416" xr:uid="{00000000-0005-0000-0000-000076190000}"/>
    <cellStyle name="20% - Accent2 9 3 3 4" xfId="28115" xr:uid="{00000000-0005-0000-0000-000077190000}"/>
    <cellStyle name="20% - Accent2 9 3 4" xfId="7482" xr:uid="{00000000-0005-0000-0000-000078190000}"/>
    <cellStyle name="20% - Accent2 9 3 4 2" xfId="18783" xr:uid="{00000000-0005-0000-0000-000079190000}"/>
    <cellStyle name="20% - Accent2 9 3 4 2 2" xfId="41385" xr:uid="{00000000-0005-0000-0000-00007A190000}"/>
    <cellStyle name="20% - Accent2 9 3 4 3" xfId="30084" xr:uid="{00000000-0005-0000-0000-00007B190000}"/>
    <cellStyle name="20% - Accent2 9 3 5" xfId="13133" xr:uid="{00000000-0005-0000-0000-00007C190000}"/>
    <cellStyle name="20% - Accent2 9 3 5 2" xfId="35735" xr:uid="{00000000-0005-0000-0000-00007D190000}"/>
    <cellStyle name="20% - Accent2 9 3 6" xfId="24434" xr:uid="{00000000-0005-0000-0000-00007E190000}"/>
    <cellStyle name="20% - Accent2 9 4" xfId="2494" xr:uid="{00000000-0005-0000-0000-00007F190000}"/>
    <cellStyle name="20% - Accent2 9 4 2" xfId="8330" xr:uid="{00000000-0005-0000-0000-000080190000}"/>
    <cellStyle name="20% - Accent2 9 4 2 2" xfId="19631" xr:uid="{00000000-0005-0000-0000-000081190000}"/>
    <cellStyle name="20% - Accent2 9 4 2 2 2" xfId="42233" xr:uid="{00000000-0005-0000-0000-000082190000}"/>
    <cellStyle name="20% - Accent2 9 4 2 3" xfId="30932" xr:uid="{00000000-0005-0000-0000-000083190000}"/>
    <cellStyle name="20% - Accent2 9 4 3" xfId="13981" xr:uid="{00000000-0005-0000-0000-000084190000}"/>
    <cellStyle name="20% - Accent2 9 4 3 2" xfId="36583" xr:uid="{00000000-0005-0000-0000-000085190000}"/>
    <cellStyle name="20% - Accent2 9 4 4" xfId="25282" xr:uid="{00000000-0005-0000-0000-000086190000}"/>
    <cellStyle name="20% - Accent2 9 5" xfId="4279" xr:uid="{00000000-0005-0000-0000-000087190000}"/>
    <cellStyle name="20% - Accent2 9 5 2" xfId="9929" xr:uid="{00000000-0005-0000-0000-000088190000}"/>
    <cellStyle name="20% - Accent2 9 5 2 2" xfId="21230" xr:uid="{00000000-0005-0000-0000-000089190000}"/>
    <cellStyle name="20% - Accent2 9 5 2 2 2" xfId="43832" xr:uid="{00000000-0005-0000-0000-00008A190000}"/>
    <cellStyle name="20% - Accent2 9 5 2 3" xfId="32531" xr:uid="{00000000-0005-0000-0000-00008B190000}"/>
    <cellStyle name="20% - Accent2 9 5 3" xfId="15580" xr:uid="{00000000-0005-0000-0000-00008C190000}"/>
    <cellStyle name="20% - Accent2 9 5 3 2" xfId="38182" xr:uid="{00000000-0005-0000-0000-00008D190000}"/>
    <cellStyle name="20% - Accent2 9 5 4" xfId="26881" xr:uid="{00000000-0005-0000-0000-00008E190000}"/>
    <cellStyle name="20% - Accent2 9 6" xfId="6758" xr:uid="{00000000-0005-0000-0000-00008F190000}"/>
    <cellStyle name="20% - Accent2 9 6 2" xfId="18059" xr:uid="{00000000-0005-0000-0000-000090190000}"/>
    <cellStyle name="20% - Accent2 9 6 2 2" xfId="40661" xr:uid="{00000000-0005-0000-0000-000091190000}"/>
    <cellStyle name="20% - Accent2 9 6 3" xfId="29360" xr:uid="{00000000-0005-0000-0000-000092190000}"/>
    <cellStyle name="20% - Accent2 9 7" xfId="12409" xr:uid="{00000000-0005-0000-0000-000093190000}"/>
    <cellStyle name="20% - Accent2 9 7 2" xfId="35011" xr:uid="{00000000-0005-0000-0000-000094190000}"/>
    <cellStyle name="20% - Accent2 9 8" xfId="23710" xr:uid="{00000000-0005-0000-0000-000095190000}"/>
    <cellStyle name="20% - Accent3" xfId="27" builtinId="38" customBuiltin="1"/>
    <cellStyle name="20% - Accent3 10" xfId="1492" xr:uid="{00000000-0005-0000-0000-000097190000}"/>
    <cellStyle name="20% - Accent3 10 2" xfId="1627" xr:uid="{00000000-0005-0000-0000-000098190000}"/>
    <cellStyle name="20% - Accent3 10 2 2" xfId="3475" xr:uid="{00000000-0005-0000-0000-000099190000}"/>
    <cellStyle name="20% - Accent3 10 2 2 2" xfId="6447" xr:uid="{00000000-0005-0000-0000-00009A190000}"/>
    <cellStyle name="20% - Accent3 10 2 2 2 2" xfId="12097" xr:uid="{00000000-0005-0000-0000-00009B190000}"/>
    <cellStyle name="20% - Accent3 10 2 2 2 2 2" xfId="23398" xr:uid="{00000000-0005-0000-0000-00009C190000}"/>
    <cellStyle name="20% - Accent3 10 2 2 2 2 2 2" xfId="46000" xr:uid="{00000000-0005-0000-0000-00009D190000}"/>
    <cellStyle name="20% - Accent3 10 2 2 2 2 3" xfId="34699" xr:uid="{00000000-0005-0000-0000-00009E190000}"/>
    <cellStyle name="20% - Accent3 10 2 2 2 3" xfId="17748" xr:uid="{00000000-0005-0000-0000-00009F190000}"/>
    <cellStyle name="20% - Accent3 10 2 2 2 3 2" xfId="40350" xr:uid="{00000000-0005-0000-0000-0000A0190000}"/>
    <cellStyle name="20% - Accent3 10 2 2 2 4" xfId="29049" xr:uid="{00000000-0005-0000-0000-0000A1190000}"/>
    <cellStyle name="20% - Accent3 10 2 2 3" xfId="9265" xr:uid="{00000000-0005-0000-0000-0000A2190000}"/>
    <cellStyle name="20% - Accent3 10 2 2 3 2" xfId="20566" xr:uid="{00000000-0005-0000-0000-0000A3190000}"/>
    <cellStyle name="20% - Accent3 10 2 2 3 2 2" xfId="43168" xr:uid="{00000000-0005-0000-0000-0000A4190000}"/>
    <cellStyle name="20% - Accent3 10 2 2 3 3" xfId="31867" xr:uid="{00000000-0005-0000-0000-0000A5190000}"/>
    <cellStyle name="20% - Accent3 10 2 2 4" xfId="14916" xr:uid="{00000000-0005-0000-0000-0000A6190000}"/>
    <cellStyle name="20% - Accent3 10 2 2 4 2" xfId="37518" xr:uid="{00000000-0005-0000-0000-0000A7190000}"/>
    <cellStyle name="20% - Accent3 10 2 2 5" xfId="26217" xr:uid="{00000000-0005-0000-0000-0000A8190000}"/>
    <cellStyle name="20% - Accent3 10 2 3" xfId="5213" xr:uid="{00000000-0005-0000-0000-0000A9190000}"/>
    <cellStyle name="20% - Accent3 10 2 3 2" xfId="10863" xr:uid="{00000000-0005-0000-0000-0000AA190000}"/>
    <cellStyle name="20% - Accent3 10 2 3 2 2" xfId="22164" xr:uid="{00000000-0005-0000-0000-0000AB190000}"/>
    <cellStyle name="20% - Accent3 10 2 3 2 2 2" xfId="44766" xr:uid="{00000000-0005-0000-0000-0000AC190000}"/>
    <cellStyle name="20% - Accent3 10 2 3 2 3" xfId="33465" xr:uid="{00000000-0005-0000-0000-0000AD190000}"/>
    <cellStyle name="20% - Accent3 10 2 3 3" xfId="16514" xr:uid="{00000000-0005-0000-0000-0000AE190000}"/>
    <cellStyle name="20% - Accent3 10 2 3 3 2" xfId="39116" xr:uid="{00000000-0005-0000-0000-0000AF190000}"/>
    <cellStyle name="20% - Accent3 10 2 3 4" xfId="27815" xr:uid="{00000000-0005-0000-0000-0000B0190000}"/>
    <cellStyle name="20% - Accent3 10 2 4" xfId="7483" xr:uid="{00000000-0005-0000-0000-0000B1190000}"/>
    <cellStyle name="20% - Accent3 10 2 4 2" xfId="18784" xr:uid="{00000000-0005-0000-0000-0000B2190000}"/>
    <cellStyle name="20% - Accent3 10 2 4 2 2" xfId="41386" xr:uid="{00000000-0005-0000-0000-0000B3190000}"/>
    <cellStyle name="20% - Accent3 10 2 4 3" xfId="30085" xr:uid="{00000000-0005-0000-0000-0000B4190000}"/>
    <cellStyle name="20% - Accent3 10 2 5" xfId="13134" xr:uid="{00000000-0005-0000-0000-0000B5190000}"/>
    <cellStyle name="20% - Accent3 10 2 5 2" xfId="35736" xr:uid="{00000000-0005-0000-0000-0000B6190000}"/>
    <cellStyle name="20% - Accent3 10 2 6" xfId="24435" xr:uid="{00000000-0005-0000-0000-0000B7190000}"/>
    <cellStyle name="20% - Accent3 10 3" xfId="2806" xr:uid="{00000000-0005-0000-0000-0000B8190000}"/>
    <cellStyle name="20% - Accent3 10 3 2" xfId="5823" xr:uid="{00000000-0005-0000-0000-0000B9190000}"/>
    <cellStyle name="20% - Accent3 10 3 2 2" xfId="11473" xr:uid="{00000000-0005-0000-0000-0000BA190000}"/>
    <cellStyle name="20% - Accent3 10 3 2 2 2" xfId="22774" xr:uid="{00000000-0005-0000-0000-0000BB190000}"/>
    <cellStyle name="20% - Accent3 10 3 2 2 2 2" xfId="45376" xr:uid="{00000000-0005-0000-0000-0000BC190000}"/>
    <cellStyle name="20% - Accent3 10 3 2 2 3" xfId="34075" xr:uid="{00000000-0005-0000-0000-0000BD190000}"/>
    <cellStyle name="20% - Accent3 10 3 2 3" xfId="17124" xr:uid="{00000000-0005-0000-0000-0000BE190000}"/>
    <cellStyle name="20% - Accent3 10 3 2 3 2" xfId="39726" xr:uid="{00000000-0005-0000-0000-0000BF190000}"/>
    <cellStyle name="20% - Accent3 10 3 2 4" xfId="28425" xr:uid="{00000000-0005-0000-0000-0000C0190000}"/>
    <cellStyle name="20% - Accent3 10 3 3" xfId="8640" xr:uid="{00000000-0005-0000-0000-0000C1190000}"/>
    <cellStyle name="20% - Accent3 10 3 3 2" xfId="19941" xr:uid="{00000000-0005-0000-0000-0000C2190000}"/>
    <cellStyle name="20% - Accent3 10 3 3 2 2" xfId="42543" xr:uid="{00000000-0005-0000-0000-0000C3190000}"/>
    <cellStyle name="20% - Accent3 10 3 3 3" xfId="31242" xr:uid="{00000000-0005-0000-0000-0000C4190000}"/>
    <cellStyle name="20% - Accent3 10 3 4" xfId="14291" xr:uid="{00000000-0005-0000-0000-0000C5190000}"/>
    <cellStyle name="20% - Accent3 10 3 4 2" xfId="36893" xr:uid="{00000000-0005-0000-0000-0000C6190000}"/>
    <cellStyle name="20% - Accent3 10 3 5" xfId="25592" xr:uid="{00000000-0005-0000-0000-0000C7190000}"/>
    <cellStyle name="20% - Accent3 10 4" xfId="4589" xr:uid="{00000000-0005-0000-0000-0000C8190000}"/>
    <cellStyle name="20% - Accent3 10 4 2" xfId="10239" xr:uid="{00000000-0005-0000-0000-0000C9190000}"/>
    <cellStyle name="20% - Accent3 10 4 2 2" xfId="21540" xr:uid="{00000000-0005-0000-0000-0000CA190000}"/>
    <cellStyle name="20% - Accent3 10 4 2 2 2" xfId="44142" xr:uid="{00000000-0005-0000-0000-0000CB190000}"/>
    <cellStyle name="20% - Accent3 10 4 2 3" xfId="32841" xr:uid="{00000000-0005-0000-0000-0000CC190000}"/>
    <cellStyle name="20% - Accent3 10 4 3" xfId="15890" xr:uid="{00000000-0005-0000-0000-0000CD190000}"/>
    <cellStyle name="20% - Accent3 10 4 3 2" xfId="38492" xr:uid="{00000000-0005-0000-0000-0000CE190000}"/>
    <cellStyle name="20% - Accent3 10 4 4" xfId="27191" xr:uid="{00000000-0005-0000-0000-0000CF190000}"/>
    <cellStyle name="20% - Accent3 10 5" xfId="7389" xr:uid="{00000000-0005-0000-0000-0000D0190000}"/>
    <cellStyle name="20% - Accent3 10 5 2" xfId="18690" xr:uid="{00000000-0005-0000-0000-0000D1190000}"/>
    <cellStyle name="20% - Accent3 10 5 2 2" xfId="41292" xr:uid="{00000000-0005-0000-0000-0000D2190000}"/>
    <cellStyle name="20% - Accent3 10 5 3" xfId="29991" xr:uid="{00000000-0005-0000-0000-0000D3190000}"/>
    <cellStyle name="20% - Accent3 10 6" xfId="13040" xr:uid="{00000000-0005-0000-0000-0000D4190000}"/>
    <cellStyle name="20% - Accent3 10 6 2" xfId="35642" xr:uid="{00000000-0005-0000-0000-0000D5190000}"/>
    <cellStyle name="20% - Accent3 10 7" xfId="24341" xr:uid="{00000000-0005-0000-0000-0000D6190000}"/>
    <cellStyle name="20% - Accent3 11" xfId="1494" xr:uid="{00000000-0005-0000-0000-0000D7190000}"/>
    <cellStyle name="20% - Accent3 11 2" xfId="1628" xr:uid="{00000000-0005-0000-0000-0000D8190000}"/>
    <cellStyle name="20% - Accent3 11 2 2" xfId="3605" xr:uid="{00000000-0005-0000-0000-0000D9190000}"/>
    <cellStyle name="20% - Accent3 11 2 2 2" xfId="9319" xr:uid="{00000000-0005-0000-0000-0000DA190000}"/>
    <cellStyle name="20% - Accent3 11 2 2 2 2" xfId="20620" xr:uid="{00000000-0005-0000-0000-0000DB190000}"/>
    <cellStyle name="20% - Accent3 11 2 2 2 2 2" xfId="43222" xr:uid="{00000000-0005-0000-0000-0000DC190000}"/>
    <cellStyle name="20% - Accent3 11 2 2 2 3" xfId="31921" xr:uid="{00000000-0005-0000-0000-0000DD190000}"/>
    <cellStyle name="20% - Accent3 11 2 2 3" xfId="14970" xr:uid="{00000000-0005-0000-0000-0000DE190000}"/>
    <cellStyle name="20% - Accent3 11 2 2 3 2" xfId="37572" xr:uid="{00000000-0005-0000-0000-0000DF190000}"/>
    <cellStyle name="20% - Accent3 11 2 2 4" xfId="26271" xr:uid="{00000000-0005-0000-0000-0000E0190000}"/>
    <cellStyle name="20% - Accent3 11 2 3" xfId="7484" xr:uid="{00000000-0005-0000-0000-0000E1190000}"/>
    <cellStyle name="20% - Accent3 11 2 3 2" xfId="18785" xr:uid="{00000000-0005-0000-0000-0000E2190000}"/>
    <cellStyle name="20% - Accent3 11 2 3 2 2" xfId="41387" xr:uid="{00000000-0005-0000-0000-0000E3190000}"/>
    <cellStyle name="20% - Accent3 11 2 3 3" xfId="30086" xr:uid="{00000000-0005-0000-0000-0000E4190000}"/>
    <cellStyle name="20% - Accent3 11 2 4" xfId="13135" xr:uid="{00000000-0005-0000-0000-0000E5190000}"/>
    <cellStyle name="20% - Accent3 11 2 4 2" xfId="35737" xr:uid="{00000000-0005-0000-0000-0000E6190000}"/>
    <cellStyle name="20% - Accent3 11 2 5" xfId="24436" xr:uid="{00000000-0005-0000-0000-0000E7190000}"/>
    <cellStyle name="20% - Accent3 11 3" xfId="2178" xr:uid="{00000000-0005-0000-0000-0000E8190000}"/>
    <cellStyle name="20% - Accent3 11 3 2" xfId="8022" xr:uid="{00000000-0005-0000-0000-0000E9190000}"/>
    <cellStyle name="20% - Accent3 11 3 2 2" xfId="19323" xr:uid="{00000000-0005-0000-0000-0000EA190000}"/>
    <cellStyle name="20% - Accent3 11 3 2 2 2" xfId="41925" xr:uid="{00000000-0005-0000-0000-0000EB190000}"/>
    <cellStyle name="20% - Accent3 11 3 2 3" xfId="30624" xr:uid="{00000000-0005-0000-0000-0000EC190000}"/>
    <cellStyle name="20% - Accent3 11 3 3" xfId="13673" xr:uid="{00000000-0005-0000-0000-0000ED190000}"/>
    <cellStyle name="20% - Accent3 11 3 3 2" xfId="36275" xr:uid="{00000000-0005-0000-0000-0000EE190000}"/>
    <cellStyle name="20% - Accent3 11 3 4" xfId="24974" xr:uid="{00000000-0005-0000-0000-0000EF190000}"/>
    <cellStyle name="20% - Accent3 11 4" xfId="3974" xr:uid="{00000000-0005-0000-0000-0000F0190000}"/>
    <cellStyle name="20% - Accent3 11 4 2" xfId="9624" xr:uid="{00000000-0005-0000-0000-0000F1190000}"/>
    <cellStyle name="20% - Accent3 11 4 2 2" xfId="20925" xr:uid="{00000000-0005-0000-0000-0000F2190000}"/>
    <cellStyle name="20% - Accent3 11 4 2 2 2" xfId="43527" xr:uid="{00000000-0005-0000-0000-0000F3190000}"/>
    <cellStyle name="20% - Accent3 11 4 2 3" xfId="32226" xr:uid="{00000000-0005-0000-0000-0000F4190000}"/>
    <cellStyle name="20% - Accent3 11 4 3" xfId="15275" xr:uid="{00000000-0005-0000-0000-0000F5190000}"/>
    <cellStyle name="20% - Accent3 11 4 3 2" xfId="37877" xr:uid="{00000000-0005-0000-0000-0000F6190000}"/>
    <cellStyle name="20% - Accent3 11 4 4" xfId="26576" xr:uid="{00000000-0005-0000-0000-0000F7190000}"/>
    <cellStyle name="20% - Accent3 11 5" xfId="7391" xr:uid="{00000000-0005-0000-0000-0000F8190000}"/>
    <cellStyle name="20% - Accent3 11 5 2" xfId="18692" xr:uid="{00000000-0005-0000-0000-0000F9190000}"/>
    <cellStyle name="20% - Accent3 11 5 2 2" xfId="41294" xr:uid="{00000000-0005-0000-0000-0000FA190000}"/>
    <cellStyle name="20% - Accent3 11 5 3" xfId="29993" xr:uid="{00000000-0005-0000-0000-0000FB190000}"/>
    <cellStyle name="20% - Accent3 11 6" xfId="13042" xr:uid="{00000000-0005-0000-0000-0000FC190000}"/>
    <cellStyle name="20% - Accent3 11 6 2" xfId="35644" xr:uid="{00000000-0005-0000-0000-0000FD190000}"/>
    <cellStyle name="20% - Accent3 11 7" xfId="24343" xr:uid="{00000000-0005-0000-0000-0000FE190000}"/>
    <cellStyle name="20% - Accent3 12" xfId="1412" xr:uid="{00000000-0005-0000-0000-0000FF190000}"/>
    <cellStyle name="20% - Accent3 12 2" xfId="3912" xr:uid="{00000000-0005-0000-0000-0000001A0000}"/>
    <cellStyle name="20% - Accent3 12 2 2" xfId="9605" xr:uid="{00000000-0005-0000-0000-0000011A0000}"/>
    <cellStyle name="20% - Accent3 12 2 2 2" xfId="20906" xr:uid="{00000000-0005-0000-0000-0000021A0000}"/>
    <cellStyle name="20% - Accent3 12 2 2 2 2" xfId="43508" xr:uid="{00000000-0005-0000-0000-0000031A0000}"/>
    <cellStyle name="20% - Accent3 12 2 2 3" xfId="32207" xr:uid="{00000000-0005-0000-0000-0000041A0000}"/>
    <cellStyle name="20% - Accent3 12 2 3" xfId="15256" xr:uid="{00000000-0005-0000-0000-0000051A0000}"/>
    <cellStyle name="20% - Accent3 12 2 3 2" xfId="37858" xr:uid="{00000000-0005-0000-0000-0000061A0000}"/>
    <cellStyle name="20% - Accent3 12 2 4" xfId="26557" xr:uid="{00000000-0005-0000-0000-0000071A0000}"/>
    <cellStyle name="20% - Accent3 13" xfId="3512" xr:uid="{00000000-0005-0000-0000-0000081A0000}"/>
    <cellStyle name="20% - Accent3 14" xfId="105" xr:uid="{00000000-0005-0000-0000-0000091A0000}"/>
    <cellStyle name="20% - Accent3 2" xfId="50" xr:uid="{00000000-0005-0000-0000-00000A1A0000}"/>
    <cellStyle name="20% - Accent3 2 2" xfId="379" xr:uid="{00000000-0005-0000-0000-00000B1A0000}"/>
    <cellStyle name="20% - Accent3 2 2 10" xfId="23481" xr:uid="{00000000-0005-0000-0000-00000C1A0000}"/>
    <cellStyle name="20% - Accent3 2 2 2" xfId="631" xr:uid="{00000000-0005-0000-0000-00000D1A0000}"/>
    <cellStyle name="20% - Accent3 2 2 2 2" xfId="1341" xr:uid="{00000000-0005-0000-0000-00000E1A0000}"/>
    <cellStyle name="20% - Accent3 2 2 2 2 2" xfId="1631" xr:uid="{00000000-0005-0000-0000-00000F1A0000}"/>
    <cellStyle name="20% - Accent3 2 2 2 2 2 2" xfId="3410" xr:uid="{00000000-0005-0000-0000-0000101A0000}"/>
    <cellStyle name="20% - Accent3 2 2 2 2 2 2 2" xfId="6382" xr:uid="{00000000-0005-0000-0000-0000111A0000}"/>
    <cellStyle name="20% - Accent3 2 2 2 2 2 2 2 2" xfId="12032" xr:uid="{00000000-0005-0000-0000-0000121A0000}"/>
    <cellStyle name="20% - Accent3 2 2 2 2 2 2 2 2 2" xfId="23333" xr:uid="{00000000-0005-0000-0000-0000131A0000}"/>
    <cellStyle name="20% - Accent3 2 2 2 2 2 2 2 2 2 2" xfId="45935" xr:uid="{00000000-0005-0000-0000-0000141A0000}"/>
    <cellStyle name="20% - Accent3 2 2 2 2 2 2 2 2 3" xfId="34634" xr:uid="{00000000-0005-0000-0000-0000151A0000}"/>
    <cellStyle name="20% - Accent3 2 2 2 2 2 2 2 3" xfId="17683" xr:uid="{00000000-0005-0000-0000-0000161A0000}"/>
    <cellStyle name="20% - Accent3 2 2 2 2 2 2 2 3 2" xfId="40285" xr:uid="{00000000-0005-0000-0000-0000171A0000}"/>
    <cellStyle name="20% - Accent3 2 2 2 2 2 2 2 4" xfId="28984" xr:uid="{00000000-0005-0000-0000-0000181A0000}"/>
    <cellStyle name="20% - Accent3 2 2 2 2 2 2 3" xfId="9200" xr:uid="{00000000-0005-0000-0000-0000191A0000}"/>
    <cellStyle name="20% - Accent3 2 2 2 2 2 2 3 2" xfId="20501" xr:uid="{00000000-0005-0000-0000-00001A1A0000}"/>
    <cellStyle name="20% - Accent3 2 2 2 2 2 2 3 2 2" xfId="43103" xr:uid="{00000000-0005-0000-0000-00001B1A0000}"/>
    <cellStyle name="20% - Accent3 2 2 2 2 2 2 3 3" xfId="31802" xr:uid="{00000000-0005-0000-0000-00001C1A0000}"/>
    <cellStyle name="20% - Accent3 2 2 2 2 2 2 4" xfId="14851" xr:uid="{00000000-0005-0000-0000-00001D1A0000}"/>
    <cellStyle name="20% - Accent3 2 2 2 2 2 2 4 2" xfId="37453" xr:uid="{00000000-0005-0000-0000-00001E1A0000}"/>
    <cellStyle name="20% - Accent3 2 2 2 2 2 2 5" xfId="26152" xr:uid="{00000000-0005-0000-0000-00001F1A0000}"/>
    <cellStyle name="20% - Accent3 2 2 2 2 2 3" xfId="5148" xr:uid="{00000000-0005-0000-0000-0000201A0000}"/>
    <cellStyle name="20% - Accent3 2 2 2 2 2 3 2" xfId="10798" xr:uid="{00000000-0005-0000-0000-0000211A0000}"/>
    <cellStyle name="20% - Accent3 2 2 2 2 2 3 2 2" xfId="22099" xr:uid="{00000000-0005-0000-0000-0000221A0000}"/>
    <cellStyle name="20% - Accent3 2 2 2 2 2 3 2 2 2" xfId="44701" xr:uid="{00000000-0005-0000-0000-0000231A0000}"/>
    <cellStyle name="20% - Accent3 2 2 2 2 2 3 2 3" xfId="33400" xr:uid="{00000000-0005-0000-0000-0000241A0000}"/>
    <cellStyle name="20% - Accent3 2 2 2 2 2 3 3" xfId="16449" xr:uid="{00000000-0005-0000-0000-0000251A0000}"/>
    <cellStyle name="20% - Accent3 2 2 2 2 2 3 3 2" xfId="39051" xr:uid="{00000000-0005-0000-0000-0000261A0000}"/>
    <cellStyle name="20% - Accent3 2 2 2 2 2 3 4" xfId="27750" xr:uid="{00000000-0005-0000-0000-0000271A0000}"/>
    <cellStyle name="20% - Accent3 2 2 2 2 2 4" xfId="7487" xr:uid="{00000000-0005-0000-0000-0000281A0000}"/>
    <cellStyle name="20% - Accent3 2 2 2 2 2 4 2" xfId="18788" xr:uid="{00000000-0005-0000-0000-0000291A0000}"/>
    <cellStyle name="20% - Accent3 2 2 2 2 2 4 2 2" xfId="41390" xr:uid="{00000000-0005-0000-0000-00002A1A0000}"/>
    <cellStyle name="20% - Accent3 2 2 2 2 2 4 3" xfId="30089" xr:uid="{00000000-0005-0000-0000-00002B1A0000}"/>
    <cellStyle name="20% - Accent3 2 2 2 2 2 5" xfId="13138" xr:uid="{00000000-0005-0000-0000-00002C1A0000}"/>
    <cellStyle name="20% - Accent3 2 2 2 2 2 5 2" xfId="35740" xr:uid="{00000000-0005-0000-0000-00002D1A0000}"/>
    <cellStyle name="20% - Accent3 2 2 2 2 2 6" xfId="24439" xr:uid="{00000000-0005-0000-0000-00002E1A0000}"/>
    <cellStyle name="20% - Accent3 2 2 2 2 3" xfId="2739" xr:uid="{00000000-0005-0000-0000-00002F1A0000}"/>
    <cellStyle name="20% - Accent3 2 2 2 2 3 2" xfId="5758" xr:uid="{00000000-0005-0000-0000-0000301A0000}"/>
    <cellStyle name="20% - Accent3 2 2 2 2 3 2 2" xfId="11408" xr:uid="{00000000-0005-0000-0000-0000311A0000}"/>
    <cellStyle name="20% - Accent3 2 2 2 2 3 2 2 2" xfId="22709" xr:uid="{00000000-0005-0000-0000-0000321A0000}"/>
    <cellStyle name="20% - Accent3 2 2 2 2 3 2 2 2 2" xfId="45311" xr:uid="{00000000-0005-0000-0000-0000331A0000}"/>
    <cellStyle name="20% - Accent3 2 2 2 2 3 2 2 3" xfId="34010" xr:uid="{00000000-0005-0000-0000-0000341A0000}"/>
    <cellStyle name="20% - Accent3 2 2 2 2 3 2 3" xfId="17059" xr:uid="{00000000-0005-0000-0000-0000351A0000}"/>
    <cellStyle name="20% - Accent3 2 2 2 2 3 2 3 2" xfId="39661" xr:uid="{00000000-0005-0000-0000-0000361A0000}"/>
    <cellStyle name="20% - Accent3 2 2 2 2 3 2 4" xfId="28360" xr:uid="{00000000-0005-0000-0000-0000371A0000}"/>
    <cellStyle name="20% - Accent3 2 2 2 2 3 3" xfId="8575" xr:uid="{00000000-0005-0000-0000-0000381A0000}"/>
    <cellStyle name="20% - Accent3 2 2 2 2 3 3 2" xfId="19876" xr:uid="{00000000-0005-0000-0000-0000391A0000}"/>
    <cellStyle name="20% - Accent3 2 2 2 2 3 3 2 2" xfId="42478" xr:uid="{00000000-0005-0000-0000-00003A1A0000}"/>
    <cellStyle name="20% - Accent3 2 2 2 2 3 3 3" xfId="31177" xr:uid="{00000000-0005-0000-0000-00003B1A0000}"/>
    <cellStyle name="20% - Accent3 2 2 2 2 3 4" xfId="14226" xr:uid="{00000000-0005-0000-0000-00003C1A0000}"/>
    <cellStyle name="20% - Accent3 2 2 2 2 3 4 2" xfId="36828" xr:uid="{00000000-0005-0000-0000-00003D1A0000}"/>
    <cellStyle name="20% - Accent3 2 2 2 2 3 5" xfId="25527" xr:uid="{00000000-0005-0000-0000-00003E1A0000}"/>
    <cellStyle name="20% - Accent3 2 2 2 2 4" xfId="4524" xr:uid="{00000000-0005-0000-0000-00003F1A0000}"/>
    <cellStyle name="20% - Accent3 2 2 2 2 4 2" xfId="10174" xr:uid="{00000000-0005-0000-0000-0000401A0000}"/>
    <cellStyle name="20% - Accent3 2 2 2 2 4 2 2" xfId="21475" xr:uid="{00000000-0005-0000-0000-0000411A0000}"/>
    <cellStyle name="20% - Accent3 2 2 2 2 4 2 2 2" xfId="44077" xr:uid="{00000000-0005-0000-0000-0000421A0000}"/>
    <cellStyle name="20% - Accent3 2 2 2 2 4 2 3" xfId="32776" xr:uid="{00000000-0005-0000-0000-0000431A0000}"/>
    <cellStyle name="20% - Accent3 2 2 2 2 4 3" xfId="15825" xr:uid="{00000000-0005-0000-0000-0000441A0000}"/>
    <cellStyle name="20% - Accent3 2 2 2 2 4 3 2" xfId="38427" xr:uid="{00000000-0005-0000-0000-0000451A0000}"/>
    <cellStyle name="20% - Accent3 2 2 2 2 4 4" xfId="27126" xr:uid="{00000000-0005-0000-0000-0000461A0000}"/>
    <cellStyle name="20% - Accent3 2 2 2 2 5" xfId="7320" xr:uid="{00000000-0005-0000-0000-0000471A0000}"/>
    <cellStyle name="20% - Accent3 2 2 2 2 5 2" xfId="18621" xr:uid="{00000000-0005-0000-0000-0000481A0000}"/>
    <cellStyle name="20% - Accent3 2 2 2 2 5 2 2" xfId="41223" xr:uid="{00000000-0005-0000-0000-0000491A0000}"/>
    <cellStyle name="20% - Accent3 2 2 2 2 5 3" xfId="29922" xr:uid="{00000000-0005-0000-0000-00004A1A0000}"/>
    <cellStyle name="20% - Accent3 2 2 2 2 6" xfId="12971" xr:uid="{00000000-0005-0000-0000-00004B1A0000}"/>
    <cellStyle name="20% - Accent3 2 2 2 2 6 2" xfId="35573" xr:uid="{00000000-0005-0000-0000-00004C1A0000}"/>
    <cellStyle name="20% - Accent3 2 2 2 2 7" xfId="24272" xr:uid="{00000000-0005-0000-0000-00004D1A0000}"/>
    <cellStyle name="20% - Accent3 2 2 2 3" xfId="1039" xr:uid="{00000000-0005-0000-0000-00004E1A0000}"/>
    <cellStyle name="20% - Accent3 2 2 2 3 2" xfId="3102" xr:uid="{00000000-0005-0000-0000-00004F1A0000}"/>
    <cellStyle name="20% - Accent3 2 2 2 3 2 2" xfId="6074" xr:uid="{00000000-0005-0000-0000-0000501A0000}"/>
    <cellStyle name="20% - Accent3 2 2 2 3 2 2 2" xfId="11724" xr:uid="{00000000-0005-0000-0000-0000511A0000}"/>
    <cellStyle name="20% - Accent3 2 2 2 3 2 2 2 2" xfId="23025" xr:uid="{00000000-0005-0000-0000-0000521A0000}"/>
    <cellStyle name="20% - Accent3 2 2 2 3 2 2 2 2 2" xfId="45627" xr:uid="{00000000-0005-0000-0000-0000531A0000}"/>
    <cellStyle name="20% - Accent3 2 2 2 3 2 2 2 3" xfId="34326" xr:uid="{00000000-0005-0000-0000-0000541A0000}"/>
    <cellStyle name="20% - Accent3 2 2 2 3 2 2 3" xfId="17375" xr:uid="{00000000-0005-0000-0000-0000551A0000}"/>
    <cellStyle name="20% - Accent3 2 2 2 3 2 2 3 2" xfId="39977" xr:uid="{00000000-0005-0000-0000-0000561A0000}"/>
    <cellStyle name="20% - Accent3 2 2 2 3 2 2 4" xfId="28676" xr:uid="{00000000-0005-0000-0000-0000571A0000}"/>
    <cellStyle name="20% - Accent3 2 2 2 3 2 3" xfId="8892" xr:uid="{00000000-0005-0000-0000-0000581A0000}"/>
    <cellStyle name="20% - Accent3 2 2 2 3 2 3 2" xfId="20193" xr:uid="{00000000-0005-0000-0000-0000591A0000}"/>
    <cellStyle name="20% - Accent3 2 2 2 3 2 3 2 2" xfId="42795" xr:uid="{00000000-0005-0000-0000-00005A1A0000}"/>
    <cellStyle name="20% - Accent3 2 2 2 3 2 3 3" xfId="31494" xr:uid="{00000000-0005-0000-0000-00005B1A0000}"/>
    <cellStyle name="20% - Accent3 2 2 2 3 2 4" xfId="14543" xr:uid="{00000000-0005-0000-0000-00005C1A0000}"/>
    <cellStyle name="20% - Accent3 2 2 2 3 2 4 2" xfId="37145" xr:uid="{00000000-0005-0000-0000-00005D1A0000}"/>
    <cellStyle name="20% - Accent3 2 2 2 3 2 5" xfId="25844" xr:uid="{00000000-0005-0000-0000-00005E1A0000}"/>
    <cellStyle name="20% - Accent3 2 2 2 3 3" xfId="4840" xr:uid="{00000000-0005-0000-0000-00005F1A0000}"/>
    <cellStyle name="20% - Accent3 2 2 2 3 3 2" xfId="10490" xr:uid="{00000000-0005-0000-0000-0000601A0000}"/>
    <cellStyle name="20% - Accent3 2 2 2 3 3 2 2" xfId="21791" xr:uid="{00000000-0005-0000-0000-0000611A0000}"/>
    <cellStyle name="20% - Accent3 2 2 2 3 3 2 2 2" xfId="44393" xr:uid="{00000000-0005-0000-0000-0000621A0000}"/>
    <cellStyle name="20% - Accent3 2 2 2 3 3 2 3" xfId="33092" xr:uid="{00000000-0005-0000-0000-0000631A0000}"/>
    <cellStyle name="20% - Accent3 2 2 2 3 3 3" xfId="16141" xr:uid="{00000000-0005-0000-0000-0000641A0000}"/>
    <cellStyle name="20% - Accent3 2 2 2 3 3 3 2" xfId="38743" xr:uid="{00000000-0005-0000-0000-0000651A0000}"/>
    <cellStyle name="20% - Accent3 2 2 2 3 3 4" xfId="27442" xr:uid="{00000000-0005-0000-0000-0000661A0000}"/>
    <cellStyle name="20% - Accent3 2 2 2 3 4" xfId="7027" xr:uid="{00000000-0005-0000-0000-0000671A0000}"/>
    <cellStyle name="20% - Accent3 2 2 2 3 4 2" xfId="18328" xr:uid="{00000000-0005-0000-0000-0000681A0000}"/>
    <cellStyle name="20% - Accent3 2 2 2 3 4 2 2" xfId="40930" xr:uid="{00000000-0005-0000-0000-0000691A0000}"/>
    <cellStyle name="20% - Accent3 2 2 2 3 4 3" xfId="29629" xr:uid="{00000000-0005-0000-0000-00006A1A0000}"/>
    <cellStyle name="20% - Accent3 2 2 2 3 5" xfId="12678" xr:uid="{00000000-0005-0000-0000-00006B1A0000}"/>
    <cellStyle name="20% - Accent3 2 2 2 3 5 2" xfId="35280" xr:uid="{00000000-0005-0000-0000-00006C1A0000}"/>
    <cellStyle name="20% - Accent3 2 2 2 3 6" xfId="23979" xr:uid="{00000000-0005-0000-0000-00006D1A0000}"/>
    <cellStyle name="20% - Accent3 2 2 2 4" xfId="1630" xr:uid="{00000000-0005-0000-0000-00006E1A0000}"/>
    <cellStyle name="20% - Accent3 2 2 2 4 2" xfId="3607" xr:uid="{00000000-0005-0000-0000-00006F1A0000}"/>
    <cellStyle name="20% - Accent3 2 2 2 4 2 2" xfId="9321" xr:uid="{00000000-0005-0000-0000-0000701A0000}"/>
    <cellStyle name="20% - Accent3 2 2 2 4 2 2 2" xfId="20622" xr:uid="{00000000-0005-0000-0000-0000711A0000}"/>
    <cellStyle name="20% - Accent3 2 2 2 4 2 2 2 2" xfId="43224" xr:uid="{00000000-0005-0000-0000-0000721A0000}"/>
    <cellStyle name="20% - Accent3 2 2 2 4 2 2 3" xfId="31923" xr:uid="{00000000-0005-0000-0000-0000731A0000}"/>
    <cellStyle name="20% - Accent3 2 2 2 4 2 3" xfId="14972" xr:uid="{00000000-0005-0000-0000-0000741A0000}"/>
    <cellStyle name="20% - Accent3 2 2 2 4 2 3 2" xfId="37574" xr:uid="{00000000-0005-0000-0000-0000751A0000}"/>
    <cellStyle name="20% - Accent3 2 2 2 4 2 4" xfId="26273" xr:uid="{00000000-0005-0000-0000-0000761A0000}"/>
    <cellStyle name="20% - Accent3 2 2 2 4 3" xfId="5450" xr:uid="{00000000-0005-0000-0000-0000771A0000}"/>
    <cellStyle name="20% - Accent3 2 2 2 4 3 2" xfId="11100" xr:uid="{00000000-0005-0000-0000-0000781A0000}"/>
    <cellStyle name="20% - Accent3 2 2 2 4 3 2 2" xfId="22401" xr:uid="{00000000-0005-0000-0000-0000791A0000}"/>
    <cellStyle name="20% - Accent3 2 2 2 4 3 2 2 2" xfId="45003" xr:uid="{00000000-0005-0000-0000-00007A1A0000}"/>
    <cellStyle name="20% - Accent3 2 2 2 4 3 2 3" xfId="33702" xr:uid="{00000000-0005-0000-0000-00007B1A0000}"/>
    <cellStyle name="20% - Accent3 2 2 2 4 3 3" xfId="16751" xr:uid="{00000000-0005-0000-0000-00007C1A0000}"/>
    <cellStyle name="20% - Accent3 2 2 2 4 3 3 2" xfId="39353" xr:uid="{00000000-0005-0000-0000-00007D1A0000}"/>
    <cellStyle name="20% - Accent3 2 2 2 4 3 4" xfId="28052" xr:uid="{00000000-0005-0000-0000-00007E1A0000}"/>
    <cellStyle name="20% - Accent3 2 2 2 4 4" xfId="7486" xr:uid="{00000000-0005-0000-0000-00007F1A0000}"/>
    <cellStyle name="20% - Accent3 2 2 2 4 4 2" xfId="18787" xr:uid="{00000000-0005-0000-0000-0000801A0000}"/>
    <cellStyle name="20% - Accent3 2 2 2 4 4 2 2" xfId="41389" xr:uid="{00000000-0005-0000-0000-0000811A0000}"/>
    <cellStyle name="20% - Accent3 2 2 2 4 4 3" xfId="30088" xr:uid="{00000000-0005-0000-0000-0000821A0000}"/>
    <cellStyle name="20% - Accent3 2 2 2 4 5" xfId="13137" xr:uid="{00000000-0005-0000-0000-0000831A0000}"/>
    <cellStyle name="20% - Accent3 2 2 2 4 5 2" xfId="35739" xr:uid="{00000000-0005-0000-0000-0000841A0000}"/>
    <cellStyle name="20% - Accent3 2 2 2 4 6" xfId="24438" xr:uid="{00000000-0005-0000-0000-0000851A0000}"/>
    <cellStyle name="20% - Accent3 2 2 2 5" xfId="2431" xr:uid="{00000000-0005-0000-0000-0000861A0000}"/>
    <cellStyle name="20% - Accent3 2 2 2 5 2" xfId="8267" xr:uid="{00000000-0005-0000-0000-0000871A0000}"/>
    <cellStyle name="20% - Accent3 2 2 2 5 2 2" xfId="19568" xr:uid="{00000000-0005-0000-0000-0000881A0000}"/>
    <cellStyle name="20% - Accent3 2 2 2 5 2 2 2" xfId="42170" xr:uid="{00000000-0005-0000-0000-0000891A0000}"/>
    <cellStyle name="20% - Accent3 2 2 2 5 2 3" xfId="30869" xr:uid="{00000000-0005-0000-0000-00008A1A0000}"/>
    <cellStyle name="20% - Accent3 2 2 2 5 3" xfId="13918" xr:uid="{00000000-0005-0000-0000-00008B1A0000}"/>
    <cellStyle name="20% - Accent3 2 2 2 5 3 2" xfId="36520" xr:uid="{00000000-0005-0000-0000-00008C1A0000}"/>
    <cellStyle name="20% - Accent3 2 2 2 5 4" xfId="25219" xr:uid="{00000000-0005-0000-0000-00008D1A0000}"/>
    <cellStyle name="20% - Accent3 2 2 2 6" xfId="4216" xr:uid="{00000000-0005-0000-0000-00008E1A0000}"/>
    <cellStyle name="20% - Accent3 2 2 2 6 2" xfId="9866" xr:uid="{00000000-0005-0000-0000-00008F1A0000}"/>
    <cellStyle name="20% - Accent3 2 2 2 6 2 2" xfId="21167" xr:uid="{00000000-0005-0000-0000-0000901A0000}"/>
    <cellStyle name="20% - Accent3 2 2 2 6 2 2 2" xfId="43769" xr:uid="{00000000-0005-0000-0000-0000911A0000}"/>
    <cellStyle name="20% - Accent3 2 2 2 6 2 3" xfId="32468" xr:uid="{00000000-0005-0000-0000-0000921A0000}"/>
    <cellStyle name="20% - Accent3 2 2 2 6 3" xfId="15517" xr:uid="{00000000-0005-0000-0000-0000931A0000}"/>
    <cellStyle name="20% - Accent3 2 2 2 6 3 2" xfId="38119" xr:uid="{00000000-0005-0000-0000-0000941A0000}"/>
    <cellStyle name="20% - Accent3 2 2 2 6 4" xfId="26818" xr:uid="{00000000-0005-0000-0000-0000951A0000}"/>
    <cellStyle name="20% - Accent3 2 2 2 7" xfId="6696" xr:uid="{00000000-0005-0000-0000-0000961A0000}"/>
    <cellStyle name="20% - Accent3 2 2 2 7 2" xfId="17997" xr:uid="{00000000-0005-0000-0000-0000971A0000}"/>
    <cellStyle name="20% - Accent3 2 2 2 7 2 2" xfId="40599" xr:uid="{00000000-0005-0000-0000-0000981A0000}"/>
    <cellStyle name="20% - Accent3 2 2 2 7 3" xfId="29298" xr:uid="{00000000-0005-0000-0000-0000991A0000}"/>
    <cellStyle name="20% - Accent3 2 2 2 8" xfId="12347" xr:uid="{00000000-0005-0000-0000-00009A1A0000}"/>
    <cellStyle name="20% - Accent3 2 2 2 8 2" xfId="34949" xr:uid="{00000000-0005-0000-0000-00009B1A0000}"/>
    <cellStyle name="20% - Accent3 2 2 2 9" xfId="23648" xr:uid="{00000000-0005-0000-0000-00009C1A0000}"/>
    <cellStyle name="20% - Accent3 2 2 3" xfId="1203" xr:uid="{00000000-0005-0000-0000-00009D1A0000}"/>
    <cellStyle name="20% - Accent3 2 2 3 2" xfId="1632" xr:uid="{00000000-0005-0000-0000-00009E1A0000}"/>
    <cellStyle name="20% - Accent3 2 2 3 2 2" xfId="3271" xr:uid="{00000000-0005-0000-0000-00009F1A0000}"/>
    <cellStyle name="20% - Accent3 2 2 3 2 2 2" xfId="6243" xr:uid="{00000000-0005-0000-0000-0000A01A0000}"/>
    <cellStyle name="20% - Accent3 2 2 3 2 2 2 2" xfId="11893" xr:uid="{00000000-0005-0000-0000-0000A11A0000}"/>
    <cellStyle name="20% - Accent3 2 2 3 2 2 2 2 2" xfId="23194" xr:uid="{00000000-0005-0000-0000-0000A21A0000}"/>
    <cellStyle name="20% - Accent3 2 2 3 2 2 2 2 2 2" xfId="45796" xr:uid="{00000000-0005-0000-0000-0000A31A0000}"/>
    <cellStyle name="20% - Accent3 2 2 3 2 2 2 2 3" xfId="34495" xr:uid="{00000000-0005-0000-0000-0000A41A0000}"/>
    <cellStyle name="20% - Accent3 2 2 3 2 2 2 3" xfId="17544" xr:uid="{00000000-0005-0000-0000-0000A51A0000}"/>
    <cellStyle name="20% - Accent3 2 2 3 2 2 2 3 2" xfId="40146" xr:uid="{00000000-0005-0000-0000-0000A61A0000}"/>
    <cellStyle name="20% - Accent3 2 2 3 2 2 2 4" xfId="28845" xr:uid="{00000000-0005-0000-0000-0000A71A0000}"/>
    <cellStyle name="20% - Accent3 2 2 3 2 2 3" xfId="9061" xr:uid="{00000000-0005-0000-0000-0000A81A0000}"/>
    <cellStyle name="20% - Accent3 2 2 3 2 2 3 2" xfId="20362" xr:uid="{00000000-0005-0000-0000-0000A91A0000}"/>
    <cellStyle name="20% - Accent3 2 2 3 2 2 3 2 2" xfId="42964" xr:uid="{00000000-0005-0000-0000-0000AA1A0000}"/>
    <cellStyle name="20% - Accent3 2 2 3 2 2 3 3" xfId="31663" xr:uid="{00000000-0005-0000-0000-0000AB1A0000}"/>
    <cellStyle name="20% - Accent3 2 2 3 2 2 4" xfId="14712" xr:uid="{00000000-0005-0000-0000-0000AC1A0000}"/>
    <cellStyle name="20% - Accent3 2 2 3 2 2 4 2" xfId="37314" xr:uid="{00000000-0005-0000-0000-0000AD1A0000}"/>
    <cellStyle name="20% - Accent3 2 2 3 2 2 5" xfId="26013" xr:uid="{00000000-0005-0000-0000-0000AE1A0000}"/>
    <cellStyle name="20% - Accent3 2 2 3 2 3" xfId="5009" xr:uid="{00000000-0005-0000-0000-0000AF1A0000}"/>
    <cellStyle name="20% - Accent3 2 2 3 2 3 2" xfId="10659" xr:uid="{00000000-0005-0000-0000-0000B01A0000}"/>
    <cellStyle name="20% - Accent3 2 2 3 2 3 2 2" xfId="21960" xr:uid="{00000000-0005-0000-0000-0000B11A0000}"/>
    <cellStyle name="20% - Accent3 2 2 3 2 3 2 2 2" xfId="44562" xr:uid="{00000000-0005-0000-0000-0000B21A0000}"/>
    <cellStyle name="20% - Accent3 2 2 3 2 3 2 3" xfId="33261" xr:uid="{00000000-0005-0000-0000-0000B31A0000}"/>
    <cellStyle name="20% - Accent3 2 2 3 2 3 3" xfId="16310" xr:uid="{00000000-0005-0000-0000-0000B41A0000}"/>
    <cellStyle name="20% - Accent3 2 2 3 2 3 3 2" xfId="38912" xr:uid="{00000000-0005-0000-0000-0000B51A0000}"/>
    <cellStyle name="20% - Accent3 2 2 3 2 3 4" xfId="27611" xr:uid="{00000000-0005-0000-0000-0000B61A0000}"/>
    <cellStyle name="20% - Accent3 2 2 3 2 4" xfId="7488" xr:uid="{00000000-0005-0000-0000-0000B71A0000}"/>
    <cellStyle name="20% - Accent3 2 2 3 2 4 2" xfId="18789" xr:uid="{00000000-0005-0000-0000-0000B81A0000}"/>
    <cellStyle name="20% - Accent3 2 2 3 2 4 2 2" xfId="41391" xr:uid="{00000000-0005-0000-0000-0000B91A0000}"/>
    <cellStyle name="20% - Accent3 2 2 3 2 4 3" xfId="30090" xr:uid="{00000000-0005-0000-0000-0000BA1A0000}"/>
    <cellStyle name="20% - Accent3 2 2 3 2 5" xfId="13139" xr:uid="{00000000-0005-0000-0000-0000BB1A0000}"/>
    <cellStyle name="20% - Accent3 2 2 3 2 5 2" xfId="35741" xr:uid="{00000000-0005-0000-0000-0000BC1A0000}"/>
    <cellStyle name="20% - Accent3 2 2 3 2 6" xfId="24440" xr:uid="{00000000-0005-0000-0000-0000BD1A0000}"/>
    <cellStyle name="20% - Accent3 2 2 3 3" xfId="2600" xr:uid="{00000000-0005-0000-0000-0000BE1A0000}"/>
    <cellStyle name="20% - Accent3 2 2 3 3 2" xfId="5619" xr:uid="{00000000-0005-0000-0000-0000BF1A0000}"/>
    <cellStyle name="20% - Accent3 2 2 3 3 2 2" xfId="11269" xr:uid="{00000000-0005-0000-0000-0000C01A0000}"/>
    <cellStyle name="20% - Accent3 2 2 3 3 2 2 2" xfId="22570" xr:uid="{00000000-0005-0000-0000-0000C11A0000}"/>
    <cellStyle name="20% - Accent3 2 2 3 3 2 2 2 2" xfId="45172" xr:uid="{00000000-0005-0000-0000-0000C21A0000}"/>
    <cellStyle name="20% - Accent3 2 2 3 3 2 2 3" xfId="33871" xr:uid="{00000000-0005-0000-0000-0000C31A0000}"/>
    <cellStyle name="20% - Accent3 2 2 3 3 2 3" xfId="16920" xr:uid="{00000000-0005-0000-0000-0000C41A0000}"/>
    <cellStyle name="20% - Accent3 2 2 3 3 2 3 2" xfId="39522" xr:uid="{00000000-0005-0000-0000-0000C51A0000}"/>
    <cellStyle name="20% - Accent3 2 2 3 3 2 4" xfId="28221" xr:uid="{00000000-0005-0000-0000-0000C61A0000}"/>
    <cellStyle name="20% - Accent3 2 2 3 3 3" xfId="8436" xr:uid="{00000000-0005-0000-0000-0000C71A0000}"/>
    <cellStyle name="20% - Accent3 2 2 3 3 3 2" xfId="19737" xr:uid="{00000000-0005-0000-0000-0000C81A0000}"/>
    <cellStyle name="20% - Accent3 2 2 3 3 3 2 2" xfId="42339" xr:uid="{00000000-0005-0000-0000-0000C91A0000}"/>
    <cellStyle name="20% - Accent3 2 2 3 3 3 3" xfId="31038" xr:uid="{00000000-0005-0000-0000-0000CA1A0000}"/>
    <cellStyle name="20% - Accent3 2 2 3 3 4" xfId="14087" xr:uid="{00000000-0005-0000-0000-0000CB1A0000}"/>
    <cellStyle name="20% - Accent3 2 2 3 3 4 2" xfId="36689" xr:uid="{00000000-0005-0000-0000-0000CC1A0000}"/>
    <cellStyle name="20% - Accent3 2 2 3 3 5" xfId="25388" xr:uid="{00000000-0005-0000-0000-0000CD1A0000}"/>
    <cellStyle name="20% - Accent3 2 2 3 4" xfId="4385" xr:uid="{00000000-0005-0000-0000-0000CE1A0000}"/>
    <cellStyle name="20% - Accent3 2 2 3 4 2" xfId="10035" xr:uid="{00000000-0005-0000-0000-0000CF1A0000}"/>
    <cellStyle name="20% - Accent3 2 2 3 4 2 2" xfId="21336" xr:uid="{00000000-0005-0000-0000-0000D01A0000}"/>
    <cellStyle name="20% - Accent3 2 2 3 4 2 2 2" xfId="43938" xr:uid="{00000000-0005-0000-0000-0000D11A0000}"/>
    <cellStyle name="20% - Accent3 2 2 3 4 2 3" xfId="32637" xr:uid="{00000000-0005-0000-0000-0000D21A0000}"/>
    <cellStyle name="20% - Accent3 2 2 3 4 3" xfId="15686" xr:uid="{00000000-0005-0000-0000-0000D31A0000}"/>
    <cellStyle name="20% - Accent3 2 2 3 4 3 2" xfId="38288" xr:uid="{00000000-0005-0000-0000-0000D41A0000}"/>
    <cellStyle name="20% - Accent3 2 2 3 4 4" xfId="26987" xr:uid="{00000000-0005-0000-0000-0000D51A0000}"/>
    <cellStyle name="20% - Accent3 2 2 3 5" xfId="7182" xr:uid="{00000000-0005-0000-0000-0000D61A0000}"/>
    <cellStyle name="20% - Accent3 2 2 3 5 2" xfId="18483" xr:uid="{00000000-0005-0000-0000-0000D71A0000}"/>
    <cellStyle name="20% - Accent3 2 2 3 5 2 2" xfId="41085" xr:uid="{00000000-0005-0000-0000-0000D81A0000}"/>
    <cellStyle name="20% - Accent3 2 2 3 5 3" xfId="29784" xr:uid="{00000000-0005-0000-0000-0000D91A0000}"/>
    <cellStyle name="20% - Accent3 2 2 3 6" xfId="12833" xr:uid="{00000000-0005-0000-0000-0000DA1A0000}"/>
    <cellStyle name="20% - Accent3 2 2 3 6 2" xfId="35435" xr:uid="{00000000-0005-0000-0000-0000DB1A0000}"/>
    <cellStyle name="20% - Accent3 2 2 3 7" xfId="24134" xr:uid="{00000000-0005-0000-0000-0000DC1A0000}"/>
    <cellStyle name="20% - Accent3 2 2 4" xfId="893" xr:uid="{00000000-0005-0000-0000-0000DD1A0000}"/>
    <cellStyle name="20% - Accent3 2 2 4 2" xfId="2964" xr:uid="{00000000-0005-0000-0000-0000DE1A0000}"/>
    <cellStyle name="20% - Accent3 2 2 4 2 2" xfId="5936" xr:uid="{00000000-0005-0000-0000-0000DF1A0000}"/>
    <cellStyle name="20% - Accent3 2 2 4 2 2 2" xfId="11586" xr:uid="{00000000-0005-0000-0000-0000E01A0000}"/>
    <cellStyle name="20% - Accent3 2 2 4 2 2 2 2" xfId="22887" xr:uid="{00000000-0005-0000-0000-0000E11A0000}"/>
    <cellStyle name="20% - Accent3 2 2 4 2 2 2 2 2" xfId="45489" xr:uid="{00000000-0005-0000-0000-0000E21A0000}"/>
    <cellStyle name="20% - Accent3 2 2 4 2 2 2 3" xfId="34188" xr:uid="{00000000-0005-0000-0000-0000E31A0000}"/>
    <cellStyle name="20% - Accent3 2 2 4 2 2 3" xfId="17237" xr:uid="{00000000-0005-0000-0000-0000E41A0000}"/>
    <cellStyle name="20% - Accent3 2 2 4 2 2 3 2" xfId="39839" xr:uid="{00000000-0005-0000-0000-0000E51A0000}"/>
    <cellStyle name="20% - Accent3 2 2 4 2 2 4" xfId="28538" xr:uid="{00000000-0005-0000-0000-0000E61A0000}"/>
    <cellStyle name="20% - Accent3 2 2 4 2 3" xfId="8754" xr:uid="{00000000-0005-0000-0000-0000E71A0000}"/>
    <cellStyle name="20% - Accent3 2 2 4 2 3 2" xfId="20055" xr:uid="{00000000-0005-0000-0000-0000E81A0000}"/>
    <cellStyle name="20% - Accent3 2 2 4 2 3 2 2" xfId="42657" xr:uid="{00000000-0005-0000-0000-0000E91A0000}"/>
    <cellStyle name="20% - Accent3 2 2 4 2 3 3" xfId="31356" xr:uid="{00000000-0005-0000-0000-0000EA1A0000}"/>
    <cellStyle name="20% - Accent3 2 2 4 2 4" xfId="14405" xr:uid="{00000000-0005-0000-0000-0000EB1A0000}"/>
    <cellStyle name="20% - Accent3 2 2 4 2 4 2" xfId="37007" xr:uid="{00000000-0005-0000-0000-0000EC1A0000}"/>
    <cellStyle name="20% - Accent3 2 2 4 2 5" xfId="25706" xr:uid="{00000000-0005-0000-0000-0000ED1A0000}"/>
    <cellStyle name="20% - Accent3 2 2 4 3" xfId="4702" xr:uid="{00000000-0005-0000-0000-0000EE1A0000}"/>
    <cellStyle name="20% - Accent3 2 2 4 3 2" xfId="10352" xr:uid="{00000000-0005-0000-0000-0000EF1A0000}"/>
    <cellStyle name="20% - Accent3 2 2 4 3 2 2" xfId="21653" xr:uid="{00000000-0005-0000-0000-0000F01A0000}"/>
    <cellStyle name="20% - Accent3 2 2 4 3 2 2 2" xfId="44255" xr:uid="{00000000-0005-0000-0000-0000F11A0000}"/>
    <cellStyle name="20% - Accent3 2 2 4 3 2 3" xfId="32954" xr:uid="{00000000-0005-0000-0000-0000F21A0000}"/>
    <cellStyle name="20% - Accent3 2 2 4 3 3" xfId="16003" xr:uid="{00000000-0005-0000-0000-0000F31A0000}"/>
    <cellStyle name="20% - Accent3 2 2 4 3 3 2" xfId="38605" xr:uid="{00000000-0005-0000-0000-0000F41A0000}"/>
    <cellStyle name="20% - Accent3 2 2 4 3 4" xfId="27304" xr:uid="{00000000-0005-0000-0000-0000F51A0000}"/>
    <cellStyle name="20% - Accent3 2 2 4 4" xfId="6889" xr:uid="{00000000-0005-0000-0000-0000F61A0000}"/>
    <cellStyle name="20% - Accent3 2 2 4 4 2" xfId="18190" xr:uid="{00000000-0005-0000-0000-0000F71A0000}"/>
    <cellStyle name="20% - Accent3 2 2 4 4 2 2" xfId="40792" xr:uid="{00000000-0005-0000-0000-0000F81A0000}"/>
    <cellStyle name="20% - Accent3 2 2 4 4 3" xfId="29491" xr:uid="{00000000-0005-0000-0000-0000F91A0000}"/>
    <cellStyle name="20% - Accent3 2 2 4 5" xfId="12540" xr:uid="{00000000-0005-0000-0000-0000FA1A0000}"/>
    <cellStyle name="20% - Accent3 2 2 4 5 2" xfId="35142" xr:uid="{00000000-0005-0000-0000-0000FB1A0000}"/>
    <cellStyle name="20% - Accent3 2 2 4 6" xfId="23841" xr:uid="{00000000-0005-0000-0000-0000FC1A0000}"/>
    <cellStyle name="20% - Accent3 2 2 5" xfId="1629" xr:uid="{00000000-0005-0000-0000-0000FD1A0000}"/>
    <cellStyle name="20% - Accent3 2 2 5 2" xfId="3606" xr:uid="{00000000-0005-0000-0000-0000FE1A0000}"/>
    <cellStyle name="20% - Accent3 2 2 5 2 2" xfId="9320" xr:uid="{00000000-0005-0000-0000-0000FF1A0000}"/>
    <cellStyle name="20% - Accent3 2 2 5 2 2 2" xfId="20621" xr:uid="{00000000-0005-0000-0000-0000001B0000}"/>
    <cellStyle name="20% - Accent3 2 2 5 2 2 2 2" xfId="43223" xr:uid="{00000000-0005-0000-0000-0000011B0000}"/>
    <cellStyle name="20% - Accent3 2 2 5 2 2 3" xfId="31922" xr:uid="{00000000-0005-0000-0000-0000021B0000}"/>
    <cellStyle name="20% - Accent3 2 2 5 2 3" xfId="14971" xr:uid="{00000000-0005-0000-0000-0000031B0000}"/>
    <cellStyle name="20% - Accent3 2 2 5 2 3 2" xfId="37573" xr:uid="{00000000-0005-0000-0000-0000041B0000}"/>
    <cellStyle name="20% - Accent3 2 2 5 2 4" xfId="26272" xr:uid="{00000000-0005-0000-0000-0000051B0000}"/>
    <cellStyle name="20% - Accent3 2 2 5 3" xfId="5312" xr:uid="{00000000-0005-0000-0000-0000061B0000}"/>
    <cellStyle name="20% - Accent3 2 2 5 3 2" xfId="10962" xr:uid="{00000000-0005-0000-0000-0000071B0000}"/>
    <cellStyle name="20% - Accent3 2 2 5 3 2 2" xfId="22263" xr:uid="{00000000-0005-0000-0000-0000081B0000}"/>
    <cellStyle name="20% - Accent3 2 2 5 3 2 2 2" xfId="44865" xr:uid="{00000000-0005-0000-0000-0000091B0000}"/>
    <cellStyle name="20% - Accent3 2 2 5 3 2 3" xfId="33564" xr:uid="{00000000-0005-0000-0000-00000A1B0000}"/>
    <cellStyle name="20% - Accent3 2 2 5 3 3" xfId="16613" xr:uid="{00000000-0005-0000-0000-00000B1B0000}"/>
    <cellStyle name="20% - Accent3 2 2 5 3 3 2" xfId="39215" xr:uid="{00000000-0005-0000-0000-00000C1B0000}"/>
    <cellStyle name="20% - Accent3 2 2 5 3 4" xfId="27914" xr:uid="{00000000-0005-0000-0000-00000D1B0000}"/>
    <cellStyle name="20% - Accent3 2 2 5 4" xfId="7485" xr:uid="{00000000-0005-0000-0000-00000E1B0000}"/>
    <cellStyle name="20% - Accent3 2 2 5 4 2" xfId="18786" xr:uid="{00000000-0005-0000-0000-00000F1B0000}"/>
    <cellStyle name="20% - Accent3 2 2 5 4 2 2" xfId="41388" xr:uid="{00000000-0005-0000-0000-0000101B0000}"/>
    <cellStyle name="20% - Accent3 2 2 5 4 3" xfId="30087" xr:uid="{00000000-0005-0000-0000-0000111B0000}"/>
    <cellStyle name="20% - Accent3 2 2 5 5" xfId="13136" xr:uid="{00000000-0005-0000-0000-0000121B0000}"/>
    <cellStyle name="20% - Accent3 2 2 5 5 2" xfId="35738" xr:uid="{00000000-0005-0000-0000-0000131B0000}"/>
    <cellStyle name="20% - Accent3 2 2 5 6" xfId="24437" xr:uid="{00000000-0005-0000-0000-0000141B0000}"/>
    <cellStyle name="20% - Accent3 2 2 6" xfId="2291" xr:uid="{00000000-0005-0000-0000-0000151B0000}"/>
    <cellStyle name="20% - Accent3 2 2 6 2" xfId="8127" xr:uid="{00000000-0005-0000-0000-0000161B0000}"/>
    <cellStyle name="20% - Accent3 2 2 6 2 2" xfId="19428" xr:uid="{00000000-0005-0000-0000-0000171B0000}"/>
    <cellStyle name="20% - Accent3 2 2 6 2 2 2" xfId="42030" xr:uid="{00000000-0005-0000-0000-0000181B0000}"/>
    <cellStyle name="20% - Accent3 2 2 6 2 3" xfId="30729" xr:uid="{00000000-0005-0000-0000-0000191B0000}"/>
    <cellStyle name="20% - Accent3 2 2 6 3" xfId="13778" xr:uid="{00000000-0005-0000-0000-00001A1B0000}"/>
    <cellStyle name="20% - Accent3 2 2 6 3 2" xfId="36380" xr:uid="{00000000-0005-0000-0000-00001B1B0000}"/>
    <cellStyle name="20% - Accent3 2 2 6 4" xfId="25079" xr:uid="{00000000-0005-0000-0000-00001C1B0000}"/>
    <cellStyle name="20% - Accent3 2 2 7" xfId="4078" xr:uid="{00000000-0005-0000-0000-00001D1B0000}"/>
    <cellStyle name="20% - Accent3 2 2 7 2" xfId="9728" xr:uid="{00000000-0005-0000-0000-00001E1B0000}"/>
    <cellStyle name="20% - Accent3 2 2 7 2 2" xfId="21029" xr:uid="{00000000-0005-0000-0000-00001F1B0000}"/>
    <cellStyle name="20% - Accent3 2 2 7 2 2 2" xfId="43631" xr:uid="{00000000-0005-0000-0000-0000201B0000}"/>
    <cellStyle name="20% - Accent3 2 2 7 2 3" xfId="32330" xr:uid="{00000000-0005-0000-0000-0000211B0000}"/>
    <cellStyle name="20% - Accent3 2 2 7 3" xfId="15379" xr:uid="{00000000-0005-0000-0000-0000221B0000}"/>
    <cellStyle name="20% - Accent3 2 2 7 3 2" xfId="37981" xr:uid="{00000000-0005-0000-0000-0000231B0000}"/>
    <cellStyle name="20% - Accent3 2 2 7 4" xfId="26680" xr:uid="{00000000-0005-0000-0000-0000241B0000}"/>
    <cellStyle name="20% - Accent3 2 2 8" xfId="6529" xr:uid="{00000000-0005-0000-0000-0000251B0000}"/>
    <cellStyle name="20% - Accent3 2 2 8 2" xfId="17830" xr:uid="{00000000-0005-0000-0000-0000261B0000}"/>
    <cellStyle name="20% - Accent3 2 2 8 2 2" xfId="40432" xr:uid="{00000000-0005-0000-0000-0000271B0000}"/>
    <cellStyle name="20% - Accent3 2 2 8 3" xfId="29131" xr:uid="{00000000-0005-0000-0000-0000281B0000}"/>
    <cellStyle name="20% - Accent3 2 2 9" xfId="12180" xr:uid="{00000000-0005-0000-0000-0000291B0000}"/>
    <cellStyle name="20% - Accent3 2 2 9 2" xfId="34782" xr:uid="{00000000-0005-0000-0000-00002A1B0000}"/>
    <cellStyle name="20% - Accent3 2 3" xfId="2815" xr:uid="{00000000-0005-0000-0000-00002B1B0000}"/>
    <cellStyle name="20% - Accent3 2 3 2" xfId="3894" xr:uid="{00000000-0005-0000-0000-00002C1B0000}"/>
    <cellStyle name="20% - Accent3 2 3 2 2" xfId="5830" xr:uid="{00000000-0005-0000-0000-00002D1B0000}"/>
    <cellStyle name="20% - Accent3 2 3 2 2 2" xfId="11480" xr:uid="{00000000-0005-0000-0000-00002E1B0000}"/>
    <cellStyle name="20% - Accent3 2 3 2 2 2 2" xfId="22781" xr:uid="{00000000-0005-0000-0000-00002F1B0000}"/>
    <cellStyle name="20% - Accent3 2 3 2 2 2 2 2" xfId="45383" xr:uid="{00000000-0005-0000-0000-0000301B0000}"/>
    <cellStyle name="20% - Accent3 2 3 2 2 2 3" xfId="34082" xr:uid="{00000000-0005-0000-0000-0000311B0000}"/>
    <cellStyle name="20% - Accent3 2 3 2 2 3" xfId="17131" xr:uid="{00000000-0005-0000-0000-0000321B0000}"/>
    <cellStyle name="20% - Accent3 2 3 2 2 3 2" xfId="39733" xr:uid="{00000000-0005-0000-0000-0000331B0000}"/>
    <cellStyle name="20% - Accent3 2 3 2 2 4" xfId="28432" xr:uid="{00000000-0005-0000-0000-0000341B0000}"/>
    <cellStyle name="20% - Accent3 2 3 2 3" xfId="9596" xr:uid="{00000000-0005-0000-0000-0000351B0000}"/>
    <cellStyle name="20% - Accent3 2 3 2 3 2" xfId="20897" xr:uid="{00000000-0005-0000-0000-0000361B0000}"/>
    <cellStyle name="20% - Accent3 2 3 2 3 2 2" xfId="43499" xr:uid="{00000000-0005-0000-0000-0000371B0000}"/>
    <cellStyle name="20% - Accent3 2 3 2 3 3" xfId="32198" xr:uid="{00000000-0005-0000-0000-0000381B0000}"/>
    <cellStyle name="20% - Accent3 2 3 2 4" xfId="15247" xr:uid="{00000000-0005-0000-0000-0000391B0000}"/>
    <cellStyle name="20% - Accent3 2 3 2 4 2" xfId="37849" xr:uid="{00000000-0005-0000-0000-00003A1B0000}"/>
    <cellStyle name="20% - Accent3 2 3 2 5" xfId="26548" xr:uid="{00000000-0005-0000-0000-00003B1B0000}"/>
    <cellStyle name="20% - Accent3 2 3 3" xfId="4596" xr:uid="{00000000-0005-0000-0000-00003C1B0000}"/>
    <cellStyle name="20% - Accent3 2 3 3 2" xfId="10246" xr:uid="{00000000-0005-0000-0000-00003D1B0000}"/>
    <cellStyle name="20% - Accent3 2 3 3 2 2" xfId="21547" xr:uid="{00000000-0005-0000-0000-00003E1B0000}"/>
    <cellStyle name="20% - Accent3 2 3 3 2 2 2" xfId="44149" xr:uid="{00000000-0005-0000-0000-00003F1B0000}"/>
    <cellStyle name="20% - Accent3 2 3 3 2 3" xfId="32848" xr:uid="{00000000-0005-0000-0000-0000401B0000}"/>
    <cellStyle name="20% - Accent3 2 3 3 3" xfId="15897" xr:uid="{00000000-0005-0000-0000-0000411B0000}"/>
    <cellStyle name="20% - Accent3 2 3 3 3 2" xfId="38499" xr:uid="{00000000-0005-0000-0000-0000421B0000}"/>
    <cellStyle name="20% - Accent3 2 3 3 4" xfId="27198" xr:uid="{00000000-0005-0000-0000-0000431B0000}"/>
    <cellStyle name="20% - Accent3 2 3 4" xfId="8648" xr:uid="{00000000-0005-0000-0000-0000441B0000}"/>
    <cellStyle name="20% - Accent3 2 3 4 2" xfId="19949" xr:uid="{00000000-0005-0000-0000-0000451B0000}"/>
    <cellStyle name="20% - Accent3 2 3 4 2 2" xfId="42551" xr:uid="{00000000-0005-0000-0000-0000461B0000}"/>
    <cellStyle name="20% - Accent3 2 3 4 3" xfId="31250" xr:uid="{00000000-0005-0000-0000-0000471B0000}"/>
    <cellStyle name="20% - Accent3 2 3 5" xfId="14299" xr:uid="{00000000-0005-0000-0000-0000481B0000}"/>
    <cellStyle name="20% - Accent3 2 3 5 2" xfId="36901" xr:uid="{00000000-0005-0000-0000-0000491B0000}"/>
    <cellStyle name="20% - Accent3 2 3 6" xfId="25600" xr:uid="{00000000-0005-0000-0000-00004A1B0000}"/>
    <cellStyle name="20% - Accent3 2 4" xfId="2826" xr:uid="{00000000-0005-0000-0000-00004B1B0000}"/>
    <cellStyle name="20% - Accent3 2 5" xfId="3938" xr:uid="{00000000-0005-0000-0000-00004C1B0000}"/>
    <cellStyle name="20% - Accent3 2 5 2" xfId="9611" xr:uid="{00000000-0005-0000-0000-00004D1B0000}"/>
    <cellStyle name="20% - Accent3 2 5 2 2" xfId="20912" xr:uid="{00000000-0005-0000-0000-00004E1B0000}"/>
    <cellStyle name="20% - Accent3 2 5 2 2 2" xfId="43514" xr:uid="{00000000-0005-0000-0000-00004F1B0000}"/>
    <cellStyle name="20% - Accent3 2 5 2 3" xfId="32213" xr:uid="{00000000-0005-0000-0000-0000501B0000}"/>
    <cellStyle name="20% - Accent3 2 5 3" xfId="15262" xr:uid="{00000000-0005-0000-0000-0000511B0000}"/>
    <cellStyle name="20% - Accent3 2 5 3 2" xfId="37864" xr:uid="{00000000-0005-0000-0000-0000521B0000}"/>
    <cellStyle name="20% - Accent3 2 5 4" xfId="26563" xr:uid="{00000000-0005-0000-0000-0000531B0000}"/>
    <cellStyle name="20% - Accent3 2 6" xfId="3944" xr:uid="{00000000-0005-0000-0000-0000541B0000}"/>
    <cellStyle name="20% - Accent3 2 7" xfId="146" xr:uid="{00000000-0005-0000-0000-0000551B0000}"/>
    <cellStyle name="20% - Accent3 3" xfId="215" xr:uid="{00000000-0005-0000-0000-0000561B0000}"/>
    <cellStyle name="20% - Accent3 3 2" xfId="343" xr:uid="{00000000-0005-0000-0000-0000571B0000}"/>
    <cellStyle name="20% - Accent3 3 2 10" xfId="23454" xr:uid="{00000000-0005-0000-0000-0000581B0000}"/>
    <cellStyle name="20% - Accent3 3 2 2" xfId="604" xr:uid="{00000000-0005-0000-0000-0000591B0000}"/>
    <cellStyle name="20% - Accent3 3 2 2 2" xfId="1314" xr:uid="{00000000-0005-0000-0000-00005A1B0000}"/>
    <cellStyle name="20% - Accent3 3 2 2 2 2" xfId="1635" xr:uid="{00000000-0005-0000-0000-00005B1B0000}"/>
    <cellStyle name="20% - Accent3 3 2 2 2 2 2" xfId="3383" xr:uid="{00000000-0005-0000-0000-00005C1B0000}"/>
    <cellStyle name="20% - Accent3 3 2 2 2 2 2 2" xfId="6355" xr:uid="{00000000-0005-0000-0000-00005D1B0000}"/>
    <cellStyle name="20% - Accent3 3 2 2 2 2 2 2 2" xfId="12005" xr:uid="{00000000-0005-0000-0000-00005E1B0000}"/>
    <cellStyle name="20% - Accent3 3 2 2 2 2 2 2 2 2" xfId="23306" xr:uid="{00000000-0005-0000-0000-00005F1B0000}"/>
    <cellStyle name="20% - Accent3 3 2 2 2 2 2 2 2 2 2" xfId="45908" xr:uid="{00000000-0005-0000-0000-0000601B0000}"/>
    <cellStyle name="20% - Accent3 3 2 2 2 2 2 2 2 3" xfId="34607" xr:uid="{00000000-0005-0000-0000-0000611B0000}"/>
    <cellStyle name="20% - Accent3 3 2 2 2 2 2 2 3" xfId="17656" xr:uid="{00000000-0005-0000-0000-0000621B0000}"/>
    <cellStyle name="20% - Accent3 3 2 2 2 2 2 2 3 2" xfId="40258" xr:uid="{00000000-0005-0000-0000-0000631B0000}"/>
    <cellStyle name="20% - Accent3 3 2 2 2 2 2 2 4" xfId="28957" xr:uid="{00000000-0005-0000-0000-0000641B0000}"/>
    <cellStyle name="20% - Accent3 3 2 2 2 2 2 3" xfId="9173" xr:uid="{00000000-0005-0000-0000-0000651B0000}"/>
    <cellStyle name="20% - Accent3 3 2 2 2 2 2 3 2" xfId="20474" xr:uid="{00000000-0005-0000-0000-0000661B0000}"/>
    <cellStyle name="20% - Accent3 3 2 2 2 2 2 3 2 2" xfId="43076" xr:uid="{00000000-0005-0000-0000-0000671B0000}"/>
    <cellStyle name="20% - Accent3 3 2 2 2 2 2 3 3" xfId="31775" xr:uid="{00000000-0005-0000-0000-0000681B0000}"/>
    <cellStyle name="20% - Accent3 3 2 2 2 2 2 4" xfId="14824" xr:uid="{00000000-0005-0000-0000-0000691B0000}"/>
    <cellStyle name="20% - Accent3 3 2 2 2 2 2 4 2" xfId="37426" xr:uid="{00000000-0005-0000-0000-00006A1B0000}"/>
    <cellStyle name="20% - Accent3 3 2 2 2 2 2 5" xfId="26125" xr:uid="{00000000-0005-0000-0000-00006B1B0000}"/>
    <cellStyle name="20% - Accent3 3 2 2 2 2 3" xfId="5121" xr:uid="{00000000-0005-0000-0000-00006C1B0000}"/>
    <cellStyle name="20% - Accent3 3 2 2 2 2 3 2" xfId="10771" xr:uid="{00000000-0005-0000-0000-00006D1B0000}"/>
    <cellStyle name="20% - Accent3 3 2 2 2 2 3 2 2" xfId="22072" xr:uid="{00000000-0005-0000-0000-00006E1B0000}"/>
    <cellStyle name="20% - Accent3 3 2 2 2 2 3 2 2 2" xfId="44674" xr:uid="{00000000-0005-0000-0000-00006F1B0000}"/>
    <cellStyle name="20% - Accent3 3 2 2 2 2 3 2 3" xfId="33373" xr:uid="{00000000-0005-0000-0000-0000701B0000}"/>
    <cellStyle name="20% - Accent3 3 2 2 2 2 3 3" xfId="16422" xr:uid="{00000000-0005-0000-0000-0000711B0000}"/>
    <cellStyle name="20% - Accent3 3 2 2 2 2 3 3 2" xfId="39024" xr:uid="{00000000-0005-0000-0000-0000721B0000}"/>
    <cellStyle name="20% - Accent3 3 2 2 2 2 3 4" xfId="27723" xr:uid="{00000000-0005-0000-0000-0000731B0000}"/>
    <cellStyle name="20% - Accent3 3 2 2 2 2 4" xfId="7491" xr:uid="{00000000-0005-0000-0000-0000741B0000}"/>
    <cellStyle name="20% - Accent3 3 2 2 2 2 4 2" xfId="18792" xr:uid="{00000000-0005-0000-0000-0000751B0000}"/>
    <cellStyle name="20% - Accent3 3 2 2 2 2 4 2 2" xfId="41394" xr:uid="{00000000-0005-0000-0000-0000761B0000}"/>
    <cellStyle name="20% - Accent3 3 2 2 2 2 4 3" xfId="30093" xr:uid="{00000000-0005-0000-0000-0000771B0000}"/>
    <cellStyle name="20% - Accent3 3 2 2 2 2 5" xfId="13142" xr:uid="{00000000-0005-0000-0000-0000781B0000}"/>
    <cellStyle name="20% - Accent3 3 2 2 2 2 5 2" xfId="35744" xr:uid="{00000000-0005-0000-0000-0000791B0000}"/>
    <cellStyle name="20% - Accent3 3 2 2 2 2 6" xfId="24443" xr:uid="{00000000-0005-0000-0000-00007A1B0000}"/>
    <cellStyle name="20% - Accent3 3 2 2 2 3" xfId="2712" xr:uid="{00000000-0005-0000-0000-00007B1B0000}"/>
    <cellStyle name="20% - Accent3 3 2 2 2 3 2" xfId="5731" xr:uid="{00000000-0005-0000-0000-00007C1B0000}"/>
    <cellStyle name="20% - Accent3 3 2 2 2 3 2 2" xfId="11381" xr:uid="{00000000-0005-0000-0000-00007D1B0000}"/>
    <cellStyle name="20% - Accent3 3 2 2 2 3 2 2 2" xfId="22682" xr:uid="{00000000-0005-0000-0000-00007E1B0000}"/>
    <cellStyle name="20% - Accent3 3 2 2 2 3 2 2 2 2" xfId="45284" xr:uid="{00000000-0005-0000-0000-00007F1B0000}"/>
    <cellStyle name="20% - Accent3 3 2 2 2 3 2 2 3" xfId="33983" xr:uid="{00000000-0005-0000-0000-0000801B0000}"/>
    <cellStyle name="20% - Accent3 3 2 2 2 3 2 3" xfId="17032" xr:uid="{00000000-0005-0000-0000-0000811B0000}"/>
    <cellStyle name="20% - Accent3 3 2 2 2 3 2 3 2" xfId="39634" xr:uid="{00000000-0005-0000-0000-0000821B0000}"/>
    <cellStyle name="20% - Accent3 3 2 2 2 3 2 4" xfId="28333" xr:uid="{00000000-0005-0000-0000-0000831B0000}"/>
    <cellStyle name="20% - Accent3 3 2 2 2 3 3" xfId="8548" xr:uid="{00000000-0005-0000-0000-0000841B0000}"/>
    <cellStyle name="20% - Accent3 3 2 2 2 3 3 2" xfId="19849" xr:uid="{00000000-0005-0000-0000-0000851B0000}"/>
    <cellStyle name="20% - Accent3 3 2 2 2 3 3 2 2" xfId="42451" xr:uid="{00000000-0005-0000-0000-0000861B0000}"/>
    <cellStyle name="20% - Accent3 3 2 2 2 3 3 3" xfId="31150" xr:uid="{00000000-0005-0000-0000-0000871B0000}"/>
    <cellStyle name="20% - Accent3 3 2 2 2 3 4" xfId="14199" xr:uid="{00000000-0005-0000-0000-0000881B0000}"/>
    <cellStyle name="20% - Accent3 3 2 2 2 3 4 2" xfId="36801" xr:uid="{00000000-0005-0000-0000-0000891B0000}"/>
    <cellStyle name="20% - Accent3 3 2 2 2 3 5" xfId="25500" xr:uid="{00000000-0005-0000-0000-00008A1B0000}"/>
    <cellStyle name="20% - Accent3 3 2 2 2 4" xfId="4497" xr:uid="{00000000-0005-0000-0000-00008B1B0000}"/>
    <cellStyle name="20% - Accent3 3 2 2 2 4 2" xfId="10147" xr:uid="{00000000-0005-0000-0000-00008C1B0000}"/>
    <cellStyle name="20% - Accent3 3 2 2 2 4 2 2" xfId="21448" xr:uid="{00000000-0005-0000-0000-00008D1B0000}"/>
    <cellStyle name="20% - Accent3 3 2 2 2 4 2 2 2" xfId="44050" xr:uid="{00000000-0005-0000-0000-00008E1B0000}"/>
    <cellStyle name="20% - Accent3 3 2 2 2 4 2 3" xfId="32749" xr:uid="{00000000-0005-0000-0000-00008F1B0000}"/>
    <cellStyle name="20% - Accent3 3 2 2 2 4 3" xfId="15798" xr:uid="{00000000-0005-0000-0000-0000901B0000}"/>
    <cellStyle name="20% - Accent3 3 2 2 2 4 3 2" xfId="38400" xr:uid="{00000000-0005-0000-0000-0000911B0000}"/>
    <cellStyle name="20% - Accent3 3 2 2 2 4 4" xfId="27099" xr:uid="{00000000-0005-0000-0000-0000921B0000}"/>
    <cellStyle name="20% - Accent3 3 2 2 2 5" xfId="7293" xr:uid="{00000000-0005-0000-0000-0000931B0000}"/>
    <cellStyle name="20% - Accent3 3 2 2 2 5 2" xfId="18594" xr:uid="{00000000-0005-0000-0000-0000941B0000}"/>
    <cellStyle name="20% - Accent3 3 2 2 2 5 2 2" xfId="41196" xr:uid="{00000000-0005-0000-0000-0000951B0000}"/>
    <cellStyle name="20% - Accent3 3 2 2 2 5 3" xfId="29895" xr:uid="{00000000-0005-0000-0000-0000961B0000}"/>
    <cellStyle name="20% - Accent3 3 2 2 2 6" xfId="12944" xr:uid="{00000000-0005-0000-0000-0000971B0000}"/>
    <cellStyle name="20% - Accent3 3 2 2 2 6 2" xfId="35546" xr:uid="{00000000-0005-0000-0000-0000981B0000}"/>
    <cellStyle name="20% - Accent3 3 2 2 2 7" xfId="24245" xr:uid="{00000000-0005-0000-0000-0000991B0000}"/>
    <cellStyle name="20% - Accent3 3 2 2 3" xfId="1012" xr:uid="{00000000-0005-0000-0000-00009A1B0000}"/>
    <cellStyle name="20% - Accent3 3 2 2 3 2" xfId="3075" xr:uid="{00000000-0005-0000-0000-00009B1B0000}"/>
    <cellStyle name="20% - Accent3 3 2 2 3 2 2" xfId="6047" xr:uid="{00000000-0005-0000-0000-00009C1B0000}"/>
    <cellStyle name="20% - Accent3 3 2 2 3 2 2 2" xfId="11697" xr:uid="{00000000-0005-0000-0000-00009D1B0000}"/>
    <cellStyle name="20% - Accent3 3 2 2 3 2 2 2 2" xfId="22998" xr:uid="{00000000-0005-0000-0000-00009E1B0000}"/>
    <cellStyle name="20% - Accent3 3 2 2 3 2 2 2 2 2" xfId="45600" xr:uid="{00000000-0005-0000-0000-00009F1B0000}"/>
    <cellStyle name="20% - Accent3 3 2 2 3 2 2 2 3" xfId="34299" xr:uid="{00000000-0005-0000-0000-0000A01B0000}"/>
    <cellStyle name="20% - Accent3 3 2 2 3 2 2 3" xfId="17348" xr:uid="{00000000-0005-0000-0000-0000A11B0000}"/>
    <cellStyle name="20% - Accent3 3 2 2 3 2 2 3 2" xfId="39950" xr:uid="{00000000-0005-0000-0000-0000A21B0000}"/>
    <cellStyle name="20% - Accent3 3 2 2 3 2 2 4" xfId="28649" xr:uid="{00000000-0005-0000-0000-0000A31B0000}"/>
    <cellStyle name="20% - Accent3 3 2 2 3 2 3" xfId="8865" xr:uid="{00000000-0005-0000-0000-0000A41B0000}"/>
    <cellStyle name="20% - Accent3 3 2 2 3 2 3 2" xfId="20166" xr:uid="{00000000-0005-0000-0000-0000A51B0000}"/>
    <cellStyle name="20% - Accent3 3 2 2 3 2 3 2 2" xfId="42768" xr:uid="{00000000-0005-0000-0000-0000A61B0000}"/>
    <cellStyle name="20% - Accent3 3 2 2 3 2 3 3" xfId="31467" xr:uid="{00000000-0005-0000-0000-0000A71B0000}"/>
    <cellStyle name="20% - Accent3 3 2 2 3 2 4" xfId="14516" xr:uid="{00000000-0005-0000-0000-0000A81B0000}"/>
    <cellStyle name="20% - Accent3 3 2 2 3 2 4 2" xfId="37118" xr:uid="{00000000-0005-0000-0000-0000A91B0000}"/>
    <cellStyle name="20% - Accent3 3 2 2 3 2 5" xfId="25817" xr:uid="{00000000-0005-0000-0000-0000AA1B0000}"/>
    <cellStyle name="20% - Accent3 3 2 2 3 3" xfId="4813" xr:uid="{00000000-0005-0000-0000-0000AB1B0000}"/>
    <cellStyle name="20% - Accent3 3 2 2 3 3 2" xfId="10463" xr:uid="{00000000-0005-0000-0000-0000AC1B0000}"/>
    <cellStyle name="20% - Accent3 3 2 2 3 3 2 2" xfId="21764" xr:uid="{00000000-0005-0000-0000-0000AD1B0000}"/>
    <cellStyle name="20% - Accent3 3 2 2 3 3 2 2 2" xfId="44366" xr:uid="{00000000-0005-0000-0000-0000AE1B0000}"/>
    <cellStyle name="20% - Accent3 3 2 2 3 3 2 3" xfId="33065" xr:uid="{00000000-0005-0000-0000-0000AF1B0000}"/>
    <cellStyle name="20% - Accent3 3 2 2 3 3 3" xfId="16114" xr:uid="{00000000-0005-0000-0000-0000B01B0000}"/>
    <cellStyle name="20% - Accent3 3 2 2 3 3 3 2" xfId="38716" xr:uid="{00000000-0005-0000-0000-0000B11B0000}"/>
    <cellStyle name="20% - Accent3 3 2 2 3 3 4" xfId="27415" xr:uid="{00000000-0005-0000-0000-0000B21B0000}"/>
    <cellStyle name="20% - Accent3 3 2 2 3 4" xfId="7000" xr:uid="{00000000-0005-0000-0000-0000B31B0000}"/>
    <cellStyle name="20% - Accent3 3 2 2 3 4 2" xfId="18301" xr:uid="{00000000-0005-0000-0000-0000B41B0000}"/>
    <cellStyle name="20% - Accent3 3 2 2 3 4 2 2" xfId="40903" xr:uid="{00000000-0005-0000-0000-0000B51B0000}"/>
    <cellStyle name="20% - Accent3 3 2 2 3 4 3" xfId="29602" xr:uid="{00000000-0005-0000-0000-0000B61B0000}"/>
    <cellStyle name="20% - Accent3 3 2 2 3 5" xfId="12651" xr:uid="{00000000-0005-0000-0000-0000B71B0000}"/>
    <cellStyle name="20% - Accent3 3 2 2 3 5 2" xfId="35253" xr:uid="{00000000-0005-0000-0000-0000B81B0000}"/>
    <cellStyle name="20% - Accent3 3 2 2 3 6" xfId="23952" xr:uid="{00000000-0005-0000-0000-0000B91B0000}"/>
    <cellStyle name="20% - Accent3 3 2 2 4" xfId="1634" xr:uid="{00000000-0005-0000-0000-0000BA1B0000}"/>
    <cellStyle name="20% - Accent3 3 2 2 4 2" xfId="3609" xr:uid="{00000000-0005-0000-0000-0000BB1B0000}"/>
    <cellStyle name="20% - Accent3 3 2 2 4 2 2" xfId="9323" xr:uid="{00000000-0005-0000-0000-0000BC1B0000}"/>
    <cellStyle name="20% - Accent3 3 2 2 4 2 2 2" xfId="20624" xr:uid="{00000000-0005-0000-0000-0000BD1B0000}"/>
    <cellStyle name="20% - Accent3 3 2 2 4 2 2 2 2" xfId="43226" xr:uid="{00000000-0005-0000-0000-0000BE1B0000}"/>
    <cellStyle name="20% - Accent3 3 2 2 4 2 2 3" xfId="31925" xr:uid="{00000000-0005-0000-0000-0000BF1B0000}"/>
    <cellStyle name="20% - Accent3 3 2 2 4 2 3" xfId="14974" xr:uid="{00000000-0005-0000-0000-0000C01B0000}"/>
    <cellStyle name="20% - Accent3 3 2 2 4 2 3 2" xfId="37576" xr:uid="{00000000-0005-0000-0000-0000C11B0000}"/>
    <cellStyle name="20% - Accent3 3 2 2 4 2 4" xfId="26275" xr:uid="{00000000-0005-0000-0000-0000C21B0000}"/>
    <cellStyle name="20% - Accent3 3 2 2 4 3" xfId="5423" xr:uid="{00000000-0005-0000-0000-0000C31B0000}"/>
    <cellStyle name="20% - Accent3 3 2 2 4 3 2" xfId="11073" xr:uid="{00000000-0005-0000-0000-0000C41B0000}"/>
    <cellStyle name="20% - Accent3 3 2 2 4 3 2 2" xfId="22374" xr:uid="{00000000-0005-0000-0000-0000C51B0000}"/>
    <cellStyle name="20% - Accent3 3 2 2 4 3 2 2 2" xfId="44976" xr:uid="{00000000-0005-0000-0000-0000C61B0000}"/>
    <cellStyle name="20% - Accent3 3 2 2 4 3 2 3" xfId="33675" xr:uid="{00000000-0005-0000-0000-0000C71B0000}"/>
    <cellStyle name="20% - Accent3 3 2 2 4 3 3" xfId="16724" xr:uid="{00000000-0005-0000-0000-0000C81B0000}"/>
    <cellStyle name="20% - Accent3 3 2 2 4 3 3 2" xfId="39326" xr:uid="{00000000-0005-0000-0000-0000C91B0000}"/>
    <cellStyle name="20% - Accent3 3 2 2 4 3 4" xfId="28025" xr:uid="{00000000-0005-0000-0000-0000CA1B0000}"/>
    <cellStyle name="20% - Accent3 3 2 2 4 4" xfId="7490" xr:uid="{00000000-0005-0000-0000-0000CB1B0000}"/>
    <cellStyle name="20% - Accent3 3 2 2 4 4 2" xfId="18791" xr:uid="{00000000-0005-0000-0000-0000CC1B0000}"/>
    <cellStyle name="20% - Accent3 3 2 2 4 4 2 2" xfId="41393" xr:uid="{00000000-0005-0000-0000-0000CD1B0000}"/>
    <cellStyle name="20% - Accent3 3 2 2 4 4 3" xfId="30092" xr:uid="{00000000-0005-0000-0000-0000CE1B0000}"/>
    <cellStyle name="20% - Accent3 3 2 2 4 5" xfId="13141" xr:uid="{00000000-0005-0000-0000-0000CF1B0000}"/>
    <cellStyle name="20% - Accent3 3 2 2 4 5 2" xfId="35743" xr:uid="{00000000-0005-0000-0000-0000D01B0000}"/>
    <cellStyle name="20% - Accent3 3 2 2 4 6" xfId="24442" xr:uid="{00000000-0005-0000-0000-0000D11B0000}"/>
    <cellStyle name="20% - Accent3 3 2 2 5" xfId="2404" xr:uid="{00000000-0005-0000-0000-0000D21B0000}"/>
    <cellStyle name="20% - Accent3 3 2 2 5 2" xfId="8240" xr:uid="{00000000-0005-0000-0000-0000D31B0000}"/>
    <cellStyle name="20% - Accent3 3 2 2 5 2 2" xfId="19541" xr:uid="{00000000-0005-0000-0000-0000D41B0000}"/>
    <cellStyle name="20% - Accent3 3 2 2 5 2 2 2" xfId="42143" xr:uid="{00000000-0005-0000-0000-0000D51B0000}"/>
    <cellStyle name="20% - Accent3 3 2 2 5 2 3" xfId="30842" xr:uid="{00000000-0005-0000-0000-0000D61B0000}"/>
    <cellStyle name="20% - Accent3 3 2 2 5 3" xfId="13891" xr:uid="{00000000-0005-0000-0000-0000D71B0000}"/>
    <cellStyle name="20% - Accent3 3 2 2 5 3 2" xfId="36493" xr:uid="{00000000-0005-0000-0000-0000D81B0000}"/>
    <cellStyle name="20% - Accent3 3 2 2 5 4" xfId="25192" xr:uid="{00000000-0005-0000-0000-0000D91B0000}"/>
    <cellStyle name="20% - Accent3 3 2 2 6" xfId="4189" xr:uid="{00000000-0005-0000-0000-0000DA1B0000}"/>
    <cellStyle name="20% - Accent3 3 2 2 6 2" xfId="9839" xr:uid="{00000000-0005-0000-0000-0000DB1B0000}"/>
    <cellStyle name="20% - Accent3 3 2 2 6 2 2" xfId="21140" xr:uid="{00000000-0005-0000-0000-0000DC1B0000}"/>
    <cellStyle name="20% - Accent3 3 2 2 6 2 2 2" xfId="43742" xr:uid="{00000000-0005-0000-0000-0000DD1B0000}"/>
    <cellStyle name="20% - Accent3 3 2 2 6 2 3" xfId="32441" xr:uid="{00000000-0005-0000-0000-0000DE1B0000}"/>
    <cellStyle name="20% - Accent3 3 2 2 6 3" xfId="15490" xr:uid="{00000000-0005-0000-0000-0000DF1B0000}"/>
    <cellStyle name="20% - Accent3 3 2 2 6 3 2" xfId="38092" xr:uid="{00000000-0005-0000-0000-0000E01B0000}"/>
    <cellStyle name="20% - Accent3 3 2 2 6 4" xfId="26791" xr:uid="{00000000-0005-0000-0000-0000E11B0000}"/>
    <cellStyle name="20% - Accent3 3 2 2 7" xfId="6669" xr:uid="{00000000-0005-0000-0000-0000E21B0000}"/>
    <cellStyle name="20% - Accent3 3 2 2 7 2" xfId="17970" xr:uid="{00000000-0005-0000-0000-0000E31B0000}"/>
    <cellStyle name="20% - Accent3 3 2 2 7 2 2" xfId="40572" xr:uid="{00000000-0005-0000-0000-0000E41B0000}"/>
    <cellStyle name="20% - Accent3 3 2 2 7 3" xfId="29271" xr:uid="{00000000-0005-0000-0000-0000E51B0000}"/>
    <cellStyle name="20% - Accent3 3 2 2 8" xfId="12320" xr:uid="{00000000-0005-0000-0000-0000E61B0000}"/>
    <cellStyle name="20% - Accent3 3 2 2 8 2" xfId="34922" xr:uid="{00000000-0005-0000-0000-0000E71B0000}"/>
    <cellStyle name="20% - Accent3 3 2 2 9" xfId="23621" xr:uid="{00000000-0005-0000-0000-0000E81B0000}"/>
    <cellStyle name="20% - Accent3 3 2 3" xfId="1176" xr:uid="{00000000-0005-0000-0000-0000E91B0000}"/>
    <cellStyle name="20% - Accent3 3 2 3 2" xfId="1636" xr:uid="{00000000-0005-0000-0000-0000EA1B0000}"/>
    <cellStyle name="20% - Accent3 3 2 3 2 2" xfId="3244" xr:uid="{00000000-0005-0000-0000-0000EB1B0000}"/>
    <cellStyle name="20% - Accent3 3 2 3 2 2 2" xfId="6216" xr:uid="{00000000-0005-0000-0000-0000EC1B0000}"/>
    <cellStyle name="20% - Accent3 3 2 3 2 2 2 2" xfId="11866" xr:uid="{00000000-0005-0000-0000-0000ED1B0000}"/>
    <cellStyle name="20% - Accent3 3 2 3 2 2 2 2 2" xfId="23167" xr:uid="{00000000-0005-0000-0000-0000EE1B0000}"/>
    <cellStyle name="20% - Accent3 3 2 3 2 2 2 2 2 2" xfId="45769" xr:uid="{00000000-0005-0000-0000-0000EF1B0000}"/>
    <cellStyle name="20% - Accent3 3 2 3 2 2 2 2 3" xfId="34468" xr:uid="{00000000-0005-0000-0000-0000F01B0000}"/>
    <cellStyle name="20% - Accent3 3 2 3 2 2 2 3" xfId="17517" xr:uid="{00000000-0005-0000-0000-0000F11B0000}"/>
    <cellStyle name="20% - Accent3 3 2 3 2 2 2 3 2" xfId="40119" xr:uid="{00000000-0005-0000-0000-0000F21B0000}"/>
    <cellStyle name="20% - Accent3 3 2 3 2 2 2 4" xfId="28818" xr:uid="{00000000-0005-0000-0000-0000F31B0000}"/>
    <cellStyle name="20% - Accent3 3 2 3 2 2 3" xfId="9034" xr:uid="{00000000-0005-0000-0000-0000F41B0000}"/>
    <cellStyle name="20% - Accent3 3 2 3 2 2 3 2" xfId="20335" xr:uid="{00000000-0005-0000-0000-0000F51B0000}"/>
    <cellStyle name="20% - Accent3 3 2 3 2 2 3 2 2" xfId="42937" xr:uid="{00000000-0005-0000-0000-0000F61B0000}"/>
    <cellStyle name="20% - Accent3 3 2 3 2 2 3 3" xfId="31636" xr:uid="{00000000-0005-0000-0000-0000F71B0000}"/>
    <cellStyle name="20% - Accent3 3 2 3 2 2 4" xfId="14685" xr:uid="{00000000-0005-0000-0000-0000F81B0000}"/>
    <cellStyle name="20% - Accent3 3 2 3 2 2 4 2" xfId="37287" xr:uid="{00000000-0005-0000-0000-0000F91B0000}"/>
    <cellStyle name="20% - Accent3 3 2 3 2 2 5" xfId="25986" xr:uid="{00000000-0005-0000-0000-0000FA1B0000}"/>
    <cellStyle name="20% - Accent3 3 2 3 2 3" xfId="4982" xr:uid="{00000000-0005-0000-0000-0000FB1B0000}"/>
    <cellStyle name="20% - Accent3 3 2 3 2 3 2" xfId="10632" xr:uid="{00000000-0005-0000-0000-0000FC1B0000}"/>
    <cellStyle name="20% - Accent3 3 2 3 2 3 2 2" xfId="21933" xr:uid="{00000000-0005-0000-0000-0000FD1B0000}"/>
    <cellStyle name="20% - Accent3 3 2 3 2 3 2 2 2" xfId="44535" xr:uid="{00000000-0005-0000-0000-0000FE1B0000}"/>
    <cellStyle name="20% - Accent3 3 2 3 2 3 2 3" xfId="33234" xr:uid="{00000000-0005-0000-0000-0000FF1B0000}"/>
    <cellStyle name="20% - Accent3 3 2 3 2 3 3" xfId="16283" xr:uid="{00000000-0005-0000-0000-0000001C0000}"/>
    <cellStyle name="20% - Accent3 3 2 3 2 3 3 2" xfId="38885" xr:uid="{00000000-0005-0000-0000-0000011C0000}"/>
    <cellStyle name="20% - Accent3 3 2 3 2 3 4" xfId="27584" xr:uid="{00000000-0005-0000-0000-0000021C0000}"/>
    <cellStyle name="20% - Accent3 3 2 3 2 4" xfId="7492" xr:uid="{00000000-0005-0000-0000-0000031C0000}"/>
    <cellStyle name="20% - Accent3 3 2 3 2 4 2" xfId="18793" xr:uid="{00000000-0005-0000-0000-0000041C0000}"/>
    <cellStyle name="20% - Accent3 3 2 3 2 4 2 2" xfId="41395" xr:uid="{00000000-0005-0000-0000-0000051C0000}"/>
    <cellStyle name="20% - Accent3 3 2 3 2 4 3" xfId="30094" xr:uid="{00000000-0005-0000-0000-0000061C0000}"/>
    <cellStyle name="20% - Accent3 3 2 3 2 5" xfId="13143" xr:uid="{00000000-0005-0000-0000-0000071C0000}"/>
    <cellStyle name="20% - Accent3 3 2 3 2 5 2" xfId="35745" xr:uid="{00000000-0005-0000-0000-0000081C0000}"/>
    <cellStyle name="20% - Accent3 3 2 3 2 6" xfId="24444" xr:uid="{00000000-0005-0000-0000-0000091C0000}"/>
    <cellStyle name="20% - Accent3 3 2 3 3" xfId="2573" xr:uid="{00000000-0005-0000-0000-00000A1C0000}"/>
    <cellStyle name="20% - Accent3 3 2 3 3 2" xfId="5592" xr:uid="{00000000-0005-0000-0000-00000B1C0000}"/>
    <cellStyle name="20% - Accent3 3 2 3 3 2 2" xfId="11242" xr:uid="{00000000-0005-0000-0000-00000C1C0000}"/>
    <cellStyle name="20% - Accent3 3 2 3 3 2 2 2" xfId="22543" xr:uid="{00000000-0005-0000-0000-00000D1C0000}"/>
    <cellStyle name="20% - Accent3 3 2 3 3 2 2 2 2" xfId="45145" xr:uid="{00000000-0005-0000-0000-00000E1C0000}"/>
    <cellStyle name="20% - Accent3 3 2 3 3 2 2 3" xfId="33844" xr:uid="{00000000-0005-0000-0000-00000F1C0000}"/>
    <cellStyle name="20% - Accent3 3 2 3 3 2 3" xfId="16893" xr:uid="{00000000-0005-0000-0000-0000101C0000}"/>
    <cellStyle name="20% - Accent3 3 2 3 3 2 3 2" xfId="39495" xr:uid="{00000000-0005-0000-0000-0000111C0000}"/>
    <cellStyle name="20% - Accent3 3 2 3 3 2 4" xfId="28194" xr:uid="{00000000-0005-0000-0000-0000121C0000}"/>
    <cellStyle name="20% - Accent3 3 2 3 3 3" xfId="8409" xr:uid="{00000000-0005-0000-0000-0000131C0000}"/>
    <cellStyle name="20% - Accent3 3 2 3 3 3 2" xfId="19710" xr:uid="{00000000-0005-0000-0000-0000141C0000}"/>
    <cellStyle name="20% - Accent3 3 2 3 3 3 2 2" xfId="42312" xr:uid="{00000000-0005-0000-0000-0000151C0000}"/>
    <cellStyle name="20% - Accent3 3 2 3 3 3 3" xfId="31011" xr:uid="{00000000-0005-0000-0000-0000161C0000}"/>
    <cellStyle name="20% - Accent3 3 2 3 3 4" xfId="14060" xr:uid="{00000000-0005-0000-0000-0000171C0000}"/>
    <cellStyle name="20% - Accent3 3 2 3 3 4 2" xfId="36662" xr:uid="{00000000-0005-0000-0000-0000181C0000}"/>
    <cellStyle name="20% - Accent3 3 2 3 3 5" xfId="25361" xr:uid="{00000000-0005-0000-0000-0000191C0000}"/>
    <cellStyle name="20% - Accent3 3 2 3 4" xfId="4358" xr:uid="{00000000-0005-0000-0000-00001A1C0000}"/>
    <cellStyle name="20% - Accent3 3 2 3 4 2" xfId="10008" xr:uid="{00000000-0005-0000-0000-00001B1C0000}"/>
    <cellStyle name="20% - Accent3 3 2 3 4 2 2" xfId="21309" xr:uid="{00000000-0005-0000-0000-00001C1C0000}"/>
    <cellStyle name="20% - Accent3 3 2 3 4 2 2 2" xfId="43911" xr:uid="{00000000-0005-0000-0000-00001D1C0000}"/>
    <cellStyle name="20% - Accent3 3 2 3 4 2 3" xfId="32610" xr:uid="{00000000-0005-0000-0000-00001E1C0000}"/>
    <cellStyle name="20% - Accent3 3 2 3 4 3" xfId="15659" xr:uid="{00000000-0005-0000-0000-00001F1C0000}"/>
    <cellStyle name="20% - Accent3 3 2 3 4 3 2" xfId="38261" xr:uid="{00000000-0005-0000-0000-0000201C0000}"/>
    <cellStyle name="20% - Accent3 3 2 3 4 4" xfId="26960" xr:uid="{00000000-0005-0000-0000-0000211C0000}"/>
    <cellStyle name="20% - Accent3 3 2 3 5" xfId="7155" xr:uid="{00000000-0005-0000-0000-0000221C0000}"/>
    <cellStyle name="20% - Accent3 3 2 3 5 2" xfId="18456" xr:uid="{00000000-0005-0000-0000-0000231C0000}"/>
    <cellStyle name="20% - Accent3 3 2 3 5 2 2" xfId="41058" xr:uid="{00000000-0005-0000-0000-0000241C0000}"/>
    <cellStyle name="20% - Accent3 3 2 3 5 3" xfId="29757" xr:uid="{00000000-0005-0000-0000-0000251C0000}"/>
    <cellStyle name="20% - Accent3 3 2 3 6" xfId="12806" xr:uid="{00000000-0005-0000-0000-0000261C0000}"/>
    <cellStyle name="20% - Accent3 3 2 3 6 2" xfId="35408" xr:uid="{00000000-0005-0000-0000-0000271C0000}"/>
    <cellStyle name="20% - Accent3 3 2 3 7" xfId="24107" xr:uid="{00000000-0005-0000-0000-0000281C0000}"/>
    <cellStyle name="20% - Accent3 3 2 4" xfId="865" xr:uid="{00000000-0005-0000-0000-0000291C0000}"/>
    <cellStyle name="20% - Accent3 3 2 4 2" xfId="2937" xr:uid="{00000000-0005-0000-0000-00002A1C0000}"/>
    <cellStyle name="20% - Accent3 3 2 4 2 2" xfId="5909" xr:uid="{00000000-0005-0000-0000-00002B1C0000}"/>
    <cellStyle name="20% - Accent3 3 2 4 2 2 2" xfId="11559" xr:uid="{00000000-0005-0000-0000-00002C1C0000}"/>
    <cellStyle name="20% - Accent3 3 2 4 2 2 2 2" xfId="22860" xr:uid="{00000000-0005-0000-0000-00002D1C0000}"/>
    <cellStyle name="20% - Accent3 3 2 4 2 2 2 2 2" xfId="45462" xr:uid="{00000000-0005-0000-0000-00002E1C0000}"/>
    <cellStyle name="20% - Accent3 3 2 4 2 2 2 3" xfId="34161" xr:uid="{00000000-0005-0000-0000-00002F1C0000}"/>
    <cellStyle name="20% - Accent3 3 2 4 2 2 3" xfId="17210" xr:uid="{00000000-0005-0000-0000-0000301C0000}"/>
    <cellStyle name="20% - Accent3 3 2 4 2 2 3 2" xfId="39812" xr:uid="{00000000-0005-0000-0000-0000311C0000}"/>
    <cellStyle name="20% - Accent3 3 2 4 2 2 4" xfId="28511" xr:uid="{00000000-0005-0000-0000-0000321C0000}"/>
    <cellStyle name="20% - Accent3 3 2 4 2 3" xfId="8727" xr:uid="{00000000-0005-0000-0000-0000331C0000}"/>
    <cellStyle name="20% - Accent3 3 2 4 2 3 2" xfId="20028" xr:uid="{00000000-0005-0000-0000-0000341C0000}"/>
    <cellStyle name="20% - Accent3 3 2 4 2 3 2 2" xfId="42630" xr:uid="{00000000-0005-0000-0000-0000351C0000}"/>
    <cellStyle name="20% - Accent3 3 2 4 2 3 3" xfId="31329" xr:uid="{00000000-0005-0000-0000-0000361C0000}"/>
    <cellStyle name="20% - Accent3 3 2 4 2 4" xfId="14378" xr:uid="{00000000-0005-0000-0000-0000371C0000}"/>
    <cellStyle name="20% - Accent3 3 2 4 2 4 2" xfId="36980" xr:uid="{00000000-0005-0000-0000-0000381C0000}"/>
    <cellStyle name="20% - Accent3 3 2 4 2 5" xfId="25679" xr:uid="{00000000-0005-0000-0000-0000391C0000}"/>
    <cellStyle name="20% - Accent3 3 2 4 3" xfId="4675" xr:uid="{00000000-0005-0000-0000-00003A1C0000}"/>
    <cellStyle name="20% - Accent3 3 2 4 3 2" xfId="10325" xr:uid="{00000000-0005-0000-0000-00003B1C0000}"/>
    <cellStyle name="20% - Accent3 3 2 4 3 2 2" xfId="21626" xr:uid="{00000000-0005-0000-0000-00003C1C0000}"/>
    <cellStyle name="20% - Accent3 3 2 4 3 2 2 2" xfId="44228" xr:uid="{00000000-0005-0000-0000-00003D1C0000}"/>
    <cellStyle name="20% - Accent3 3 2 4 3 2 3" xfId="32927" xr:uid="{00000000-0005-0000-0000-00003E1C0000}"/>
    <cellStyle name="20% - Accent3 3 2 4 3 3" xfId="15976" xr:uid="{00000000-0005-0000-0000-00003F1C0000}"/>
    <cellStyle name="20% - Accent3 3 2 4 3 3 2" xfId="38578" xr:uid="{00000000-0005-0000-0000-0000401C0000}"/>
    <cellStyle name="20% - Accent3 3 2 4 3 4" xfId="27277" xr:uid="{00000000-0005-0000-0000-0000411C0000}"/>
    <cellStyle name="20% - Accent3 3 2 4 4" xfId="6862" xr:uid="{00000000-0005-0000-0000-0000421C0000}"/>
    <cellStyle name="20% - Accent3 3 2 4 4 2" xfId="18163" xr:uid="{00000000-0005-0000-0000-0000431C0000}"/>
    <cellStyle name="20% - Accent3 3 2 4 4 2 2" xfId="40765" xr:uid="{00000000-0005-0000-0000-0000441C0000}"/>
    <cellStyle name="20% - Accent3 3 2 4 4 3" xfId="29464" xr:uid="{00000000-0005-0000-0000-0000451C0000}"/>
    <cellStyle name="20% - Accent3 3 2 4 5" xfId="12513" xr:uid="{00000000-0005-0000-0000-0000461C0000}"/>
    <cellStyle name="20% - Accent3 3 2 4 5 2" xfId="35115" xr:uid="{00000000-0005-0000-0000-0000471C0000}"/>
    <cellStyle name="20% - Accent3 3 2 4 6" xfId="23814" xr:uid="{00000000-0005-0000-0000-0000481C0000}"/>
    <cellStyle name="20% - Accent3 3 2 5" xfId="1633" xr:uid="{00000000-0005-0000-0000-0000491C0000}"/>
    <cellStyle name="20% - Accent3 3 2 5 2" xfId="3608" xr:uid="{00000000-0005-0000-0000-00004A1C0000}"/>
    <cellStyle name="20% - Accent3 3 2 5 2 2" xfId="9322" xr:uid="{00000000-0005-0000-0000-00004B1C0000}"/>
    <cellStyle name="20% - Accent3 3 2 5 2 2 2" xfId="20623" xr:uid="{00000000-0005-0000-0000-00004C1C0000}"/>
    <cellStyle name="20% - Accent3 3 2 5 2 2 2 2" xfId="43225" xr:uid="{00000000-0005-0000-0000-00004D1C0000}"/>
    <cellStyle name="20% - Accent3 3 2 5 2 2 3" xfId="31924" xr:uid="{00000000-0005-0000-0000-00004E1C0000}"/>
    <cellStyle name="20% - Accent3 3 2 5 2 3" xfId="14973" xr:uid="{00000000-0005-0000-0000-00004F1C0000}"/>
    <cellStyle name="20% - Accent3 3 2 5 2 3 2" xfId="37575" xr:uid="{00000000-0005-0000-0000-0000501C0000}"/>
    <cellStyle name="20% - Accent3 3 2 5 2 4" xfId="26274" xr:uid="{00000000-0005-0000-0000-0000511C0000}"/>
    <cellStyle name="20% - Accent3 3 2 5 3" xfId="5285" xr:uid="{00000000-0005-0000-0000-0000521C0000}"/>
    <cellStyle name="20% - Accent3 3 2 5 3 2" xfId="10935" xr:uid="{00000000-0005-0000-0000-0000531C0000}"/>
    <cellStyle name="20% - Accent3 3 2 5 3 2 2" xfId="22236" xr:uid="{00000000-0005-0000-0000-0000541C0000}"/>
    <cellStyle name="20% - Accent3 3 2 5 3 2 2 2" xfId="44838" xr:uid="{00000000-0005-0000-0000-0000551C0000}"/>
    <cellStyle name="20% - Accent3 3 2 5 3 2 3" xfId="33537" xr:uid="{00000000-0005-0000-0000-0000561C0000}"/>
    <cellStyle name="20% - Accent3 3 2 5 3 3" xfId="16586" xr:uid="{00000000-0005-0000-0000-0000571C0000}"/>
    <cellStyle name="20% - Accent3 3 2 5 3 3 2" xfId="39188" xr:uid="{00000000-0005-0000-0000-0000581C0000}"/>
    <cellStyle name="20% - Accent3 3 2 5 3 4" xfId="27887" xr:uid="{00000000-0005-0000-0000-0000591C0000}"/>
    <cellStyle name="20% - Accent3 3 2 5 4" xfId="7489" xr:uid="{00000000-0005-0000-0000-00005A1C0000}"/>
    <cellStyle name="20% - Accent3 3 2 5 4 2" xfId="18790" xr:uid="{00000000-0005-0000-0000-00005B1C0000}"/>
    <cellStyle name="20% - Accent3 3 2 5 4 2 2" xfId="41392" xr:uid="{00000000-0005-0000-0000-00005C1C0000}"/>
    <cellStyle name="20% - Accent3 3 2 5 4 3" xfId="30091" xr:uid="{00000000-0005-0000-0000-00005D1C0000}"/>
    <cellStyle name="20% - Accent3 3 2 5 5" xfId="13140" xr:uid="{00000000-0005-0000-0000-00005E1C0000}"/>
    <cellStyle name="20% - Accent3 3 2 5 5 2" xfId="35742" xr:uid="{00000000-0005-0000-0000-00005F1C0000}"/>
    <cellStyle name="20% - Accent3 3 2 5 6" xfId="24441" xr:uid="{00000000-0005-0000-0000-0000601C0000}"/>
    <cellStyle name="20% - Accent3 3 2 6" xfId="2263" xr:uid="{00000000-0005-0000-0000-0000611C0000}"/>
    <cellStyle name="20% - Accent3 3 2 6 2" xfId="8099" xr:uid="{00000000-0005-0000-0000-0000621C0000}"/>
    <cellStyle name="20% - Accent3 3 2 6 2 2" xfId="19400" xr:uid="{00000000-0005-0000-0000-0000631C0000}"/>
    <cellStyle name="20% - Accent3 3 2 6 2 2 2" xfId="42002" xr:uid="{00000000-0005-0000-0000-0000641C0000}"/>
    <cellStyle name="20% - Accent3 3 2 6 2 3" xfId="30701" xr:uid="{00000000-0005-0000-0000-0000651C0000}"/>
    <cellStyle name="20% - Accent3 3 2 6 3" xfId="13750" xr:uid="{00000000-0005-0000-0000-0000661C0000}"/>
    <cellStyle name="20% - Accent3 3 2 6 3 2" xfId="36352" xr:uid="{00000000-0005-0000-0000-0000671C0000}"/>
    <cellStyle name="20% - Accent3 3 2 6 4" xfId="25051" xr:uid="{00000000-0005-0000-0000-0000681C0000}"/>
    <cellStyle name="20% - Accent3 3 2 7" xfId="4051" xr:uid="{00000000-0005-0000-0000-0000691C0000}"/>
    <cellStyle name="20% - Accent3 3 2 7 2" xfId="9701" xr:uid="{00000000-0005-0000-0000-00006A1C0000}"/>
    <cellStyle name="20% - Accent3 3 2 7 2 2" xfId="21002" xr:uid="{00000000-0005-0000-0000-00006B1C0000}"/>
    <cellStyle name="20% - Accent3 3 2 7 2 2 2" xfId="43604" xr:uid="{00000000-0005-0000-0000-00006C1C0000}"/>
    <cellStyle name="20% - Accent3 3 2 7 2 3" xfId="32303" xr:uid="{00000000-0005-0000-0000-00006D1C0000}"/>
    <cellStyle name="20% - Accent3 3 2 7 3" xfId="15352" xr:uid="{00000000-0005-0000-0000-00006E1C0000}"/>
    <cellStyle name="20% - Accent3 3 2 7 3 2" xfId="37954" xr:uid="{00000000-0005-0000-0000-00006F1C0000}"/>
    <cellStyle name="20% - Accent3 3 2 7 4" xfId="26653" xr:uid="{00000000-0005-0000-0000-0000701C0000}"/>
    <cellStyle name="20% - Accent3 3 2 8" xfId="6502" xr:uid="{00000000-0005-0000-0000-0000711C0000}"/>
    <cellStyle name="20% - Accent3 3 2 8 2" xfId="17803" xr:uid="{00000000-0005-0000-0000-0000721C0000}"/>
    <cellStyle name="20% - Accent3 3 2 8 2 2" xfId="40405" xr:uid="{00000000-0005-0000-0000-0000731C0000}"/>
    <cellStyle name="20% - Accent3 3 2 8 3" xfId="29104" xr:uid="{00000000-0005-0000-0000-0000741C0000}"/>
    <cellStyle name="20% - Accent3 3 2 9" xfId="12153" xr:uid="{00000000-0005-0000-0000-0000751C0000}"/>
    <cellStyle name="20% - Accent3 3 2 9 2" xfId="34755" xr:uid="{00000000-0005-0000-0000-0000761C0000}"/>
    <cellStyle name="20% - Accent3 3 3" xfId="408" xr:uid="{00000000-0005-0000-0000-0000771C0000}"/>
    <cellStyle name="20% - Accent3 3 3 10" xfId="23503" xr:uid="{00000000-0005-0000-0000-0000781C0000}"/>
    <cellStyle name="20% - Accent3 3 3 2" xfId="653" xr:uid="{00000000-0005-0000-0000-0000791C0000}"/>
    <cellStyle name="20% - Accent3 3 3 2 2" xfId="1363" xr:uid="{00000000-0005-0000-0000-00007A1C0000}"/>
    <cellStyle name="20% - Accent3 3 3 2 2 2" xfId="1639" xr:uid="{00000000-0005-0000-0000-00007B1C0000}"/>
    <cellStyle name="20% - Accent3 3 3 2 2 2 2" xfId="3432" xr:uid="{00000000-0005-0000-0000-00007C1C0000}"/>
    <cellStyle name="20% - Accent3 3 3 2 2 2 2 2" xfId="6404" xr:uid="{00000000-0005-0000-0000-00007D1C0000}"/>
    <cellStyle name="20% - Accent3 3 3 2 2 2 2 2 2" xfId="12054" xr:uid="{00000000-0005-0000-0000-00007E1C0000}"/>
    <cellStyle name="20% - Accent3 3 3 2 2 2 2 2 2 2" xfId="23355" xr:uid="{00000000-0005-0000-0000-00007F1C0000}"/>
    <cellStyle name="20% - Accent3 3 3 2 2 2 2 2 2 2 2" xfId="45957" xr:uid="{00000000-0005-0000-0000-0000801C0000}"/>
    <cellStyle name="20% - Accent3 3 3 2 2 2 2 2 2 3" xfId="34656" xr:uid="{00000000-0005-0000-0000-0000811C0000}"/>
    <cellStyle name="20% - Accent3 3 3 2 2 2 2 2 3" xfId="17705" xr:uid="{00000000-0005-0000-0000-0000821C0000}"/>
    <cellStyle name="20% - Accent3 3 3 2 2 2 2 2 3 2" xfId="40307" xr:uid="{00000000-0005-0000-0000-0000831C0000}"/>
    <cellStyle name="20% - Accent3 3 3 2 2 2 2 2 4" xfId="29006" xr:uid="{00000000-0005-0000-0000-0000841C0000}"/>
    <cellStyle name="20% - Accent3 3 3 2 2 2 2 3" xfId="9222" xr:uid="{00000000-0005-0000-0000-0000851C0000}"/>
    <cellStyle name="20% - Accent3 3 3 2 2 2 2 3 2" xfId="20523" xr:uid="{00000000-0005-0000-0000-0000861C0000}"/>
    <cellStyle name="20% - Accent3 3 3 2 2 2 2 3 2 2" xfId="43125" xr:uid="{00000000-0005-0000-0000-0000871C0000}"/>
    <cellStyle name="20% - Accent3 3 3 2 2 2 2 3 3" xfId="31824" xr:uid="{00000000-0005-0000-0000-0000881C0000}"/>
    <cellStyle name="20% - Accent3 3 3 2 2 2 2 4" xfId="14873" xr:uid="{00000000-0005-0000-0000-0000891C0000}"/>
    <cellStyle name="20% - Accent3 3 3 2 2 2 2 4 2" xfId="37475" xr:uid="{00000000-0005-0000-0000-00008A1C0000}"/>
    <cellStyle name="20% - Accent3 3 3 2 2 2 2 5" xfId="26174" xr:uid="{00000000-0005-0000-0000-00008B1C0000}"/>
    <cellStyle name="20% - Accent3 3 3 2 2 2 3" xfId="5170" xr:uid="{00000000-0005-0000-0000-00008C1C0000}"/>
    <cellStyle name="20% - Accent3 3 3 2 2 2 3 2" xfId="10820" xr:uid="{00000000-0005-0000-0000-00008D1C0000}"/>
    <cellStyle name="20% - Accent3 3 3 2 2 2 3 2 2" xfId="22121" xr:uid="{00000000-0005-0000-0000-00008E1C0000}"/>
    <cellStyle name="20% - Accent3 3 3 2 2 2 3 2 2 2" xfId="44723" xr:uid="{00000000-0005-0000-0000-00008F1C0000}"/>
    <cellStyle name="20% - Accent3 3 3 2 2 2 3 2 3" xfId="33422" xr:uid="{00000000-0005-0000-0000-0000901C0000}"/>
    <cellStyle name="20% - Accent3 3 3 2 2 2 3 3" xfId="16471" xr:uid="{00000000-0005-0000-0000-0000911C0000}"/>
    <cellStyle name="20% - Accent3 3 3 2 2 2 3 3 2" xfId="39073" xr:uid="{00000000-0005-0000-0000-0000921C0000}"/>
    <cellStyle name="20% - Accent3 3 3 2 2 2 3 4" xfId="27772" xr:uid="{00000000-0005-0000-0000-0000931C0000}"/>
    <cellStyle name="20% - Accent3 3 3 2 2 2 4" xfId="7495" xr:uid="{00000000-0005-0000-0000-0000941C0000}"/>
    <cellStyle name="20% - Accent3 3 3 2 2 2 4 2" xfId="18796" xr:uid="{00000000-0005-0000-0000-0000951C0000}"/>
    <cellStyle name="20% - Accent3 3 3 2 2 2 4 2 2" xfId="41398" xr:uid="{00000000-0005-0000-0000-0000961C0000}"/>
    <cellStyle name="20% - Accent3 3 3 2 2 2 4 3" xfId="30097" xr:uid="{00000000-0005-0000-0000-0000971C0000}"/>
    <cellStyle name="20% - Accent3 3 3 2 2 2 5" xfId="13146" xr:uid="{00000000-0005-0000-0000-0000981C0000}"/>
    <cellStyle name="20% - Accent3 3 3 2 2 2 5 2" xfId="35748" xr:uid="{00000000-0005-0000-0000-0000991C0000}"/>
    <cellStyle name="20% - Accent3 3 3 2 2 2 6" xfId="24447" xr:uid="{00000000-0005-0000-0000-00009A1C0000}"/>
    <cellStyle name="20% - Accent3 3 3 2 2 3" xfId="2761" xr:uid="{00000000-0005-0000-0000-00009B1C0000}"/>
    <cellStyle name="20% - Accent3 3 3 2 2 3 2" xfId="5780" xr:uid="{00000000-0005-0000-0000-00009C1C0000}"/>
    <cellStyle name="20% - Accent3 3 3 2 2 3 2 2" xfId="11430" xr:uid="{00000000-0005-0000-0000-00009D1C0000}"/>
    <cellStyle name="20% - Accent3 3 3 2 2 3 2 2 2" xfId="22731" xr:uid="{00000000-0005-0000-0000-00009E1C0000}"/>
    <cellStyle name="20% - Accent3 3 3 2 2 3 2 2 2 2" xfId="45333" xr:uid="{00000000-0005-0000-0000-00009F1C0000}"/>
    <cellStyle name="20% - Accent3 3 3 2 2 3 2 2 3" xfId="34032" xr:uid="{00000000-0005-0000-0000-0000A01C0000}"/>
    <cellStyle name="20% - Accent3 3 3 2 2 3 2 3" xfId="17081" xr:uid="{00000000-0005-0000-0000-0000A11C0000}"/>
    <cellStyle name="20% - Accent3 3 3 2 2 3 2 3 2" xfId="39683" xr:uid="{00000000-0005-0000-0000-0000A21C0000}"/>
    <cellStyle name="20% - Accent3 3 3 2 2 3 2 4" xfId="28382" xr:uid="{00000000-0005-0000-0000-0000A31C0000}"/>
    <cellStyle name="20% - Accent3 3 3 2 2 3 3" xfId="8597" xr:uid="{00000000-0005-0000-0000-0000A41C0000}"/>
    <cellStyle name="20% - Accent3 3 3 2 2 3 3 2" xfId="19898" xr:uid="{00000000-0005-0000-0000-0000A51C0000}"/>
    <cellStyle name="20% - Accent3 3 3 2 2 3 3 2 2" xfId="42500" xr:uid="{00000000-0005-0000-0000-0000A61C0000}"/>
    <cellStyle name="20% - Accent3 3 3 2 2 3 3 3" xfId="31199" xr:uid="{00000000-0005-0000-0000-0000A71C0000}"/>
    <cellStyle name="20% - Accent3 3 3 2 2 3 4" xfId="14248" xr:uid="{00000000-0005-0000-0000-0000A81C0000}"/>
    <cellStyle name="20% - Accent3 3 3 2 2 3 4 2" xfId="36850" xr:uid="{00000000-0005-0000-0000-0000A91C0000}"/>
    <cellStyle name="20% - Accent3 3 3 2 2 3 5" xfId="25549" xr:uid="{00000000-0005-0000-0000-0000AA1C0000}"/>
    <cellStyle name="20% - Accent3 3 3 2 2 4" xfId="4546" xr:uid="{00000000-0005-0000-0000-0000AB1C0000}"/>
    <cellStyle name="20% - Accent3 3 3 2 2 4 2" xfId="10196" xr:uid="{00000000-0005-0000-0000-0000AC1C0000}"/>
    <cellStyle name="20% - Accent3 3 3 2 2 4 2 2" xfId="21497" xr:uid="{00000000-0005-0000-0000-0000AD1C0000}"/>
    <cellStyle name="20% - Accent3 3 3 2 2 4 2 2 2" xfId="44099" xr:uid="{00000000-0005-0000-0000-0000AE1C0000}"/>
    <cellStyle name="20% - Accent3 3 3 2 2 4 2 3" xfId="32798" xr:uid="{00000000-0005-0000-0000-0000AF1C0000}"/>
    <cellStyle name="20% - Accent3 3 3 2 2 4 3" xfId="15847" xr:uid="{00000000-0005-0000-0000-0000B01C0000}"/>
    <cellStyle name="20% - Accent3 3 3 2 2 4 3 2" xfId="38449" xr:uid="{00000000-0005-0000-0000-0000B11C0000}"/>
    <cellStyle name="20% - Accent3 3 3 2 2 4 4" xfId="27148" xr:uid="{00000000-0005-0000-0000-0000B21C0000}"/>
    <cellStyle name="20% - Accent3 3 3 2 2 5" xfId="7342" xr:uid="{00000000-0005-0000-0000-0000B31C0000}"/>
    <cellStyle name="20% - Accent3 3 3 2 2 5 2" xfId="18643" xr:uid="{00000000-0005-0000-0000-0000B41C0000}"/>
    <cellStyle name="20% - Accent3 3 3 2 2 5 2 2" xfId="41245" xr:uid="{00000000-0005-0000-0000-0000B51C0000}"/>
    <cellStyle name="20% - Accent3 3 3 2 2 5 3" xfId="29944" xr:uid="{00000000-0005-0000-0000-0000B61C0000}"/>
    <cellStyle name="20% - Accent3 3 3 2 2 6" xfId="12993" xr:uid="{00000000-0005-0000-0000-0000B71C0000}"/>
    <cellStyle name="20% - Accent3 3 3 2 2 6 2" xfId="35595" xr:uid="{00000000-0005-0000-0000-0000B81C0000}"/>
    <cellStyle name="20% - Accent3 3 3 2 2 7" xfId="24294" xr:uid="{00000000-0005-0000-0000-0000B91C0000}"/>
    <cellStyle name="20% - Accent3 3 3 2 3" xfId="1061" xr:uid="{00000000-0005-0000-0000-0000BA1C0000}"/>
    <cellStyle name="20% - Accent3 3 3 2 3 2" xfId="3124" xr:uid="{00000000-0005-0000-0000-0000BB1C0000}"/>
    <cellStyle name="20% - Accent3 3 3 2 3 2 2" xfId="6096" xr:uid="{00000000-0005-0000-0000-0000BC1C0000}"/>
    <cellStyle name="20% - Accent3 3 3 2 3 2 2 2" xfId="11746" xr:uid="{00000000-0005-0000-0000-0000BD1C0000}"/>
    <cellStyle name="20% - Accent3 3 3 2 3 2 2 2 2" xfId="23047" xr:uid="{00000000-0005-0000-0000-0000BE1C0000}"/>
    <cellStyle name="20% - Accent3 3 3 2 3 2 2 2 2 2" xfId="45649" xr:uid="{00000000-0005-0000-0000-0000BF1C0000}"/>
    <cellStyle name="20% - Accent3 3 3 2 3 2 2 2 3" xfId="34348" xr:uid="{00000000-0005-0000-0000-0000C01C0000}"/>
    <cellStyle name="20% - Accent3 3 3 2 3 2 2 3" xfId="17397" xr:uid="{00000000-0005-0000-0000-0000C11C0000}"/>
    <cellStyle name="20% - Accent3 3 3 2 3 2 2 3 2" xfId="39999" xr:uid="{00000000-0005-0000-0000-0000C21C0000}"/>
    <cellStyle name="20% - Accent3 3 3 2 3 2 2 4" xfId="28698" xr:uid="{00000000-0005-0000-0000-0000C31C0000}"/>
    <cellStyle name="20% - Accent3 3 3 2 3 2 3" xfId="8914" xr:uid="{00000000-0005-0000-0000-0000C41C0000}"/>
    <cellStyle name="20% - Accent3 3 3 2 3 2 3 2" xfId="20215" xr:uid="{00000000-0005-0000-0000-0000C51C0000}"/>
    <cellStyle name="20% - Accent3 3 3 2 3 2 3 2 2" xfId="42817" xr:uid="{00000000-0005-0000-0000-0000C61C0000}"/>
    <cellStyle name="20% - Accent3 3 3 2 3 2 3 3" xfId="31516" xr:uid="{00000000-0005-0000-0000-0000C71C0000}"/>
    <cellStyle name="20% - Accent3 3 3 2 3 2 4" xfId="14565" xr:uid="{00000000-0005-0000-0000-0000C81C0000}"/>
    <cellStyle name="20% - Accent3 3 3 2 3 2 4 2" xfId="37167" xr:uid="{00000000-0005-0000-0000-0000C91C0000}"/>
    <cellStyle name="20% - Accent3 3 3 2 3 2 5" xfId="25866" xr:uid="{00000000-0005-0000-0000-0000CA1C0000}"/>
    <cellStyle name="20% - Accent3 3 3 2 3 3" xfId="4862" xr:uid="{00000000-0005-0000-0000-0000CB1C0000}"/>
    <cellStyle name="20% - Accent3 3 3 2 3 3 2" xfId="10512" xr:uid="{00000000-0005-0000-0000-0000CC1C0000}"/>
    <cellStyle name="20% - Accent3 3 3 2 3 3 2 2" xfId="21813" xr:uid="{00000000-0005-0000-0000-0000CD1C0000}"/>
    <cellStyle name="20% - Accent3 3 3 2 3 3 2 2 2" xfId="44415" xr:uid="{00000000-0005-0000-0000-0000CE1C0000}"/>
    <cellStyle name="20% - Accent3 3 3 2 3 3 2 3" xfId="33114" xr:uid="{00000000-0005-0000-0000-0000CF1C0000}"/>
    <cellStyle name="20% - Accent3 3 3 2 3 3 3" xfId="16163" xr:uid="{00000000-0005-0000-0000-0000D01C0000}"/>
    <cellStyle name="20% - Accent3 3 3 2 3 3 3 2" xfId="38765" xr:uid="{00000000-0005-0000-0000-0000D11C0000}"/>
    <cellStyle name="20% - Accent3 3 3 2 3 3 4" xfId="27464" xr:uid="{00000000-0005-0000-0000-0000D21C0000}"/>
    <cellStyle name="20% - Accent3 3 3 2 3 4" xfId="7049" xr:uid="{00000000-0005-0000-0000-0000D31C0000}"/>
    <cellStyle name="20% - Accent3 3 3 2 3 4 2" xfId="18350" xr:uid="{00000000-0005-0000-0000-0000D41C0000}"/>
    <cellStyle name="20% - Accent3 3 3 2 3 4 2 2" xfId="40952" xr:uid="{00000000-0005-0000-0000-0000D51C0000}"/>
    <cellStyle name="20% - Accent3 3 3 2 3 4 3" xfId="29651" xr:uid="{00000000-0005-0000-0000-0000D61C0000}"/>
    <cellStyle name="20% - Accent3 3 3 2 3 5" xfId="12700" xr:uid="{00000000-0005-0000-0000-0000D71C0000}"/>
    <cellStyle name="20% - Accent3 3 3 2 3 5 2" xfId="35302" xr:uid="{00000000-0005-0000-0000-0000D81C0000}"/>
    <cellStyle name="20% - Accent3 3 3 2 3 6" xfId="24001" xr:uid="{00000000-0005-0000-0000-0000D91C0000}"/>
    <cellStyle name="20% - Accent3 3 3 2 4" xfId="1638" xr:uid="{00000000-0005-0000-0000-0000DA1C0000}"/>
    <cellStyle name="20% - Accent3 3 3 2 4 2" xfId="3612" xr:uid="{00000000-0005-0000-0000-0000DB1C0000}"/>
    <cellStyle name="20% - Accent3 3 3 2 4 2 2" xfId="9325" xr:uid="{00000000-0005-0000-0000-0000DC1C0000}"/>
    <cellStyle name="20% - Accent3 3 3 2 4 2 2 2" xfId="20626" xr:uid="{00000000-0005-0000-0000-0000DD1C0000}"/>
    <cellStyle name="20% - Accent3 3 3 2 4 2 2 2 2" xfId="43228" xr:uid="{00000000-0005-0000-0000-0000DE1C0000}"/>
    <cellStyle name="20% - Accent3 3 3 2 4 2 2 3" xfId="31927" xr:uid="{00000000-0005-0000-0000-0000DF1C0000}"/>
    <cellStyle name="20% - Accent3 3 3 2 4 2 3" xfId="14976" xr:uid="{00000000-0005-0000-0000-0000E01C0000}"/>
    <cellStyle name="20% - Accent3 3 3 2 4 2 3 2" xfId="37578" xr:uid="{00000000-0005-0000-0000-0000E11C0000}"/>
    <cellStyle name="20% - Accent3 3 3 2 4 2 4" xfId="26277" xr:uid="{00000000-0005-0000-0000-0000E21C0000}"/>
    <cellStyle name="20% - Accent3 3 3 2 4 3" xfId="5472" xr:uid="{00000000-0005-0000-0000-0000E31C0000}"/>
    <cellStyle name="20% - Accent3 3 3 2 4 3 2" xfId="11122" xr:uid="{00000000-0005-0000-0000-0000E41C0000}"/>
    <cellStyle name="20% - Accent3 3 3 2 4 3 2 2" xfId="22423" xr:uid="{00000000-0005-0000-0000-0000E51C0000}"/>
    <cellStyle name="20% - Accent3 3 3 2 4 3 2 2 2" xfId="45025" xr:uid="{00000000-0005-0000-0000-0000E61C0000}"/>
    <cellStyle name="20% - Accent3 3 3 2 4 3 2 3" xfId="33724" xr:uid="{00000000-0005-0000-0000-0000E71C0000}"/>
    <cellStyle name="20% - Accent3 3 3 2 4 3 3" xfId="16773" xr:uid="{00000000-0005-0000-0000-0000E81C0000}"/>
    <cellStyle name="20% - Accent3 3 3 2 4 3 3 2" xfId="39375" xr:uid="{00000000-0005-0000-0000-0000E91C0000}"/>
    <cellStyle name="20% - Accent3 3 3 2 4 3 4" xfId="28074" xr:uid="{00000000-0005-0000-0000-0000EA1C0000}"/>
    <cellStyle name="20% - Accent3 3 3 2 4 4" xfId="7494" xr:uid="{00000000-0005-0000-0000-0000EB1C0000}"/>
    <cellStyle name="20% - Accent3 3 3 2 4 4 2" xfId="18795" xr:uid="{00000000-0005-0000-0000-0000EC1C0000}"/>
    <cellStyle name="20% - Accent3 3 3 2 4 4 2 2" xfId="41397" xr:uid="{00000000-0005-0000-0000-0000ED1C0000}"/>
    <cellStyle name="20% - Accent3 3 3 2 4 4 3" xfId="30096" xr:uid="{00000000-0005-0000-0000-0000EE1C0000}"/>
    <cellStyle name="20% - Accent3 3 3 2 4 5" xfId="13145" xr:uid="{00000000-0005-0000-0000-0000EF1C0000}"/>
    <cellStyle name="20% - Accent3 3 3 2 4 5 2" xfId="35747" xr:uid="{00000000-0005-0000-0000-0000F01C0000}"/>
    <cellStyle name="20% - Accent3 3 3 2 4 6" xfId="24446" xr:uid="{00000000-0005-0000-0000-0000F11C0000}"/>
    <cellStyle name="20% - Accent3 3 3 2 5" xfId="2453" xr:uid="{00000000-0005-0000-0000-0000F21C0000}"/>
    <cellStyle name="20% - Accent3 3 3 2 5 2" xfId="8289" xr:uid="{00000000-0005-0000-0000-0000F31C0000}"/>
    <cellStyle name="20% - Accent3 3 3 2 5 2 2" xfId="19590" xr:uid="{00000000-0005-0000-0000-0000F41C0000}"/>
    <cellStyle name="20% - Accent3 3 3 2 5 2 2 2" xfId="42192" xr:uid="{00000000-0005-0000-0000-0000F51C0000}"/>
    <cellStyle name="20% - Accent3 3 3 2 5 2 3" xfId="30891" xr:uid="{00000000-0005-0000-0000-0000F61C0000}"/>
    <cellStyle name="20% - Accent3 3 3 2 5 3" xfId="13940" xr:uid="{00000000-0005-0000-0000-0000F71C0000}"/>
    <cellStyle name="20% - Accent3 3 3 2 5 3 2" xfId="36542" xr:uid="{00000000-0005-0000-0000-0000F81C0000}"/>
    <cellStyle name="20% - Accent3 3 3 2 5 4" xfId="25241" xr:uid="{00000000-0005-0000-0000-0000F91C0000}"/>
    <cellStyle name="20% - Accent3 3 3 2 6" xfId="4238" xr:uid="{00000000-0005-0000-0000-0000FA1C0000}"/>
    <cellStyle name="20% - Accent3 3 3 2 6 2" xfId="9888" xr:uid="{00000000-0005-0000-0000-0000FB1C0000}"/>
    <cellStyle name="20% - Accent3 3 3 2 6 2 2" xfId="21189" xr:uid="{00000000-0005-0000-0000-0000FC1C0000}"/>
    <cellStyle name="20% - Accent3 3 3 2 6 2 2 2" xfId="43791" xr:uid="{00000000-0005-0000-0000-0000FD1C0000}"/>
    <cellStyle name="20% - Accent3 3 3 2 6 2 3" xfId="32490" xr:uid="{00000000-0005-0000-0000-0000FE1C0000}"/>
    <cellStyle name="20% - Accent3 3 3 2 6 3" xfId="15539" xr:uid="{00000000-0005-0000-0000-0000FF1C0000}"/>
    <cellStyle name="20% - Accent3 3 3 2 6 3 2" xfId="38141" xr:uid="{00000000-0005-0000-0000-0000001D0000}"/>
    <cellStyle name="20% - Accent3 3 3 2 6 4" xfId="26840" xr:uid="{00000000-0005-0000-0000-0000011D0000}"/>
    <cellStyle name="20% - Accent3 3 3 2 7" xfId="6718" xr:uid="{00000000-0005-0000-0000-0000021D0000}"/>
    <cellStyle name="20% - Accent3 3 3 2 7 2" xfId="18019" xr:uid="{00000000-0005-0000-0000-0000031D0000}"/>
    <cellStyle name="20% - Accent3 3 3 2 7 2 2" xfId="40621" xr:uid="{00000000-0005-0000-0000-0000041D0000}"/>
    <cellStyle name="20% - Accent3 3 3 2 7 3" xfId="29320" xr:uid="{00000000-0005-0000-0000-0000051D0000}"/>
    <cellStyle name="20% - Accent3 3 3 2 8" xfId="12369" xr:uid="{00000000-0005-0000-0000-0000061D0000}"/>
    <cellStyle name="20% - Accent3 3 3 2 8 2" xfId="34971" xr:uid="{00000000-0005-0000-0000-0000071D0000}"/>
    <cellStyle name="20% - Accent3 3 3 2 9" xfId="23670" xr:uid="{00000000-0005-0000-0000-0000081D0000}"/>
    <cellStyle name="20% - Accent3 3 3 3" xfId="1225" xr:uid="{00000000-0005-0000-0000-0000091D0000}"/>
    <cellStyle name="20% - Accent3 3 3 3 2" xfId="1640" xr:uid="{00000000-0005-0000-0000-00000A1D0000}"/>
    <cellStyle name="20% - Accent3 3 3 3 2 2" xfId="3293" xr:uid="{00000000-0005-0000-0000-00000B1D0000}"/>
    <cellStyle name="20% - Accent3 3 3 3 2 2 2" xfId="6265" xr:uid="{00000000-0005-0000-0000-00000C1D0000}"/>
    <cellStyle name="20% - Accent3 3 3 3 2 2 2 2" xfId="11915" xr:uid="{00000000-0005-0000-0000-00000D1D0000}"/>
    <cellStyle name="20% - Accent3 3 3 3 2 2 2 2 2" xfId="23216" xr:uid="{00000000-0005-0000-0000-00000E1D0000}"/>
    <cellStyle name="20% - Accent3 3 3 3 2 2 2 2 2 2" xfId="45818" xr:uid="{00000000-0005-0000-0000-00000F1D0000}"/>
    <cellStyle name="20% - Accent3 3 3 3 2 2 2 2 3" xfId="34517" xr:uid="{00000000-0005-0000-0000-0000101D0000}"/>
    <cellStyle name="20% - Accent3 3 3 3 2 2 2 3" xfId="17566" xr:uid="{00000000-0005-0000-0000-0000111D0000}"/>
    <cellStyle name="20% - Accent3 3 3 3 2 2 2 3 2" xfId="40168" xr:uid="{00000000-0005-0000-0000-0000121D0000}"/>
    <cellStyle name="20% - Accent3 3 3 3 2 2 2 4" xfId="28867" xr:uid="{00000000-0005-0000-0000-0000131D0000}"/>
    <cellStyle name="20% - Accent3 3 3 3 2 2 3" xfId="9083" xr:uid="{00000000-0005-0000-0000-0000141D0000}"/>
    <cellStyle name="20% - Accent3 3 3 3 2 2 3 2" xfId="20384" xr:uid="{00000000-0005-0000-0000-0000151D0000}"/>
    <cellStyle name="20% - Accent3 3 3 3 2 2 3 2 2" xfId="42986" xr:uid="{00000000-0005-0000-0000-0000161D0000}"/>
    <cellStyle name="20% - Accent3 3 3 3 2 2 3 3" xfId="31685" xr:uid="{00000000-0005-0000-0000-0000171D0000}"/>
    <cellStyle name="20% - Accent3 3 3 3 2 2 4" xfId="14734" xr:uid="{00000000-0005-0000-0000-0000181D0000}"/>
    <cellStyle name="20% - Accent3 3 3 3 2 2 4 2" xfId="37336" xr:uid="{00000000-0005-0000-0000-0000191D0000}"/>
    <cellStyle name="20% - Accent3 3 3 3 2 2 5" xfId="26035" xr:uid="{00000000-0005-0000-0000-00001A1D0000}"/>
    <cellStyle name="20% - Accent3 3 3 3 2 3" xfId="5031" xr:uid="{00000000-0005-0000-0000-00001B1D0000}"/>
    <cellStyle name="20% - Accent3 3 3 3 2 3 2" xfId="10681" xr:uid="{00000000-0005-0000-0000-00001C1D0000}"/>
    <cellStyle name="20% - Accent3 3 3 3 2 3 2 2" xfId="21982" xr:uid="{00000000-0005-0000-0000-00001D1D0000}"/>
    <cellStyle name="20% - Accent3 3 3 3 2 3 2 2 2" xfId="44584" xr:uid="{00000000-0005-0000-0000-00001E1D0000}"/>
    <cellStyle name="20% - Accent3 3 3 3 2 3 2 3" xfId="33283" xr:uid="{00000000-0005-0000-0000-00001F1D0000}"/>
    <cellStyle name="20% - Accent3 3 3 3 2 3 3" xfId="16332" xr:uid="{00000000-0005-0000-0000-0000201D0000}"/>
    <cellStyle name="20% - Accent3 3 3 3 2 3 3 2" xfId="38934" xr:uid="{00000000-0005-0000-0000-0000211D0000}"/>
    <cellStyle name="20% - Accent3 3 3 3 2 3 4" xfId="27633" xr:uid="{00000000-0005-0000-0000-0000221D0000}"/>
    <cellStyle name="20% - Accent3 3 3 3 2 4" xfId="7496" xr:uid="{00000000-0005-0000-0000-0000231D0000}"/>
    <cellStyle name="20% - Accent3 3 3 3 2 4 2" xfId="18797" xr:uid="{00000000-0005-0000-0000-0000241D0000}"/>
    <cellStyle name="20% - Accent3 3 3 3 2 4 2 2" xfId="41399" xr:uid="{00000000-0005-0000-0000-0000251D0000}"/>
    <cellStyle name="20% - Accent3 3 3 3 2 4 3" xfId="30098" xr:uid="{00000000-0005-0000-0000-0000261D0000}"/>
    <cellStyle name="20% - Accent3 3 3 3 2 5" xfId="13147" xr:uid="{00000000-0005-0000-0000-0000271D0000}"/>
    <cellStyle name="20% - Accent3 3 3 3 2 5 2" xfId="35749" xr:uid="{00000000-0005-0000-0000-0000281D0000}"/>
    <cellStyle name="20% - Accent3 3 3 3 2 6" xfId="24448" xr:uid="{00000000-0005-0000-0000-0000291D0000}"/>
    <cellStyle name="20% - Accent3 3 3 3 3" xfId="2622" xr:uid="{00000000-0005-0000-0000-00002A1D0000}"/>
    <cellStyle name="20% - Accent3 3 3 3 3 2" xfId="5641" xr:uid="{00000000-0005-0000-0000-00002B1D0000}"/>
    <cellStyle name="20% - Accent3 3 3 3 3 2 2" xfId="11291" xr:uid="{00000000-0005-0000-0000-00002C1D0000}"/>
    <cellStyle name="20% - Accent3 3 3 3 3 2 2 2" xfId="22592" xr:uid="{00000000-0005-0000-0000-00002D1D0000}"/>
    <cellStyle name="20% - Accent3 3 3 3 3 2 2 2 2" xfId="45194" xr:uid="{00000000-0005-0000-0000-00002E1D0000}"/>
    <cellStyle name="20% - Accent3 3 3 3 3 2 2 3" xfId="33893" xr:uid="{00000000-0005-0000-0000-00002F1D0000}"/>
    <cellStyle name="20% - Accent3 3 3 3 3 2 3" xfId="16942" xr:uid="{00000000-0005-0000-0000-0000301D0000}"/>
    <cellStyle name="20% - Accent3 3 3 3 3 2 3 2" xfId="39544" xr:uid="{00000000-0005-0000-0000-0000311D0000}"/>
    <cellStyle name="20% - Accent3 3 3 3 3 2 4" xfId="28243" xr:uid="{00000000-0005-0000-0000-0000321D0000}"/>
    <cellStyle name="20% - Accent3 3 3 3 3 3" xfId="8458" xr:uid="{00000000-0005-0000-0000-0000331D0000}"/>
    <cellStyle name="20% - Accent3 3 3 3 3 3 2" xfId="19759" xr:uid="{00000000-0005-0000-0000-0000341D0000}"/>
    <cellStyle name="20% - Accent3 3 3 3 3 3 2 2" xfId="42361" xr:uid="{00000000-0005-0000-0000-0000351D0000}"/>
    <cellStyle name="20% - Accent3 3 3 3 3 3 3" xfId="31060" xr:uid="{00000000-0005-0000-0000-0000361D0000}"/>
    <cellStyle name="20% - Accent3 3 3 3 3 4" xfId="14109" xr:uid="{00000000-0005-0000-0000-0000371D0000}"/>
    <cellStyle name="20% - Accent3 3 3 3 3 4 2" xfId="36711" xr:uid="{00000000-0005-0000-0000-0000381D0000}"/>
    <cellStyle name="20% - Accent3 3 3 3 3 5" xfId="25410" xr:uid="{00000000-0005-0000-0000-0000391D0000}"/>
    <cellStyle name="20% - Accent3 3 3 3 4" xfId="4407" xr:uid="{00000000-0005-0000-0000-00003A1D0000}"/>
    <cellStyle name="20% - Accent3 3 3 3 4 2" xfId="10057" xr:uid="{00000000-0005-0000-0000-00003B1D0000}"/>
    <cellStyle name="20% - Accent3 3 3 3 4 2 2" xfId="21358" xr:uid="{00000000-0005-0000-0000-00003C1D0000}"/>
    <cellStyle name="20% - Accent3 3 3 3 4 2 2 2" xfId="43960" xr:uid="{00000000-0005-0000-0000-00003D1D0000}"/>
    <cellStyle name="20% - Accent3 3 3 3 4 2 3" xfId="32659" xr:uid="{00000000-0005-0000-0000-00003E1D0000}"/>
    <cellStyle name="20% - Accent3 3 3 3 4 3" xfId="15708" xr:uid="{00000000-0005-0000-0000-00003F1D0000}"/>
    <cellStyle name="20% - Accent3 3 3 3 4 3 2" xfId="38310" xr:uid="{00000000-0005-0000-0000-0000401D0000}"/>
    <cellStyle name="20% - Accent3 3 3 3 4 4" xfId="27009" xr:uid="{00000000-0005-0000-0000-0000411D0000}"/>
    <cellStyle name="20% - Accent3 3 3 3 5" xfId="7204" xr:uid="{00000000-0005-0000-0000-0000421D0000}"/>
    <cellStyle name="20% - Accent3 3 3 3 5 2" xfId="18505" xr:uid="{00000000-0005-0000-0000-0000431D0000}"/>
    <cellStyle name="20% - Accent3 3 3 3 5 2 2" xfId="41107" xr:uid="{00000000-0005-0000-0000-0000441D0000}"/>
    <cellStyle name="20% - Accent3 3 3 3 5 3" xfId="29806" xr:uid="{00000000-0005-0000-0000-0000451D0000}"/>
    <cellStyle name="20% - Accent3 3 3 3 6" xfId="12855" xr:uid="{00000000-0005-0000-0000-0000461D0000}"/>
    <cellStyle name="20% - Accent3 3 3 3 6 2" xfId="35457" xr:uid="{00000000-0005-0000-0000-0000471D0000}"/>
    <cellStyle name="20% - Accent3 3 3 3 7" xfId="24156" xr:uid="{00000000-0005-0000-0000-0000481D0000}"/>
    <cellStyle name="20% - Accent3 3 3 4" xfId="916" xr:uid="{00000000-0005-0000-0000-0000491D0000}"/>
    <cellStyle name="20% - Accent3 3 3 4 2" xfId="2986" xr:uid="{00000000-0005-0000-0000-00004A1D0000}"/>
    <cellStyle name="20% - Accent3 3 3 4 2 2" xfId="5958" xr:uid="{00000000-0005-0000-0000-00004B1D0000}"/>
    <cellStyle name="20% - Accent3 3 3 4 2 2 2" xfId="11608" xr:uid="{00000000-0005-0000-0000-00004C1D0000}"/>
    <cellStyle name="20% - Accent3 3 3 4 2 2 2 2" xfId="22909" xr:uid="{00000000-0005-0000-0000-00004D1D0000}"/>
    <cellStyle name="20% - Accent3 3 3 4 2 2 2 2 2" xfId="45511" xr:uid="{00000000-0005-0000-0000-00004E1D0000}"/>
    <cellStyle name="20% - Accent3 3 3 4 2 2 2 3" xfId="34210" xr:uid="{00000000-0005-0000-0000-00004F1D0000}"/>
    <cellStyle name="20% - Accent3 3 3 4 2 2 3" xfId="17259" xr:uid="{00000000-0005-0000-0000-0000501D0000}"/>
    <cellStyle name="20% - Accent3 3 3 4 2 2 3 2" xfId="39861" xr:uid="{00000000-0005-0000-0000-0000511D0000}"/>
    <cellStyle name="20% - Accent3 3 3 4 2 2 4" xfId="28560" xr:uid="{00000000-0005-0000-0000-0000521D0000}"/>
    <cellStyle name="20% - Accent3 3 3 4 2 3" xfId="8776" xr:uid="{00000000-0005-0000-0000-0000531D0000}"/>
    <cellStyle name="20% - Accent3 3 3 4 2 3 2" xfId="20077" xr:uid="{00000000-0005-0000-0000-0000541D0000}"/>
    <cellStyle name="20% - Accent3 3 3 4 2 3 2 2" xfId="42679" xr:uid="{00000000-0005-0000-0000-0000551D0000}"/>
    <cellStyle name="20% - Accent3 3 3 4 2 3 3" xfId="31378" xr:uid="{00000000-0005-0000-0000-0000561D0000}"/>
    <cellStyle name="20% - Accent3 3 3 4 2 4" xfId="14427" xr:uid="{00000000-0005-0000-0000-0000571D0000}"/>
    <cellStyle name="20% - Accent3 3 3 4 2 4 2" xfId="37029" xr:uid="{00000000-0005-0000-0000-0000581D0000}"/>
    <cellStyle name="20% - Accent3 3 3 4 2 5" xfId="25728" xr:uid="{00000000-0005-0000-0000-0000591D0000}"/>
    <cellStyle name="20% - Accent3 3 3 4 3" xfId="4724" xr:uid="{00000000-0005-0000-0000-00005A1D0000}"/>
    <cellStyle name="20% - Accent3 3 3 4 3 2" xfId="10374" xr:uid="{00000000-0005-0000-0000-00005B1D0000}"/>
    <cellStyle name="20% - Accent3 3 3 4 3 2 2" xfId="21675" xr:uid="{00000000-0005-0000-0000-00005C1D0000}"/>
    <cellStyle name="20% - Accent3 3 3 4 3 2 2 2" xfId="44277" xr:uid="{00000000-0005-0000-0000-00005D1D0000}"/>
    <cellStyle name="20% - Accent3 3 3 4 3 2 3" xfId="32976" xr:uid="{00000000-0005-0000-0000-00005E1D0000}"/>
    <cellStyle name="20% - Accent3 3 3 4 3 3" xfId="16025" xr:uid="{00000000-0005-0000-0000-00005F1D0000}"/>
    <cellStyle name="20% - Accent3 3 3 4 3 3 2" xfId="38627" xr:uid="{00000000-0005-0000-0000-0000601D0000}"/>
    <cellStyle name="20% - Accent3 3 3 4 3 4" xfId="27326" xr:uid="{00000000-0005-0000-0000-0000611D0000}"/>
    <cellStyle name="20% - Accent3 3 3 4 4" xfId="6911" xr:uid="{00000000-0005-0000-0000-0000621D0000}"/>
    <cellStyle name="20% - Accent3 3 3 4 4 2" xfId="18212" xr:uid="{00000000-0005-0000-0000-0000631D0000}"/>
    <cellStyle name="20% - Accent3 3 3 4 4 2 2" xfId="40814" xr:uid="{00000000-0005-0000-0000-0000641D0000}"/>
    <cellStyle name="20% - Accent3 3 3 4 4 3" xfId="29513" xr:uid="{00000000-0005-0000-0000-0000651D0000}"/>
    <cellStyle name="20% - Accent3 3 3 4 5" xfId="12562" xr:uid="{00000000-0005-0000-0000-0000661D0000}"/>
    <cellStyle name="20% - Accent3 3 3 4 5 2" xfId="35164" xr:uid="{00000000-0005-0000-0000-0000671D0000}"/>
    <cellStyle name="20% - Accent3 3 3 4 6" xfId="23863" xr:uid="{00000000-0005-0000-0000-0000681D0000}"/>
    <cellStyle name="20% - Accent3 3 3 5" xfId="1637" xr:uid="{00000000-0005-0000-0000-0000691D0000}"/>
    <cellStyle name="20% - Accent3 3 3 5 2" xfId="3611" xr:uid="{00000000-0005-0000-0000-00006A1D0000}"/>
    <cellStyle name="20% - Accent3 3 3 5 2 2" xfId="9324" xr:uid="{00000000-0005-0000-0000-00006B1D0000}"/>
    <cellStyle name="20% - Accent3 3 3 5 2 2 2" xfId="20625" xr:uid="{00000000-0005-0000-0000-00006C1D0000}"/>
    <cellStyle name="20% - Accent3 3 3 5 2 2 2 2" xfId="43227" xr:uid="{00000000-0005-0000-0000-00006D1D0000}"/>
    <cellStyle name="20% - Accent3 3 3 5 2 2 3" xfId="31926" xr:uid="{00000000-0005-0000-0000-00006E1D0000}"/>
    <cellStyle name="20% - Accent3 3 3 5 2 3" xfId="14975" xr:uid="{00000000-0005-0000-0000-00006F1D0000}"/>
    <cellStyle name="20% - Accent3 3 3 5 2 3 2" xfId="37577" xr:uid="{00000000-0005-0000-0000-0000701D0000}"/>
    <cellStyle name="20% - Accent3 3 3 5 2 4" xfId="26276" xr:uid="{00000000-0005-0000-0000-0000711D0000}"/>
    <cellStyle name="20% - Accent3 3 3 5 3" xfId="5334" xr:uid="{00000000-0005-0000-0000-0000721D0000}"/>
    <cellStyle name="20% - Accent3 3 3 5 3 2" xfId="10984" xr:uid="{00000000-0005-0000-0000-0000731D0000}"/>
    <cellStyle name="20% - Accent3 3 3 5 3 2 2" xfId="22285" xr:uid="{00000000-0005-0000-0000-0000741D0000}"/>
    <cellStyle name="20% - Accent3 3 3 5 3 2 2 2" xfId="44887" xr:uid="{00000000-0005-0000-0000-0000751D0000}"/>
    <cellStyle name="20% - Accent3 3 3 5 3 2 3" xfId="33586" xr:uid="{00000000-0005-0000-0000-0000761D0000}"/>
    <cellStyle name="20% - Accent3 3 3 5 3 3" xfId="16635" xr:uid="{00000000-0005-0000-0000-0000771D0000}"/>
    <cellStyle name="20% - Accent3 3 3 5 3 3 2" xfId="39237" xr:uid="{00000000-0005-0000-0000-0000781D0000}"/>
    <cellStyle name="20% - Accent3 3 3 5 3 4" xfId="27936" xr:uid="{00000000-0005-0000-0000-0000791D0000}"/>
    <cellStyle name="20% - Accent3 3 3 5 4" xfId="7493" xr:uid="{00000000-0005-0000-0000-00007A1D0000}"/>
    <cellStyle name="20% - Accent3 3 3 5 4 2" xfId="18794" xr:uid="{00000000-0005-0000-0000-00007B1D0000}"/>
    <cellStyle name="20% - Accent3 3 3 5 4 2 2" xfId="41396" xr:uid="{00000000-0005-0000-0000-00007C1D0000}"/>
    <cellStyle name="20% - Accent3 3 3 5 4 3" xfId="30095" xr:uid="{00000000-0005-0000-0000-00007D1D0000}"/>
    <cellStyle name="20% - Accent3 3 3 5 5" xfId="13144" xr:uid="{00000000-0005-0000-0000-00007E1D0000}"/>
    <cellStyle name="20% - Accent3 3 3 5 5 2" xfId="35746" xr:uid="{00000000-0005-0000-0000-00007F1D0000}"/>
    <cellStyle name="20% - Accent3 3 3 5 6" xfId="24445" xr:uid="{00000000-0005-0000-0000-0000801D0000}"/>
    <cellStyle name="20% - Accent3 3 3 6" xfId="2313" xr:uid="{00000000-0005-0000-0000-0000811D0000}"/>
    <cellStyle name="20% - Accent3 3 3 6 2" xfId="8149" xr:uid="{00000000-0005-0000-0000-0000821D0000}"/>
    <cellStyle name="20% - Accent3 3 3 6 2 2" xfId="19450" xr:uid="{00000000-0005-0000-0000-0000831D0000}"/>
    <cellStyle name="20% - Accent3 3 3 6 2 2 2" xfId="42052" xr:uid="{00000000-0005-0000-0000-0000841D0000}"/>
    <cellStyle name="20% - Accent3 3 3 6 2 3" xfId="30751" xr:uid="{00000000-0005-0000-0000-0000851D0000}"/>
    <cellStyle name="20% - Accent3 3 3 6 3" xfId="13800" xr:uid="{00000000-0005-0000-0000-0000861D0000}"/>
    <cellStyle name="20% - Accent3 3 3 6 3 2" xfId="36402" xr:uid="{00000000-0005-0000-0000-0000871D0000}"/>
    <cellStyle name="20% - Accent3 3 3 6 4" xfId="25101" xr:uid="{00000000-0005-0000-0000-0000881D0000}"/>
    <cellStyle name="20% - Accent3 3 3 7" xfId="4100" xr:uid="{00000000-0005-0000-0000-0000891D0000}"/>
    <cellStyle name="20% - Accent3 3 3 7 2" xfId="9750" xr:uid="{00000000-0005-0000-0000-00008A1D0000}"/>
    <cellStyle name="20% - Accent3 3 3 7 2 2" xfId="21051" xr:uid="{00000000-0005-0000-0000-00008B1D0000}"/>
    <cellStyle name="20% - Accent3 3 3 7 2 2 2" xfId="43653" xr:uid="{00000000-0005-0000-0000-00008C1D0000}"/>
    <cellStyle name="20% - Accent3 3 3 7 2 3" xfId="32352" xr:uid="{00000000-0005-0000-0000-00008D1D0000}"/>
    <cellStyle name="20% - Accent3 3 3 7 3" xfId="15401" xr:uid="{00000000-0005-0000-0000-00008E1D0000}"/>
    <cellStyle name="20% - Accent3 3 3 7 3 2" xfId="38003" xr:uid="{00000000-0005-0000-0000-00008F1D0000}"/>
    <cellStyle name="20% - Accent3 3 3 7 4" xfId="26702" xr:uid="{00000000-0005-0000-0000-0000901D0000}"/>
    <cellStyle name="20% - Accent3 3 3 8" xfId="6551" xr:uid="{00000000-0005-0000-0000-0000911D0000}"/>
    <cellStyle name="20% - Accent3 3 3 8 2" xfId="17852" xr:uid="{00000000-0005-0000-0000-0000921D0000}"/>
    <cellStyle name="20% - Accent3 3 3 8 2 2" xfId="40454" xr:uid="{00000000-0005-0000-0000-0000931D0000}"/>
    <cellStyle name="20% - Accent3 3 3 8 3" xfId="29153" xr:uid="{00000000-0005-0000-0000-0000941D0000}"/>
    <cellStyle name="20% - Accent3 3 3 9" xfId="12202" xr:uid="{00000000-0005-0000-0000-0000951D0000}"/>
    <cellStyle name="20% - Accent3 3 3 9 2" xfId="34804" xr:uid="{00000000-0005-0000-0000-0000961D0000}"/>
    <cellStyle name="20% - Accent3 3 4" xfId="548" xr:uid="{00000000-0005-0000-0000-0000971D0000}"/>
    <cellStyle name="20% - Accent3 3 4 2" xfId="1129" xr:uid="{00000000-0005-0000-0000-0000981D0000}"/>
    <cellStyle name="20% - Accent3 3 4 2 2" xfId="1642" xr:uid="{00000000-0005-0000-0000-0000991D0000}"/>
    <cellStyle name="20% - Accent3 3 4 2 2 2" xfId="3196" xr:uid="{00000000-0005-0000-0000-00009A1D0000}"/>
    <cellStyle name="20% - Accent3 3 4 2 2 2 2" xfId="6168" xr:uid="{00000000-0005-0000-0000-00009B1D0000}"/>
    <cellStyle name="20% - Accent3 3 4 2 2 2 2 2" xfId="11818" xr:uid="{00000000-0005-0000-0000-00009C1D0000}"/>
    <cellStyle name="20% - Accent3 3 4 2 2 2 2 2 2" xfId="23119" xr:uid="{00000000-0005-0000-0000-00009D1D0000}"/>
    <cellStyle name="20% - Accent3 3 4 2 2 2 2 2 2 2" xfId="45721" xr:uid="{00000000-0005-0000-0000-00009E1D0000}"/>
    <cellStyle name="20% - Accent3 3 4 2 2 2 2 2 3" xfId="34420" xr:uid="{00000000-0005-0000-0000-00009F1D0000}"/>
    <cellStyle name="20% - Accent3 3 4 2 2 2 2 3" xfId="17469" xr:uid="{00000000-0005-0000-0000-0000A01D0000}"/>
    <cellStyle name="20% - Accent3 3 4 2 2 2 2 3 2" xfId="40071" xr:uid="{00000000-0005-0000-0000-0000A11D0000}"/>
    <cellStyle name="20% - Accent3 3 4 2 2 2 2 4" xfId="28770" xr:uid="{00000000-0005-0000-0000-0000A21D0000}"/>
    <cellStyle name="20% - Accent3 3 4 2 2 2 3" xfId="8986" xr:uid="{00000000-0005-0000-0000-0000A31D0000}"/>
    <cellStyle name="20% - Accent3 3 4 2 2 2 3 2" xfId="20287" xr:uid="{00000000-0005-0000-0000-0000A41D0000}"/>
    <cellStyle name="20% - Accent3 3 4 2 2 2 3 2 2" xfId="42889" xr:uid="{00000000-0005-0000-0000-0000A51D0000}"/>
    <cellStyle name="20% - Accent3 3 4 2 2 2 3 3" xfId="31588" xr:uid="{00000000-0005-0000-0000-0000A61D0000}"/>
    <cellStyle name="20% - Accent3 3 4 2 2 2 4" xfId="14637" xr:uid="{00000000-0005-0000-0000-0000A71D0000}"/>
    <cellStyle name="20% - Accent3 3 4 2 2 2 4 2" xfId="37239" xr:uid="{00000000-0005-0000-0000-0000A81D0000}"/>
    <cellStyle name="20% - Accent3 3 4 2 2 2 5" xfId="25938" xr:uid="{00000000-0005-0000-0000-0000A91D0000}"/>
    <cellStyle name="20% - Accent3 3 4 2 2 3" xfId="4934" xr:uid="{00000000-0005-0000-0000-0000AA1D0000}"/>
    <cellStyle name="20% - Accent3 3 4 2 2 3 2" xfId="10584" xr:uid="{00000000-0005-0000-0000-0000AB1D0000}"/>
    <cellStyle name="20% - Accent3 3 4 2 2 3 2 2" xfId="21885" xr:uid="{00000000-0005-0000-0000-0000AC1D0000}"/>
    <cellStyle name="20% - Accent3 3 4 2 2 3 2 2 2" xfId="44487" xr:uid="{00000000-0005-0000-0000-0000AD1D0000}"/>
    <cellStyle name="20% - Accent3 3 4 2 2 3 2 3" xfId="33186" xr:uid="{00000000-0005-0000-0000-0000AE1D0000}"/>
    <cellStyle name="20% - Accent3 3 4 2 2 3 3" xfId="16235" xr:uid="{00000000-0005-0000-0000-0000AF1D0000}"/>
    <cellStyle name="20% - Accent3 3 4 2 2 3 3 2" xfId="38837" xr:uid="{00000000-0005-0000-0000-0000B01D0000}"/>
    <cellStyle name="20% - Accent3 3 4 2 2 3 4" xfId="27536" xr:uid="{00000000-0005-0000-0000-0000B11D0000}"/>
    <cellStyle name="20% - Accent3 3 4 2 2 4" xfId="7498" xr:uid="{00000000-0005-0000-0000-0000B21D0000}"/>
    <cellStyle name="20% - Accent3 3 4 2 2 4 2" xfId="18799" xr:uid="{00000000-0005-0000-0000-0000B31D0000}"/>
    <cellStyle name="20% - Accent3 3 4 2 2 4 2 2" xfId="41401" xr:uid="{00000000-0005-0000-0000-0000B41D0000}"/>
    <cellStyle name="20% - Accent3 3 4 2 2 4 3" xfId="30100" xr:uid="{00000000-0005-0000-0000-0000B51D0000}"/>
    <cellStyle name="20% - Accent3 3 4 2 2 5" xfId="13149" xr:uid="{00000000-0005-0000-0000-0000B61D0000}"/>
    <cellStyle name="20% - Accent3 3 4 2 2 5 2" xfId="35751" xr:uid="{00000000-0005-0000-0000-0000B71D0000}"/>
    <cellStyle name="20% - Accent3 3 4 2 2 6" xfId="24450" xr:uid="{00000000-0005-0000-0000-0000B81D0000}"/>
    <cellStyle name="20% - Accent3 3 4 2 3" xfId="2525" xr:uid="{00000000-0005-0000-0000-0000B91D0000}"/>
    <cellStyle name="20% - Accent3 3 4 2 3 2" xfId="5544" xr:uid="{00000000-0005-0000-0000-0000BA1D0000}"/>
    <cellStyle name="20% - Accent3 3 4 2 3 2 2" xfId="11194" xr:uid="{00000000-0005-0000-0000-0000BB1D0000}"/>
    <cellStyle name="20% - Accent3 3 4 2 3 2 2 2" xfId="22495" xr:uid="{00000000-0005-0000-0000-0000BC1D0000}"/>
    <cellStyle name="20% - Accent3 3 4 2 3 2 2 2 2" xfId="45097" xr:uid="{00000000-0005-0000-0000-0000BD1D0000}"/>
    <cellStyle name="20% - Accent3 3 4 2 3 2 2 3" xfId="33796" xr:uid="{00000000-0005-0000-0000-0000BE1D0000}"/>
    <cellStyle name="20% - Accent3 3 4 2 3 2 3" xfId="16845" xr:uid="{00000000-0005-0000-0000-0000BF1D0000}"/>
    <cellStyle name="20% - Accent3 3 4 2 3 2 3 2" xfId="39447" xr:uid="{00000000-0005-0000-0000-0000C01D0000}"/>
    <cellStyle name="20% - Accent3 3 4 2 3 2 4" xfId="28146" xr:uid="{00000000-0005-0000-0000-0000C11D0000}"/>
    <cellStyle name="20% - Accent3 3 4 2 3 3" xfId="8361" xr:uid="{00000000-0005-0000-0000-0000C21D0000}"/>
    <cellStyle name="20% - Accent3 3 4 2 3 3 2" xfId="19662" xr:uid="{00000000-0005-0000-0000-0000C31D0000}"/>
    <cellStyle name="20% - Accent3 3 4 2 3 3 2 2" xfId="42264" xr:uid="{00000000-0005-0000-0000-0000C41D0000}"/>
    <cellStyle name="20% - Accent3 3 4 2 3 3 3" xfId="30963" xr:uid="{00000000-0005-0000-0000-0000C51D0000}"/>
    <cellStyle name="20% - Accent3 3 4 2 3 4" xfId="14012" xr:uid="{00000000-0005-0000-0000-0000C61D0000}"/>
    <cellStyle name="20% - Accent3 3 4 2 3 4 2" xfId="36614" xr:uid="{00000000-0005-0000-0000-0000C71D0000}"/>
    <cellStyle name="20% - Accent3 3 4 2 3 5" xfId="25313" xr:uid="{00000000-0005-0000-0000-0000C81D0000}"/>
    <cellStyle name="20% - Accent3 3 4 2 4" xfId="4310" xr:uid="{00000000-0005-0000-0000-0000C91D0000}"/>
    <cellStyle name="20% - Accent3 3 4 2 4 2" xfId="9960" xr:uid="{00000000-0005-0000-0000-0000CA1D0000}"/>
    <cellStyle name="20% - Accent3 3 4 2 4 2 2" xfId="21261" xr:uid="{00000000-0005-0000-0000-0000CB1D0000}"/>
    <cellStyle name="20% - Accent3 3 4 2 4 2 2 2" xfId="43863" xr:uid="{00000000-0005-0000-0000-0000CC1D0000}"/>
    <cellStyle name="20% - Accent3 3 4 2 4 2 3" xfId="32562" xr:uid="{00000000-0005-0000-0000-0000CD1D0000}"/>
    <cellStyle name="20% - Accent3 3 4 2 4 3" xfId="15611" xr:uid="{00000000-0005-0000-0000-0000CE1D0000}"/>
    <cellStyle name="20% - Accent3 3 4 2 4 3 2" xfId="38213" xr:uid="{00000000-0005-0000-0000-0000CF1D0000}"/>
    <cellStyle name="20% - Accent3 3 4 2 4 4" xfId="26912" xr:uid="{00000000-0005-0000-0000-0000D01D0000}"/>
    <cellStyle name="20% - Accent3 3 4 2 5" xfId="7108" xr:uid="{00000000-0005-0000-0000-0000D11D0000}"/>
    <cellStyle name="20% - Accent3 3 4 2 5 2" xfId="18409" xr:uid="{00000000-0005-0000-0000-0000D21D0000}"/>
    <cellStyle name="20% - Accent3 3 4 2 5 2 2" xfId="41011" xr:uid="{00000000-0005-0000-0000-0000D31D0000}"/>
    <cellStyle name="20% - Accent3 3 4 2 5 3" xfId="29710" xr:uid="{00000000-0005-0000-0000-0000D41D0000}"/>
    <cellStyle name="20% - Accent3 3 4 2 6" xfId="12759" xr:uid="{00000000-0005-0000-0000-0000D51D0000}"/>
    <cellStyle name="20% - Accent3 3 4 2 6 2" xfId="35361" xr:uid="{00000000-0005-0000-0000-0000D61D0000}"/>
    <cellStyle name="20% - Accent3 3 4 2 7" xfId="24060" xr:uid="{00000000-0005-0000-0000-0000D71D0000}"/>
    <cellStyle name="20% - Accent3 3 4 3" xfId="802" xr:uid="{00000000-0005-0000-0000-0000D81D0000}"/>
    <cellStyle name="20% - Accent3 3 4 3 2" xfId="2890" xr:uid="{00000000-0005-0000-0000-0000D91D0000}"/>
    <cellStyle name="20% - Accent3 3 4 3 2 2" xfId="5862" xr:uid="{00000000-0005-0000-0000-0000DA1D0000}"/>
    <cellStyle name="20% - Accent3 3 4 3 2 2 2" xfId="11512" xr:uid="{00000000-0005-0000-0000-0000DB1D0000}"/>
    <cellStyle name="20% - Accent3 3 4 3 2 2 2 2" xfId="22813" xr:uid="{00000000-0005-0000-0000-0000DC1D0000}"/>
    <cellStyle name="20% - Accent3 3 4 3 2 2 2 2 2" xfId="45415" xr:uid="{00000000-0005-0000-0000-0000DD1D0000}"/>
    <cellStyle name="20% - Accent3 3 4 3 2 2 2 3" xfId="34114" xr:uid="{00000000-0005-0000-0000-0000DE1D0000}"/>
    <cellStyle name="20% - Accent3 3 4 3 2 2 3" xfId="17163" xr:uid="{00000000-0005-0000-0000-0000DF1D0000}"/>
    <cellStyle name="20% - Accent3 3 4 3 2 2 3 2" xfId="39765" xr:uid="{00000000-0005-0000-0000-0000E01D0000}"/>
    <cellStyle name="20% - Accent3 3 4 3 2 2 4" xfId="28464" xr:uid="{00000000-0005-0000-0000-0000E11D0000}"/>
    <cellStyle name="20% - Accent3 3 4 3 2 3" xfId="8680" xr:uid="{00000000-0005-0000-0000-0000E21D0000}"/>
    <cellStyle name="20% - Accent3 3 4 3 2 3 2" xfId="19981" xr:uid="{00000000-0005-0000-0000-0000E31D0000}"/>
    <cellStyle name="20% - Accent3 3 4 3 2 3 2 2" xfId="42583" xr:uid="{00000000-0005-0000-0000-0000E41D0000}"/>
    <cellStyle name="20% - Accent3 3 4 3 2 3 3" xfId="31282" xr:uid="{00000000-0005-0000-0000-0000E51D0000}"/>
    <cellStyle name="20% - Accent3 3 4 3 2 4" xfId="14331" xr:uid="{00000000-0005-0000-0000-0000E61D0000}"/>
    <cellStyle name="20% - Accent3 3 4 3 2 4 2" xfId="36933" xr:uid="{00000000-0005-0000-0000-0000E71D0000}"/>
    <cellStyle name="20% - Accent3 3 4 3 2 5" xfId="25632" xr:uid="{00000000-0005-0000-0000-0000E81D0000}"/>
    <cellStyle name="20% - Accent3 3 4 3 3" xfId="4628" xr:uid="{00000000-0005-0000-0000-0000E91D0000}"/>
    <cellStyle name="20% - Accent3 3 4 3 3 2" xfId="10278" xr:uid="{00000000-0005-0000-0000-0000EA1D0000}"/>
    <cellStyle name="20% - Accent3 3 4 3 3 2 2" xfId="21579" xr:uid="{00000000-0005-0000-0000-0000EB1D0000}"/>
    <cellStyle name="20% - Accent3 3 4 3 3 2 2 2" xfId="44181" xr:uid="{00000000-0005-0000-0000-0000EC1D0000}"/>
    <cellStyle name="20% - Accent3 3 4 3 3 2 3" xfId="32880" xr:uid="{00000000-0005-0000-0000-0000ED1D0000}"/>
    <cellStyle name="20% - Accent3 3 4 3 3 3" xfId="15929" xr:uid="{00000000-0005-0000-0000-0000EE1D0000}"/>
    <cellStyle name="20% - Accent3 3 4 3 3 3 2" xfId="38531" xr:uid="{00000000-0005-0000-0000-0000EF1D0000}"/>
    <cellStyle name="20% - Accent3 3 4 3 3 4" xfId="27230" xr:uid="{00000000-0005-0000-0000-0000F01D0000}"/>
    <cellStyle name="20% - Accent3 3 4 3 4" xfId="6811" xr:uid="{00000000-0005-0000-0000-0000F11D0000}"/>
    <cellStyle name="20% - Accent3 3 4 3 4 2" xfId="18112" xr:uid="{00000000-0005-0000-0000-0000F21D0000}"/>
    <cellStyle name="20% - Accent3 3 4 3 4 2 2" xfId="40714" xr:uid="{00000000-0005-0000-0000-0000F31D0000}"/>
    <cellStyle name="20% - Accent3 3 4 3 4 3" xfId="29413" xr:uid="{00000000-0005-0000-0000-0000F41D0000}"/>
    <cellStyle name="20% - Accent3 3 4 3 5" xfId="12462" xr:uid="{00000000-0005-0000-0000-0000F51D0000}"/>
    <cellStyle name="20% - Accent3 3 4 3 5 2" xfId="35064" xr:uid="{00000000-0005-0000-0000-0000F61D0000}"/>
    <cellStyle name="20% - Accent3 3 4 3 6" xfId="23763" xr:uid="{00000000-0005-0000-0000-0000F71D0000}"/>
    <cellStyle name="20% - Accent3 3 4 4" xfId="1641" xr:uid="{00000000-0005-0000-0000-0000F81D0000}"/>
    <cellStyle name="20% - Accent3 3 4 4 2" xfId="3613" xr:uid="{00000000-0005-0000-0000-0000F91D0000}"/>
    <cellStyle name="20% - Accent3 3 4 4 2 2" xfId="9326" xr:uid="{00000000-0005-0000-0000-0000FA1D0000}"/>
    <cellStyle name="20% - Accent3 3 4 4 2 2 2" xfId="20627" xr:uid="{00000000-0005-0000-0000-0000FB1D0000}"/>
    <cellStyle name="20% - Accent3 3 4 4 2 2 2 2" xfId="43229" xr:uid="{00000000-0005-0000-0000-0000FC1D0000}"/>
    <cellStyle name="20% - Accent3 3 4 4 2 2 3" xfId="31928" xr:uid="{00000000-0005-0000-0000-0000FD1D0000}"/>
    <cellStyle name="20% - Accent3 3 4 4 2 3" xfId="14977" xr:uid="{00000000-0005-0000-0000-0000FE1D0000}"/>
    <cellStyle name="20% - Accent3 3 4 4 2 3 2" xfId="37579" xr:uid="{00000000-0005-0000-0000-0000FF1D0000}"/>
    <cellStyle name="20% - Accent3 3 4 4 2 4" xfId="26278" xr:uid="{00000000-0005-0000-0000-0000001E0000}"/>
    <cellStyle name="20% - Accent3 3 4 4 3" xfId="5238" xr:uid="{00000000-0005-0000-0000-0000011E0000}"/>
    <cellStyle name="20% - Accent3 3 4 4 3 2" xfId="10888" xr:uid="{00000000-0005-0000-0000-0000021E0000}"/>
    <cellStyle name="20% - Accent3 3 4 4 3 2 2" xfId="22189" xr:uid="{00000000-0005-0000-0000-0000031E0000}"/>
    <cellStyle name="20% - Accent3 3 4 4 3 2 2 2" xfId="44791" xr:uid="{00000000-0005-0000-0000-0000041E0000}"/>
    <cellStyle name="20% - Accent3 3 4 4 3 2 3" xfId="33490" xr:uid="{00000000-0005-0000-0000-0000051E0000}"/>
    <cellStyle name="20% - Accent3 3 4 4 3 3" xfId="16539" xr:uid="{00000000-0005-0000-0000-0000061E0000}"/>
    <cellStyle name="20% - Accent3 3 4 4 3 3 2" xfId="39141" xr:uid="{00000000-0005-0000-0000-0000071E0000}"/>
    <cellStyle name="20% - Accent3 3 4 4 3 4" xfId="27840" xr:uid="{00000000-0005-0000-0000-0000081E0000}"/>
    <cellStyle name="20% - Accent3 3 4 4 4" xfId="7497" xr:uid="{00000000-0005-0000-0000-0000091E0000}"/>
    <cellStyle name="20% - Accent3 3 4 4 4 2" xfId="18798" xr:uid="{00000000-0005-0000-0000-00000A1E0000}"/>
    <cellStyle name="20% - Accent3 3 4 4 4 2 2" xfId="41400" xr:uid="{00000000-0005-0000-0000-00000B1E0000}"/>
    <cellStyle name="20% - Accent3 3 4 4 4 3" xfId="30099" xr:uid="{00000000-0005-0000-0000-00000C1E0000}"/>
    <cellStyle name="20% - Accent3 3 4 4 5" xfId="13148" xr:uid="{00000000-0005-0000-0000-00000D1E0000}"/>
    <cellStyle name="20% - Accent3 3 4 4 5 2" xfId="35750" xr:uid="{00000000-0005-0000-0000-00000E1E0000}"/>
    <cellStyle name="20% - Accent3 3 4 4 6" xfId="24449" xr:uid="{00000000-0005-0000-0000-00000F1E0000}"/>
    <cellStyle name="20% - Accent3 3 4 5" xfId="2210" xr:uid="{00000000-0005-0000-0000-0000101E0000}"/>
    <cellStyle name="20% - Accent3 3 4 5 2" xfId="8052" xr:uid="{00000000-0005-0000-0000-0000111E0000}"/>
    <cellStyle name="20% - Accent3 3 4 5 2 2" xfId="19353" xr:uid="{00000000-0005-0000-0000-0000121E0000}"/>
    <cellStyle name="20% - Accent3 3 4 5 2 2 2" xfId="41955" xr:uid="{00000000-0005-0000-0000-0000131E0000}"/>
    <cellStyle name="20% - Accent3 3 4 5 2 3" xfId="30654" xr:uid="{00000000-0005-0000-0000-0000141E0000}"/>
    <cellStyle name="20% - Accent3 3 4 5 3" xfId="13703" xr:uid="{00000000-0005-0000-0000-0000151E0000}"/>
    <cellStyle name="20% - Accent3 3 4 5 3 2" xfId="36305" xr:uid="{00000000-0005-0000-0000-0000161E0000}"/>
    <cellStyle name="20% - Accent3 3 4 5 4" xfId="25004" xr:uid="{00000000-0005-0000-0000-0000171E0000}"/>
    <cellStyle name="20% - Accent3 3 4 6" xfId="4004" xr:uid="{00000000-0005-0000-0000-0000181E0000}"/>
    <cellStyle name="20% - Accent3 3 4 6 2" xfId="9654" xr:uid="{00000000-0005-0000-0000-0000191E0000}"/>
    <cellStyle name="20% - Accent3 3 4 6 2 2" xfId="20955" xr:uid="{00000000-0005-0000-0000-00001A1E0000}"/>
    <cellStyle name="20% - Accent3 3 4 6 2 2 2" xfId="43557" xr:uid="{00000000-0005-0000-0000-00001B1E0000}"/>
    <cellStyle name="20% - Accent3 3 4 6 2 3" xfId="32256" xr:uid="{00000000-0005-0000-0000-00001C1E0000}"/>
    <cellStyle name="20% - Accent3 3 4 6 3" xfId="15305" xr:uid="{00000000-0005-0000-0000-00001D1E0000}"/>
    <cellStyle name="20% - Accent3 3 4 6 3 2" xfId="37907" xr:uid="{00000000-0005-0000-0000-00001E1E0000}"/>
    <cellStyle name="20% - Accent3 3 4 6 4" xfId="26606" xr:uid="{00000000-0005-0000-0000-00001F1E0000}"/>
    <cellStyle name="20% - Accent3 3 4 7" xfId="6622" xr:uid="{00000000-0005-0000-0000-0000201E0000}"/>
    <cellStyle name="20% - Accent3 3 4 7 2" xfId="17923" xr:uid="{00000000-0005-0000-0000-0000211E0000}"/>
    <cellStyle name="20% - Accent3 3 4 7 2 2" xfId="40525" xr:uid="{00000000-0005-0000-0000-0000221E0000}"/>
    <cellStyle name="20% - Accent3 3 4 7 3" xfId="29224" xr:uid="{00000000-0005-0000-0000-0000231E0000}"/>
    <cellStyle name="20% - Accent3 3 4 8" xfId="12273" xr:uid="{00000000-0005-0000-0000-0000241E0000}"/>
    <cellStyle name="20% - Accent3 3 4 8 2" xfId="34875" xr:uid="{00000000-0005-0000-0000-0000251E0000}"/>
    <cellStyle name="20% - Accent3 3 4 9" xfId="23574" xr:uid="{00000000-0005-0000-0000-0000261E0000}"/>
    <cellStyle name="20% - Accent3 3 5" xfId="448" xr:uid="{00000000-0005-0000-0000-0000271E0000}"/>
    <cellStyle name="20% - Accent3 3 6" xfId="1469" xr:uid="{00000000-0005-0000-0000-0000281E0000}"/>
    <cellStyle name="20% - Accent3 3 7" xfId="6455" xr:uid="{00000000-0005-0000-0000-0000291E0000}"/>
    <cellStyle name="20% - Accent3 3 7 2" xfId="17756" xr:uid="{00000000-0005-0000-0000-00002A1E0000}"/>
    <cellStyle name="20% - Accent3 3 7 2 2" xfId="40358" xr:uid="{00000000-0005-0000-0000-00002B1E0000}"/>
    <cellStyle name="20% - Accent3 3 7 3" xfId="29057" xr:uid="{00000000-0005-0000-0000-00002C1E0000}"/>
    <cellStyle name="20% - Accent3 3 8" xfId="12106" xr:uid="{00000000-0005-0000-0000-00002D1E0000}"/>
    <cellStyle name="20% - Accent3 3 8 2" xfId="34708" xr:uid="{00000000-0005-0000-0000-00002E1E0000}"/>
    <cellStyle name="20% - Accent3 3 9" xfId="23407" xr:uid="{00000000-0005-0000-0000-00002F1E0000}"/>
    <cellStyle name="20% - Accent3 4" xfId="237" xr:uid="{00000000-0005-0000-0000-0000301E0000}"/>
    <cellStyle name="20% - Accent3 4 10" xfId="3990" xr:uid="{00000000-0005-0000-0000-0000311E0000}"/>
    <cellStyle name="20% - Accent3 4 10 2" xfId="9640" xr:uid="{00000000-0005-0000-0000-0000321E0000}"/>
    <cellStyle name="20% - Accent3 4 10 2 2" xfId="20941" xr:uid="{00000000-0005-0000-0000-0000331E0000}"/>
    <cellStyle name="20% - Accent3 4 10 2 2 2" xfId="43543" xr:uid="{00000000-0005-0000-0000-0000341E0000}"/>
    <cellStyle name="20% - Accent3 4 10 2 3" xfId="32242" xr:uid="{00000000-0005-0000-0000-0000351E0000}"/>
    <cellStyle name="20% - Accent3 4 10 3" xfId="15291" xr:uid="{00000000-0005-0000-0000-0000361E0000}"/>
    <cellStyle name="20% - Accent3 4 10 3 2" xfId="37893" xr:uid="{00000000-0005-0000-0000-0000371E0000}"/>
    <cellStyle name="20% - Accent3 4 10 4" xfId="26592" xr:uid="{00000000-0005-0000-0000-0000381E0000}"/>
    <cellStyle name="20% - Accent3 4 11" xfId="6469" xr:uid="{00000000-0005-0000-0000-0000391E0000}"/>
    <cellStyle name="20% - Accent3 4 11 2" xfId="17770" xr:uid="{00000000-0005-0000-0000-00003A1E0000}"/>
    <cellStyle name="20% - Accent3 4 11 2 2" xfId="40372" xr:uid="{00000000-0005-0000-0000-00003B1E0000}"/>
    <cellStyle name="20% - Accent3 4 11 3" xfId="29071" xr:uid="{00000000-0005-0000-0000-00003C1E0000}"/>
    <cellStyle name="20% - Accent3 4 12" xfId="12120" xr:uid="{00000000-0005-0000-0000-00003D1E0000}"/>
    <cellStyle name="20% - Accent3 4 12 2" xfId="34722" xr:uid="{00000000-0005-0000-0000-00003E1E0000}"/>
    <cellStyle name="20% - Accent3 4 13" xfId="23421" xr:uid="{00000000-0005-0000-0000-00003F1E0000}"/>
    <cellStyle name="20% - Accent3 4 2" xfId="360" xr:uid="{00000000-0005-0000-0000-0000401E0000}"/>
    <cellStyle name="20% - Accent3 4 2 10" xfId="23468" xr:uid="{00000000-0005-0000-0000-0000411E0000}"/>
    <cellStyle name="20% - Accent3 4 2 2" xfId="618" xr:uid="{00000000-0005-0000-0000-0000421E0000}"/>
    <cellStyle name="20% - Accent3 4 2 2 2" xfId="1328" xr:uid="{00000000-0005-0000-0000-0000431E0000}"/>
    <cellStyle name="20% - Accent3 4 2 2 2 2" xfId="1646" xr:uid="{00000000-0005-0000-0000-0000441E0000}"/>
    <cellStyle name="20% - Accent3 4 2 2 2 2 2" xfId="3397" xr:uid="{00000000-0005-0000-0000-0000451E0000}"/>
    <cellStyle name="20% - Accent3 4 2 2 2 2 2 2" xfId="6369" xr:uid="{00000000-0005-0000-0000-0000461E0000}"/>
    <cellStyle name="20% - Accent3 4 2 2 2 2 2 2 2" xfId="12019" xr:uid="{00000000-0005-0000-0000-0000471E0000}"/>
    <cellStyle name="20% - Accent3 4 2 2 2 2 2 2 2 2" xfId="23320" xr:uid="{00000000-0005-0000-0000-0000481E0000}"/>
    <cellStyle name="20% - Accent3 4 2 2 2 2 2 2 2 2 2" xfId="45922" xr:uid="{00000000-0005-0000-0000-0000491E0000}"/>
    <cellStyle name="20% - Accent3 4 2 2 2 2 2 2 2 3" xfId="34621" xr:uid="{00000000-0005-0000-0000-00004A1E0000}"/>
    <cellStyle name="20% - Accent3 4 2 2 2 2 2 2 3" xfId="17670" xr:uid="{00000000-0005-0000-0000-00004B1E0000}"/>
    <cellStyle name="20% - Accent3 4 2 2 2 2 2 2 3 2" xfId="40272" xr:uid="{00000000-0005-0000-0000-00004C1E0000}"/>
    <cellStyle name="20% - Accent3 4 2 2 2 2 2 2 4" xfId="28971" xr:uid="{00000000-0005-0000-0000-00004D1E0000}"/>
    <cellStyle name="20% - Accent3 4 2 2 2 2 2 3" xfId="9187" xr:uid="{00000000-0005-0000-0000-00004E1E0000}"/>
    <cellStyle name="20% - Accent3 4 2 2 2 2 2 3 2" xfId="20488" xr:uid="{00000000-0005-0000-0000-00004F1E0000}"/>
    <cellStyle name="20% - Accent3 4 2 2 2 2 2 3 2 2" xfId="43090" xr:uid="{00000000-0005-0000-0000-0000501E0000}"/>
    <cellStyle name="20% - Accent3 4 2 2 2 2 2 3 3" xfId="31789" xr:uid="{00000000-0005-0000-0000-0000511E0000}"/>
    <cellStyle name="20% - Accent3 4 2 2 2 2 2 4" xfId="14838" xr:uid="{00000000-0005-0000-0000-0000521E0000}"/>
    <cellStyle name="20% - Accent3 4 2 2 2 2 2 4 2" xfId="37440" xr:uid="{00000000-0005-0000-0000-0000531E0000}"/>
    <cellStyle name="20% - Accent3 4 2 2 2 2 2 5" xfId="26139" xr:uid="{00000000-0005-0000-0000-0000541E0000}"/>
    <cellStyle name="20% - Accent3 4 2 2 2 2 3" xfId="5135" xr:uid="{00000000-0005-0000-0000-0000551E0000}"/>
    <cellStyle name="20% - Accent3 4 2 2 2 2 3 2" xfId="10785" xr:uid="{00000000-0005-0000-0000-0000561E0000}"/>
    <cellStyle name="20% - Accent3 4 2 2 2 2 3 2 2" xfId="22086" xr:uid="{00000000-0005-0000-0000-0000571E0000}"/>
    <cellStyle name="20% - Accent3 4 2 2 2 2 3 2 2 2" xfId="44688" xr:uid="{00000000-0005-0000-0000-0000581E0000}"/>
    <cellStyle name="20% - Accent3 4 2 2 2 2 3 2 3" xfId="33387" xr:uid="{00000000-0005-0000-0000-0000591E0000}"/>
    <cellStyle name="20% - Accent3 4 2 2 2 2 3 3" xfId="16436" xr:uid="{00000000-0005-0000-0000-00005A1E0000}"/>
    <cellStyle name="20% - Accent3 4 2 2 2 2 3 3 2" xfId="39038" xr:uid="{00000000-0005-0000-0000-00005B1E0000}"/>
    <cellStyle name="20% - Accent3 4 2 2 2 2 3 4" xfId="27737" xr:uid="{00000000-0005-0000-0000-00005C1E0000}"/>
    <cellStyle name="20% - Accent3 4 2 2 2 2 4" xfId="7502" xr:uid="{00000000-0005-0000-0000-00005D1E0000}"/>
    <cellStyle name="20% - Accent3 4 2 2 2 2 4 2" xfId="18803" xr:uid="{00000000-0005-0000-0000-00005E1E0000}"/>
    <cellStyle name="20% - Accent3 4 2 2 2 2 4 2 2" xfId="41405" xr:uid="{00000000-0005-0000-0000-00005F1E0000}"/>
    <cellStyle name="20% - Accent3 4 2 2 2 2 4 3" xfId="30104" xr:uid="{00000000-0005-0000-0000-0000601E0000}"/>
    <cellStyle name="20% - Accent3 4 2 2 2 2 5" xfId="13153" xr:uid="{00000000-0005-0000-0000-0000611E0000}"/>
    <cellStyle name="20% - Accent3 4 2 2 2 2 5 2" xfId="35755" xr:uid="{00000000-0005-0000-0000-0000621E0000}"/>
    <cellStyle name="20% - Accent3 4 2 2 2 2 6" xfId="24454" xr:uid="{00000000-0005-0000-0000-0000631E0000}"/>
    <cellStyle name="20% - Accent3 4 2 2 2 3" xfId="2726" xr:uid="{00000000-0005-0000-0000-0000641E0000}"/>
    <cellStyle name="20% - Accent3 4 2 2 2 3 2" xfId="5745" xr:uid="{00000000-0005-0000-0000-0000651E0000}"/>
    <cellStyle name="20% - Accent3 4 2 2 2 3 2 2" xfId="11395" xr:uid="{00000000-0005-0000-0000-0000661E0000}"/>
    <cellStyle name="20% - Accent3 4 2 2 2 3 2 2 2" xfId="22696" xr:uid="{00000000-0005-0000-0000-0000671E0000}"/>
    <cellStyle name="20% - Accent3 4 2 2 2 3 2 2 2 2" xfId="45298" xr:uid="{00000000-0005-0000-0000-0000681E0000}"/>
    <cellStyle name="20% - Accent3 4 2 2 2 3 2 2 3" xfId="33997" xr:uid="{00000000-0005-0000-0000-0000691E0000}"/>
    <cellStyle name="20% - Accent3 4 2 2 2 3 2 3" xfId="17046" xr:uid="{00000000-0005-0000-0000-00006A1E0000}"/>
    <cellStyle name="20% - Accent3 4 2 2 2 3 2 3 2" xfId="39648" xr:uid="{00000000-0005-0000-0000-00006B1E0000}"/>
    <cellStyle name="20% - Accent3 4 2 2 2 3 2 4" xfId="28347" xr:uid="{00000000-0005-0000-0000-00006C1E0000}"/>
    <cellStyle name="20% - Accent3 4 2 2 2 3 3" xfId="8562" xr:uid="{00000000-0005-0000-0000-00006D1E0000}"/>
    <cellStyle name="20% - Accent3 4 2 2 2 3 3 2" xfId="19863" xr:uid="{00000000-0005-0000-0000-00006E1E0000}"/>
    <cellStyle name="20% - Accent3 4 2 2 2 3 3 2 2" xfId="42465" xr:uid="{00000000-0005-0000-0000-00006F1E0000}"/>
    <cellStyle name="20% - Accent3 4 2 2 2 3 3 3" xfId="31164" xr:uid="{00000000-0005-0000-0000-0000701E0000}"/>
    <cellStyle name="20% - Accent3 4 2 2 2 3 4" xfId="14213" xr:uid="{00000000-0005-0000-0000-0000711E0000}"/>
    <cellStyle name="20% - Accent3 4 2 2 2 3 4 2" xfId="36815" xr:uid="{00000000-0005-0000-0000-0000721E0000}"/>
    <cellStyle name="20% - Accent3 4 2 2 2 3 5" xfId="25514" xr:uid="{00000000-0005-0000-0000-0000731E0000}"/>
    <cellStyle name="20% - Accent3 4 2 2 2 4" xfId="4511" xr:uid="{00000000-0005-0000-0000-0000741E0000}"/>
    <cellStyle name="20% - Accent3 4 2 2 2 4 2" xfId="10161" xr:uid="{00000000-0005-0000-0000-0000751E0000}"/>
    <cellStyle name="20% - Accent3 4 2 2 2 4 2 2" xfId="21462" xr:uid="{00000000-0005-0000-0000-0000761E0000}"/>
    <cellStyle name="20% - Accent3 4 2 2 2 4 2 2 2" xfId="44064" xr:uid="{00000000-0005-0000-0000-0000771E0000}"/>
    <cellStyle name="20% - Accent3 4 2 2 2 4 2 3" xfId="32763" xr:uid="{00000000-0005-0000-0000-0000781E0000}"/>
    <cellStyle name="20% - Accent3 4 2 2 2 4 3" xfId="15812" xr:uid="{00000000-0005-0000-0000-0000791E0000}"/>
    <cellStyle name="20% - Accent3 4 2 2 2 4 3 2" xfId="38414" xr:uid="{00000000-0005-0000-0000-00007A1E0000}"/>
    <cellStyle name="20% - Accent3 4 2 2 2 4 4" xfId="27113" xr:uid="{00000000-0005-0000-0000-00007B1E0000}"/>
    <cellStyle name="20% - Accent3 4 2 2 2 5" xfId="7307" xr:uid="{00000000-0005-0000-0000-00007C1E0000}"/>
    <cellStyle name="20% - Accent3 4 2 2 2 5 2" xfId="18608" xr:uid="{00000000-0005-0000-0000-00007D1E0000}"/>
    <cellStyle name="20% - Accent3 4 2 2 2 5 2 2" xfId="41210" xr:uid="{00000000-0005-0000-0000-00007E1E0000}"/>
    <cellStyle name="20% - Accent3 4 2 2 2 5 3" xfId="29909" xr:uid="{00000000-0005-0000-0000-00007F1E0000}"/>
    <cellStyle name="20% - Accent3 4 2 2 2 6" xfId="12958" xr:uid="{00000000-0005-0000-0000-0000801E0000}"/>
    <cellStyle name="20% - Accent3 4 2 2 2 6 2" xfId="35560" xr:uid="{00000000-0005-0000-0000-0000811E0000}"/>
    <cellStyle name="20% - Accent3 4 2 2 2 7" xfId="24259" xr:uid="{00000000-0005-0000-0000-0000821E0000}"/>
    <cellStyle name="20% - Accent3 4 2 2 3" xfId="1026" xr:uid="{00000000-0005-0000-0000-0000831E0000}"/>
    <cellStyle name="20% - Accent3 4 2 2 3 2" xfId="3089" xr:uid="{00000000-0005-0000-0000-0000841E0000}"/>
    <cellStyle name="20% - Accent3 4 2 2 3 2 2" xfId="6061" xr:uid="{00000000-0005-0000-0000-0000851E0000}"/>
    <cellStyle name="20% - Accent3 4 2 2 3 2 2 2" xfId="11711" xr:uid="{00000000-0005-0000-0000-0000861E0000}"/>
    <cellStyle name="20% - Accent3 4 2 2 3 2 2 2 2" xfId="23012" xr:uid="{00000000-0005-0000-0000-0000871E0000}"/>
    <cellStyle name="20% - Accent3 4 2 2 3 2 2 2 2 2" xfId="45614" xr:uid="{00000000-0005-0000-0000-0000881E0000}"/>
    <cellStyle name="20% - Accent3 4 2 2 3 2 2 2 3" xfId="34313" xr:uid="{00000000-0005-0000-0000-0000891E0000}"/>
    <cellStyle name="20% - Accent3 4 2 2 3 2 2 3" xfId="17362" xr:uid="{00000000-0005-0000-0000-00008A1E0000}"/>
    <cellStyle name="20% - Accent3 4 2 2 3 2 2 3 2" xfId="39964" xr:uid="{00000000-0005-0000-0000-00008B1E0000}"/>
    <cellStyle name="20% - Accent3 4 2 2 3 2 2 4" xfId="28663" xr:uid="{00000000-0005-0000-0000-00008C1E0000}"/>
    <cellStyle name="20% - Accent3 4 2 2 3 2 3" xfId="8879" xr:uid="{00000000-0005-0000-0000-00008D1E0000}"/>
    <cellStyle name="20% - Accent3 4 2 2 3 2 3 2" xfId="20180" xr:uid="{00000000-0005-0000-0000-00008E1E0000}"/>
    <cellStyle name="20% - Accent3 4 2 2 3 2 3 2 2" xfId="42782" xr:uid="{00000000-0005-0000-0000-00008F1E0000}"/>
    <cellStyle name="20% - Accent3 4 2 2 3 2 3 3" xfId="31481" xr:uid="{00000000-0005-0000-0000-0000901E0000}"/>
    <cellStyle name="20% - Accent3 4 2 2 3 2 4" xfId="14530" xr:uid="{00000000-0005-0000-0000-0000911E0000}"/>
    <cellStyle name="20% - Accent3 4 2 2 3 2 4 2" xfId="37132" xr:uid="{00000000-0005-0000-0000-0000921E0000}"/>
    <cellStyle name="20% - Accent3 4 2 2 3 2 5" xfId="25831" xr:uid="{00000000-0005-0000-0000-0000931E0000}"/>
    <cellStyle name="20% - Accent3 4 2 2 3 3" xfId="4827" xr:uid="{00000000-0005-0000-0000-0000941E0000}"/>
    <cellStyle name="20% - Accent3 4 2 2 3 3 2" xfId="10477" xr:uid="{00000000-0005-0000-0000-0000951E0000}"/>
    <cellStyle name="20% - Accent3 4 2 2 3 3 2 2" xfId="21778" xr:uid="{00000000-0005-0000-0000-0000961E0000}"/>
    <cellStyle name="20% - Accent3 4 2 2 3 3 2 2 2" xfId="44380" xr:uid="{00000000-0005-0000-0000-0000971E0000}"/>
    <cellStyle name="20% - Accent3 4 2 2 3 3 2 3" xfId="33079" xr:uid="{00000000-0005-0000-0000-0000981E0000}"/>
    <cellStyle name="20% - Accent3 4 2 2 3 3 3" xfId="16128" xr:uid="{00000000-0005-0000-0000-0000991E0000}"/>
    <cellStyle name="20% - Accent3 4 2 2 3 3 3 2" xfId="38730" xr:uid="{00000000-0005-0000-0000-00009A1E0000}"/>
    <cellStyle name="20% - Accent3 4 2 2 3 3 4" xfId="27429" xr:uid="{00000000-0005-0000-0000-00009B1E0000}"/>
    <cellStyle name="20% - Accent3 4 2 2 3 4" xfId="7014" xr:uid="{00000000-0005-0000-0000-00009C1E0000}"/>
    <cellStyle name="20% - Accent3 4 2 2 3 4 2" xfId="18315" xr:uid="{00000000-0005-0000-0000-00009D1E0000}"/>
    <cellStyle name="20% - Accent3 4 2 2 3 4 2 2" xfId="40917" xr:uid="{00000000-0005-0000-0000-00009E1E0000}"/>
    <cellStyle name="20% - Accent3 4 2 2 3 4 3" xfId="29616" xr:uid="{00000000-0005-0000-0000-00009F1E0000}"/>
    <cellStyle name="20% - Accent3 4 2 2 3 5" xfId="12665" xr:uid="{00000000-0005-0000-0000-0000A01E0000}"/>
    <cellStyle name="20% - Accent3 4 2 2 3 5 2" xfId="35267" xr:uid="{00000000-0005-0000-0000-0000A11E0000}"/>
    <cellStyle name="20% - Accent3 4 2 2 3 6" xfId="23966" xr:uid="{00000000-0005-0000-0000-0000A21E0000}"/>
    <cellStyle name="20% - Accent3 4 2 2 4" xfId="1645" xr:uid="{00000000-0005-0000-0000-0000A31E0000}"/>
    <cellStyle name="20% - Accent3 4 2 2 4 2" xfId="3616" xr:uid="{00000000-0005-0000-0000-0000A41E0000}"/>
    <cellStyle name="20% - Accent3 4 2 2 4 2 2" xfId="9329" xr:uid="{00000000-0005-0000-0000-0000A51E0000}"/>
    <cellStyle name="20% - Accent3 4 2 2 4 2 2 2" xfId="20630" xr:uid="{00000000-0005-0000-0000-0000A61E0000}"/>
    <cellStyle name="20% - Accent3 4 2 2 4 2 2 2 2" xfId="43232" xr:uid="{00000000-0005-0000-0000-0000A71E0000}"/>
    <cellStyle name="20% - Accent3 4 2 2 4 2 2 3" xfId="31931" xr:uid="{00000000-0005-0000-0000-0000A81E0000}"/>
    <cellStyle name="20% - Accent3 4 2 2 4 2 3" xfId="14980" xr:uid="{00000000-0005-0000-0000-0000A91E0000}"/>
    <cellStyle name="20% - Accent3 4 2 2 4 2 3 2" xfId="37582" xr:uid="{00000000-0005-0000-0000-0000AA1E0000}"/>
    <cellStyle name="20% - Accent3 4 2 2 4 2 4" xfId="26281" xr:uid="{00000000-0005-0000-0000-0000AB1E0000}"/>
    <cellStyle name="20% - Accent3 4 2 2 4 3" xfId="5437" xr:uid="{00000000-0005-0000-0000-0000AC1E0000}"/>
    <cellStyle name="20% - Accent3 4 2 2 4 3 2" xfId="11087" xr:uid="{00000000-0005-0000-0000-0000AD1E0000}"/>
    <cellStyle name="20% - Accent3 4 2 2 4 3 2 2" xfId="22388" xr:uid="{00000000-0005-0000-0000-0000AE1E0000}"/>
    <cellStyle name="20% - Accent3 4 2 2 4 3 2 2 2" xfId="44990" xr:uid="{00000000-0005-0000-0000-0000AF1E0000}"/>
    <cellStyle name="20% - Accent3 4 2 2 4 3 2 3" xfId="33689" xr:uid="{00000000-0005-0000-0000-0000B01E0000}"/>
    <cellStyle name="20% - Accent3 4 2 2 4 3 3" xfId="16738" xr:uid="{00000000-0005-0000-0000-0000B11E0000}"/>
    <cellStyle name="20% - Accent3 4 2 2 4 3 3 2" xfId="39340" xr:uid="{00000000-0005-0000-0000-0000B21E0000}"/>
    <cellStyle name="20% - Accent3 4 2 2 4 3 4" xfId="28039" xr:uid="{00000000-0005-0000-0000-0000B31E0000}"/>
    <cellStyle name="20% - Accent3 4 2 2 4 4" xfId="7501" xr:uid="{00000000-0005-0000-0000-0000B41E0000}"/>
    <cellStyle name="20% - Accent3 4 2 2 4 4 2" xfId="18802" xr:uid="{00000000-0005-0000-0000-0000B51E0000}"/>
    <cellStyle name="20% - Accent3 4 2 2 4 4 2 2" xfId="41404" xr:uid="{00000000-0005-0000-0000-0000B61E0000}"/>
    <cellStyle name="20% - Accent3 4 2 2 4 4 3" xfId="30103" xr:uid="{00000000-0005-0000-0000-0000B71E0000}"/>
    <cellStyle name="20% - Accent3 4 2 2 4 5" xfId="13152" xr:uid="{00000000-0005-0000-0000-0000B81E0000}"/>
    <cellStyle name="20% - Accent3 4 2 2 4 5 2" xfId="35754" xr:uid="{00000000-0005-0000-0000-0000B91E0000}"/>
    <cellStyle name="20% - Accent3 4 2 2 4 6" xfId="24453" xr:uid="{00000000-0005-0000-0000-0000BA1E0000}"/>
    <cellStyle name="20% - Accent3 4 2 2 5" xfId="2418" xr:uid="{00000000-0005-0000-0000-0000BB1E0000}"/>
    <cellStyle name="20% - Accent3 4 2 2 5 2" xfId="8254" xr:uid="{00000000-0005-0000-0000-0000BC1E0000}"/>
    <cellStyle name="20% - Accent3 4 2 2 5 2 2" xfId="19555" xr:uid="{00000000-0005-0000-0000-0000BD1E0000}"/>
    <cellStyle name="20% - Accent3 4 2 2 5 2 2 2" xfId="42157" xr:uid="{00000000-0005-0000-0000-0000BE1E0000}"/>
    <cellStyle name="20% - Accent3 4 2 2 5 2 3" xfId="30856" xr:uid="{00000000-0005-0000-0000-0000BF1E0000}"/>
    <cellStyle name="20% - Accent3 4 2 2 5 3" xfId="13905" xr:uid="{00000000-0005-0000-0000-0000C01E0000}"/>
    <cellStyle name="20% - Accent3 4 2 2 5 3 2" xfId="36507" xr:uid="{00000000-0005-0000-0000-0000C11E0000}"/>
    <cellStyle name="20% - Accent3 4 2 2 5 4" xfId="25206" xr:uid="{00000000-0005-0000-0000-0000C21E0000}"/>
    <cellStyle name="20% - Accent3 4 2 2 6" xfId="4203" xr:uid="{00000000-0005-0000-0000-0000C31E0000}"/>
    <cellStyle name="20% - Accent3 4 2 2 6 2" xfId="9853" xr:uid="{00000000-0005-0000-0000-0000C41E0000}"/>
    <cellStyle name="20% - Accent3 4 2 2 6 2 2" xfId="21154" xr:uid="{00000000-0005-0000-0000-0000C51E0000}"/>
    <cellStyle name="20% - Accent3 4 2 2 6 2 2 2" xfId="43756" xr:uid="{00000000-0005-0000-0000-0000C61E0000}"/>
    <cellStyle name="20% - Accent3 4 2 2 6 2 3" xfId="32455" xr:uid="{00000000-0005-0000-0000-0000C71E0000}"/>
    <cellStyle name="20% - Accent3 4 2 2 6 3" xfId="15504" xr:uid="{00000000-0005-0000-0000-0000C81E0000}"/>
    <cellStyle name="20% - Accent3 4 2 2 6 3 2" xfId="38106" xr:uid="{00000000-0005-0000-0000-0000C91E0000}"/>
    <cellStyle name="20% - Accent3 4 2 2 6 4" xfId="26805" xr:uid="{00000000-0005-0000-0000-0000CA1E0000}"/>
    <cellStyle name="20% - Accent3 4 2 2 7" xfId="6683" xr:uid="{00000000-0005-0000-0000-0000CB1E0000}"/>
    <cellStyle name="20% - Accent3 4 2 2 7 2" xfId="17984" xr:uid="{00000000-0005-0000-0000-0000CC1E0000}"/>
    <cellStyle name="20% - Accent3 4 2 2 7 2 2" xfId="40586" xr:uid="{00000000-0005-0000-0000-0000CD1E0000}"/>
    <cellStyle name="20% - Accent3 4 2 2 7 3" xfId="29285" xr:uid="{00000000-0005-0000-0000-0000CE1E0000}"/>
    <cellStyle name="20% - Accent3 4 2 2 8" xfId="12334" xr:uid="{00000000-0005-0000-0000-0000CF1E0000}"/>
    <cellStyle name="20% - Accent3 4 2 2 8 2" xfId="34936" xr:uid="{00000000-0005-0000-0000-0000D01E0000}"/>
    <cellStyle name="20% - Accent3 4 2 2 9" xfId="23635" xr:uid="{00000000-0005-0000-0000-0000D11E0000}"/>
    <cellStyle name="20% - Accent3 4 2 3" xfId="1190" xr:uid="{00000000-0005-0000-0000-0000D21E0000}"/>
    <cellStyle name="20% - Accent3 4 2 3 2" xfId="1647" xr:uid="{00000000-0005-0000-0000-0000D31E0000}"/>
    <cellStyle name="20% - Accent3 4 2 3 2 2" xfId="3258" xr:uid="{00000000-0005-0000-0000-0000D41E0000}"/>
    <cellStyle name="20% - Accent3 4 2 3 2 2 2" xfId="6230" xr:uid="{00000000-0005-0000-0000-0000D51E0000}"/>
    <cellStyle name="20% - Accent3 4 2 3 2 2 2 2" xfId="11880" xr:uid="{00000000-0005-0000-0000-0000D61E0000}"/>
    <cellStyle name="20% - Accent3 4 2 3 2 2 2 2 2" xfId="23181" xr:uid="{00000000-0005-0000-0000-0000D71E0000}"/>
    <cellStyle name="20% - Accent3 4 2 3 2 2 2 2 2 2" xfId="45783" xr:uid="{00000000-0005-0000-0000-0000D81E0000}"/>
    <cellStyle name="20% - Accent3 4 2 3 2 2 2 2 3" xfId="34482" xr:uid="{00000000-0005-0000-0000-0000D91E0000}"/>
    <cellStyle name="20% - Accent3 4 2 3 2 2 2 3" xfId="17531" xr:uid="{00000000-0005-0000-0000-0000DA1E0000}"/>
    <cellStyle name="20% - Accent3 4 2 3 2 2 2 3 2" xfId="40133" xr:uid="{00000000-0005-0000-0000-0000DB1E0000}"/>
    <cellStyle name="20% - Accent3 4 2 3 2 2 2 4" xfId="28832" xr:uid="{00000000-0005-0000-0000-0000DC1E0000}"/>
    <cellStyle name="20% - Accent3 4 2 3 2 2 3" xfId="9048" xr:uid="{00000000-0005-0000-0000-0000DD1E0000}"/>
    <cellStyle name="20% - Accent3 4 2 3 2 2 3 2" xfId="20349" xr:uid="{00000000-0005-0000-0000-0000DE1E0000}"/>
    <cellStyle name="20% - Accent3 4 2 3 2 2 3 2 2" xfId="42951" xr:uid="{00000000-0005-0000-0000-0000DF1E0000}"/>
    <cellStyle name="20% - Accent3 4 2 3 2 2 3 3" xfId="31650" xr:uid="{00000000-0005-0000-0000-0000E01E0000}"/>
    <cellStyle name="20% - Accent3 4 2 3 2 2 4" xfId="14699" xr:uid="{00000000-0005-0000-0000-0000E11E0000}"/>
    <cellStyle name="20% - Accent3 4 2 3 2 2 4 2" xfId="37301" xr:uid="{00000000-0005-0000-0000-0000E21E0000}"/>
    <cellStyle name="20% - Accent3 4 2 3 2 2 5" xfId="26000" xr:uid="{00000000-0005-0000-0000-0000E31E0000}"/>
    <cellStyle name="20% - Accent3 4 2 3 2 3" xfId="4996" xr:uid="{00000000-0005-0000-0000-0000E41E0000}"/>
    <cellStyle name="20% - Accent3 4 2 3 2 3 2" xfId="10646" xr:uid="{00000000-0005-0000-0000-0000E51E0000}"/>
    <cellStyle name="20% - Accent3 4 2 3 2 3 2 2" xfId="21947" xr:uid="{00000000-0005-0000-0000-0000E61E0000}"/>
    <cellStyle name="20% - Accent3 4 2 3 2 3 2 2 2" xfId="44549" xr:uid="{00000000-0005-0000-0000-0000E71E0000}"/>
    <cellStyle name="20% - Accent3 4 2 3 2 3 2 3" xfId="33248" xr:uid="{00000000-0005-0000-0000-0000E81E0000}"/>
    <cellStyle name="20% - Accent3 4 2 3 2 3 3" xfId="16297" xr:uid="{00000000-0005-0000-0000-0000E91E0000}"/>
    <cellStyle name="20% - Accent3 4 2 3 2 3 3 2" xfId="38899" xr:uid="{00000000-0005-0000-0000-0000EA1E0000}"/>
    <cellStyle name="20% - Accent3 4 2 3 2 3 4" xfId="27598" xr:uid="{00000000-0005-0000-0000-0000EB1E0000}"/>
    <cellStyle name="20% - Accent3 4 2 3 2 4" xfId="7503" xr:uid="{00000000-0005-0000-0000-0000EC1E0000}"/>
    <cellStyle name="20% - Accent3 4 2 3 2 4 2" xfId="18804" xr:uid="{00000000-0005-0000-0000-0000ED1E0000}"/>
    <cellStyle name="20% - Accent3 4 2 3 2 4 2 2" xfId="41406" xr:uid="{00000000-0005-0000-0000-0000EE1E0000}"/>
    <cellStyle name="20% - Accent3 4 2 3 2 4 3" xfId="30105" xr:uid="{00000000-0005-0000-0000-0000EF1E0000}"/>
    <cellStyle name="20% - Accent3 4 2 3 2 5" xfId="13154" xr:uid="{00000000-0005-0000-0000-0000F01E0000}"/>
    <cellStyle name="20% - Accent3 4 2 3 2 5 2" xfId="35756" xr:uid="{00000000-0005-0000-0000-0000F11E0000}"/>
    <cellStyle name="20% - Accent3 4 2 3 2 6" xfId="24455" xr:uid="{00000000-0005-0000-0000-0000F21E0000}"/>
    <cellStyle name="20% - Accent3 4 2 3 3" xfId="2587" xr:uid="{00000000-0005-0000-0000-0000F31E0000}"/>
    <cellStyle name="20% - Accent3 4 2 3 3 2" xfId="5606" xr:uid="{00000000-0005-0000-0000-0000F41E0000}"/>
    <cellStyle name="20% - Accent3 4 2 3 3 2 2" xfId="11256" xr:uid="{00000000-0005-0000-0000-0000F51E0000}"/>
    <cellStyle name="20% - Accent3 4 2 3 3 2 2 2" xfId="22557" xr:uid="{00000000-0005-0000-0000-0000F61E0000}"/>
    <cellStyle name="20% - Accent3 4 2 3 3 2 2 2 2" xfId="45159" xr:uid="{00000000-0005-0000-0000-0000F71E0000}"/>
    <cellStyle name="20% - Accent3 4 2 3 3 2 2 3" xfId="33858" xr:uid="{00000000-0005-0000-0000-0000F81E0000}"/>
    <cellStyle name="20% - Accent3 4 2 3 3 2 3" xfId="16907" xr:uid="{00000000-0005-0000-0000-0000F91E0000}"/>
    <cellStyle name="20% - Accent3 4 2 3 3 2 3 2" xfId="39509" xr:uid="{00000000-0005-0000-0000-0000FA1E0000}"/>
    <cellStyle name="20% - Accent3 4 2 3 3 2 4" xfId="28208" xr:uid="{00000000-0005-0000-0000-0000FB1E0000}"/>
    <cellStyle name="20% - Accent3 4 2 3 3 3" xfId="8423" xr:uid="{00000000-0005-0000-0000-0000FC1E0000}"/>
    <cellStyle name="20% - Accent3 4 2 3 3 3 2" xfId="19724" xr:uid="{00000000-0005-0000-0000-0000FD1E0000}"/>
    <cellStyle name="20% - Accent3 4 2 3 3 3 2 2" xfId="42326" xr:uid="{00000000-0005-0000-0000-0000FE1E0000}"/>
    <cellStyle name="20% - Accent3 4 2 3 3 3 3" xfId="31025" xr:uid="{00000000-0005-0000-0000-0000FF1E0000}"/>
    <cellStyle name="20% - Accent3 4 2 3 3 4" xfId="14074" xr:uid="{00000000-0005-0000-0000-0000001F0000}"/>
    <cellStyle name="20% - Accent3 4 2 3 3 4 2" xfId="36676" xr:uid="{00000000-0005-0000-0000-0000011F0000}"/>
    <cellStyle name="20% - Accent3 4 2 3 3 5" xfId="25375" xr:uid="{00000000-0005-0000-0000-0000021F0000}"/>
    <cellStyle name="20% - Accent3 4 2 3 4" xfId="4372" xr:uid="{00000000-0005-0000-0000-0000031F0000}"/>
    <cellStyle name="20% - Accent3 4 2 3 4 2" xfId="10022" xr:uid="{00000000-0005-0000-0000-0000041F0000}"/>
    <cellStyle name="20% - Accent3 4 2 3 4 2 2" xfId="21323" xr:uid="{00000000-0005-0000-0000-0000051F0000}"/>
    <cellStyle name="20% - Accent3 4 2 3 4 2 2 2" xfId="43925" xr:uid="{00000000-0005-0000-0000-0000061F0000}"/>
    <cellStyle name="20% - Accent3 4 2 3 4 2 3" xfId="32624" xr:uid="{00000000-0005-0000-0000-0000071F0000}"/>
    <cellStyle name="20% - Accent3 4 2 3 4 3" xfId="15673" xr:uid="{00000000-0005-0000-0000-0000081F0000}"/>
    <cellStyle name="20% - Accent3 4 2 3 4 3 2" xfId="38275" xr:uid="{00000000-0005-0000-0000-0000091F0000}"/>
    <cellStyle name="20% - Accent3 4 2 3 4 4" xfId="26974" xr:uid="{00000000-0005-0000-0000-00000A1F0000}"/>
    <cellStyle name="20% - Accent3 4 2 3 5" xfId="7169" xr:uid="{00000000-0005-0000-0000-00000B1F0000}"/>
    <cellStyle name="20% - Accent3 4 2 3 5 2" xfId="18470" xr:uid="{00000000-0005-0000-0000-00000C1F0000}"/>
    <cellStyle name="20% - Accent3 4 2 3 5 2 2" xfId="41072" xr:uid="{00000000-0005-0000-0000-00000D1F0000}"/>
    <cellStyle name="20% - Accent3 4 2 3 5 3" xfId="29771" xr:uid="{00000000-0005-0000-0000-00000E1F0000}"/>
    <cellStyle name="20% - Accent3 4 2 3 6" xfId="12820" xr:uid="{00000000-0005-0000-0000-00000F1F0000}"/>
    <cellStyle name="20% - Accent3 4 2 3 6 2" xfId="35422" xr:uid="{00000000-0005-0000-0000-0000101F0000}"/>
    <cellStyle name="20% - Accent3 4 2 3 7" xfId="24121" xr:uid="{00000000-0005-0000-0000-0000111F0000}"/>
    <cellStyle name="20% - Accent3 4 2 4" xfId="880" xr:uid="{00000000-0005-0000-0000-0000121F0000}"/>
    <cellStyle name="20% - Accent3 4 2 4 2" xfId="2951" xr:uid="{00000000-0005-0000-0000-0000131F0000}"/>
    <cellStyle name="20% - Accent3 4 2 4 2 2" xfId="5923" xr:uid="{00000000-0005-0000-0000-0000141F0000}"/>
    <cellStyle name="20% - Accent3 4 2 4 2 2 2" xfId="11573" xr:uid="{00000000-0005-0000-0000-0000151F0000}"/>
    <cellStyle name="20% - Accent3 4 2 4 2 2 2 2" xfId="22874" xr:uid="{00000000-0005-0000-0000-0000161F0000}"/>
    <cellStyle name="20% - Accent3 4 2 4 2 2 2 2 2" xfId="45476" xr:uid="{00000000-0005-0000-0000-0000171F0000}"/>
    <cellStyle name="20% - Accent3 4 2 4 2 2 2 3" xfId="34175" xr:uid="{00000000-0005-0000-0000-0000181F0000}"/>
    <cellStyle name="20% - Accent3 4 2 4 2 2 3" xfId="17224" xr:uid="{00000000-0005-0000-0000-0000191F0000}"/>
    <cellStyle name="20% - Accent3 4 2 4 2 2 3 2" xfId="39826" xr:uid="{00000000-0005-0000-0000-00001A1F0000}"/>
    <cellStyle name="20% - Accent3 4 2 4 2 2 4" xfId="28525" xr:uid="{00000000-0005-0000-0000-00001B1F0000}"/>
    <cellStyle name="20% - Accent3 4 2 4 2 3" xfId="8741" xr:uid="{00000000-0005-0000-0000-00001C1F0000}"/>
    <cellStyle name="20% - Accent3 4 2 4 2 3 2" xfId="20042" xr:uid="{00000000-0005-0000-0000-00001D1F0000}"/>
    <cellStyle name="20% - Accent3 4 2 4 2 3 2 2" xfId="42644" xr:uid="{00000000-0005-0000-0000-00001E1F0000}"/>
    <cellStyle name="20% - Accent3 4 2 4 2 3 3" xfId="31343" xr:uid="{00000000-0005-0000-0000-00001F1F0000}"/>
    <cellStyle name="20% - Accent3 4 2 4 2 4" xfId="14392" xr:uid="{00000000-0005-0000-0000-0000201F0000}"/>
    <cellStyle name="20% - Accent3 4 2 4 2 4 2" xfId="36994" xr:uid="{00000000-0005-0000-0000-0000211F0000}"/>
    <cellStyle name="20% - Accent3 4 2 4 2 5" xfId="25693" xr:uid="{00000000-0005-0000-0000-0000221F0000}"/>
    <cellStyle name="20% - Accent3 4 2 4 3" xfId="4689" xr:uid="{00000000-0005-0000-0000-0000231F0000}"/>
    <cellStyle name="20% - Accent3 4 2 4 3 2" xfId="10339" xr:uid="{00000000-0005-0000-0000-0000241F0000}"/>
    <cellStyle name="20% - Accent3 4 2 4 3 2 2" xfId="21640" xr:uid="{00000000-0005-0000-0000-0000251F0000}"/>
    <cellStyle name="20% - Accent3 4 2 4 3 2 2 2" xfId="44242" xr:uid="{00000000-0005-0000-0000-0000261F0000}"/>
    <cellStyle name="20% - Accent3 4 2 4 3 2 3" xfId="32941" xr:uid="{00000000-0005-0000-0000-0000271F0000}"/>
    <cellStyle name="20% - Accent3 4 2 4 3 3" xfId="15990" xr:uid="{00000000-0005-0000-0000-0000281F0000}"/>
    <cellStyle name="20% - Accent3 4 2 4 3 3 2" xfId="38592" xr:uid="{00000000-0005-0000-0000-0000291F0000}"/>
    <cellStyle name="20% - Accent3 4 2 4 3 4" xfId="27291" xr:uid="{00000000-0005-0000-0000-00002A1F0000}"/>
    <cellStyle name="20% - Accent3 4 2 4 4" xfId="6876" xr:uid="{00000000-0005-0000-0000-00002B1F0000}"/>
    <cellStyle name="20% - Accent3 4 2 4 4 2" xfId="18177" xr:uid="{00000000-0005-0000-0000-00002C1F0000}"/>
    <cellStyle name="20% - Accent3 4 2 4 4 2 2" xfId="40779" xr:uid="{00000000-0005-0000-0000-00002D1F0000}"/>
    <cellStyle name="20% - Accent3 4 2 4 4 3" xfId="29478" xr:uid="{00000000-0005-0000-0000-00002E1F0000}"/>
    <cellStyle name="20% - Accent3 4 2 4 5" xfId="12527" xr:uid="{00000000-0005-0000-0000-00002F1F0000}"/>
    <cellStyle name="20% - Accent3 4 2 4 5 2" xfId="35129" xr:uid="{00000000-0005-0000-0000-0000301F0000}"/>
    <cellStyle name="20% - Accent3 4 2 4 6" xfId="23828" xr:uid="{00000000-0005-0000-0000-0000311F0000}"/>
    <cellStyle name="20% - Accent3 4 2 5" xfId="1644" xr:uid="{00000000-0005-0000-0000-0000321F0000}"/>
    <cellStyle name="20% - Accent3 4 2 5 2" xfId="3615" xr:uid="{00000000-0005-0000-0000-0000331F0000}"/>
    <cellStyle name="20% - Accent3 4 2 5 2 2" xfId="9328" xr:uid="{00000000-0005-0000-0000-0000341F0000}"/>
    <cellStyle name="20% - Accent3 4 2 5 2 2 2" xfId="20629" xr:uid="{00000000-0005-0000-0000-0000351F0000}"/>
    <cellStyle name="20% - Accent3 4 2 5 2 2 2 2" xfId="43231" xr:uid="{00000000-0005-0000-0000-0000361F0000}"/>
    <cellStyle name="20% - Accent3 4 2 5 2 2 3" xfId="31930" xr:uid="{00000000-0005-0000-0000-0000371F0000}"/>
    <cellStyle name="20% - Accent3 4 2 5 2 3" xfId="14979" xr:uid="{00000000-0005-0000-0000-0000381F0000}"/>
    <cellStyle name="20% - Accent3 4 2 5 2 3 2" xfId="37581" xr:uid="{00000000-0005-0000-0000-0000391F0000}"/>
    <cellStyle name="20% - Accent3 4 2 5 2 4" xfId="26280" xr:uid="{00000000-0005-0000-0000-00003A1F0000}"/>
    <cellStyle name="20% - Accent3 4 2 5 3" xfId="5299" xr:uid="{00000000-0005-0000-0000-00003B1F0000}"/>
    <cellStyle name="20% - Accent3 4 2 5 3 2" xfId="10949" xr:uid="{00000000-0005-0000-0000-00003C1F0000}"/>
    <cellStyle name="20% - Accent3 4 2 5 3 2 2" xfId="22250" xr:uid="{00000000-0005-0000-0000-00003D1F0000}"/>
    <cellStyle name="20% - Accent3 4 2 5 3 2 2 2" xfId="44852" xr:uid="{00000000-0005-0000-0000-00003E1F0000}"/>
    <cellStyle name="20% - Accent3 4 2 5 3 2 3" xfId="33551" xr:uid="{00000000-0005-0000-0000-00003F1F0000}"/>
    <cellStyle name="20% - Accent3 4 2 5 3 3" xfId="16600" xr:uid="{00000000-0005-0000-0000-0000401F0000}"/>
    <cellStyle name="20% - Accent3 4 2 5 3 3 2" xfId="39202" xr:uid="{00000000-0005-0000-0000-0000411F0000}"/>
    <cellStyle name="20% - Accent3 4 2 5 3 4" xfId="27901" xr:uid="{00000000-0005-0000-0000-0000421F0000}"/>
    <cellStyle name="20% - Accent3 4 2 5 4" xfId="7500" xr:uid="{00000000-0005-0000-0000-0000431F0000}"/>
    <cellStyle name="20% - Accent3 4 2 5 4 2" xfId="18801" xr:uid="{00000000-0005-0000-0000-0000441F0000}"/>
    <cellStyle name="20% - Accent3 4 2 5 4 2 2" xfId="41403" xr:uid="{00000000-0005-0000-0000-0000451F0000}"/>
    <cellStyle name="20% - Accent3 4 2 5 4 3" xfId="30102" xr:uid="{00000000-0005-0000-0000-0000461F0000}"/>
    <cellStyle name="20% - Accent3 4 2 5 5" xfId="13151" xr:uid="{00000000-0005-0000-0000-0000471F0000}"/>
    <cellStyle name="20% - Accent3 4 2 5 5 2" xfId="35753" xr:uid="{00000000-0005-0000-0000-0000481F0000}"/>
    <cellStyle name="20% - Accent3 4 2 5 6" xfId="24452" xr:uid="{00000000-0005-0000-0000-0000491F0000}"/>
    <cellStyle name="20% - Accent3 4 2 6" xfId="2278" xr:uid="{00000000-0005-0000-0000-00004A1F0000}"/>
    <cellStyle name="20% - Accent3 4 2 6 2" xfId="8114" xr:uid="{00000000-0005-0000-0000-00004B1F0000}"/>
    <cellStyle name="20% - Accent3 4 2 6 2 2" xfId="19415" xr:uid="{00000000-0005-0000-0000-00004C1F0000}"/>
    <cellStyle name="20% - Accent3 4 2 6 2 2 2" xfId="42017" xr:uid="{00000000-0005-0000-0000-00004D1F0000}"/>
    <cellStyle name="20% - Accent3 4 2 6 2 3" xfId="30716" xr:uid="{00000000-0005-0000-0000-00004E1F0000}"/>
    <cellStyle name="20% - Accent3 4 2 6 3" xfId="13765" xr:uid="{00000000-0005-0000-0000-00004F1F0000}"/>
    <cellStyle name="20% - Accent3 4 2 6 3 2" xfId="36367" xr:uid="{00000000-0005-0000-0000-0000501F0000}"/>
    <cellStyle name="20% - Accent3 4 2 6 4" xfId="25066" xr:uid="{00000000-0005-0000-0000-0000511F0000}"/>
    <cellStyle name="20% - Accent3 4 2 7" xfId="4065" xr:uid="{00000000-0005-0000-0000-0000521F0000}"/>
    <cellStyle name="20% - Accent3 4 2 7 2" xfId="9715" xr:uid="{00000000-0005-0000-0000-0000531F0000}"/>
    <cellStyle name="20% - Accent3 4 2 7 2 2" xfId="21016" xr:uid="{00000000-0005-0000-0000-0000541F0000}"/>
    <cellStyle name="20% - Accent3 4 2 7 2 2 2" xfId="43618" xr:uid="{00000000-0005-0000-0000-0000551F0000}"/>
    <cellStyle name="20% - Accent3 4 2 7 2 3" xfId="32317" xr:uid="{00000000-0005-0000-0000-0000561F0000}"/>
    <cellStyle name="20% - Accent3 4 2 7 3" xfId="15366" xr:uid="{00000000-0005-0000-0000-0000571F0000}"/>
    <cellStyle name="20% - Accent3 4 2 7 3 2" xfId="37968" xr:uid="{00000000-0005-0000-0000-0000581F0000}"/>
    <cellStyle name="20% - Accent3 4 2 7 4" xfId="26667" xr:uid="{00000000-0005-0000-0000-0000591F0000}"/>
    <cellStyle name="20% - Accent3 4 2 8" xfId="6516" xr:uid="{00000000-0005-0000-0000-00005A1F0000}"/>
    <cellStyle name="20% - Accent3 4 2 8 2" xfId="17817" xr:uid="{00000000-0005-0000-0000-00005B1F0000}"/>
    <cellStyle name="20% - Accent3 4 2 8 2 2" xfId="40419" xr:uid="{00000000-0005-0000-0000-00005C1F0000}"/>
    <cellStyle name="20% - Accent3 4 2 8 3" xfId="29118" xr:uid="{00000000-0005-0000-0000-00005D1F0000}"/>
    <cellStyle name="20% - Accent3 4 2 9" xfId="12167" xr:uid="{00000000-0005-0000-0000-00005E1F0000}"/>
    <cellStyle name="20% - Accent3 4 2 9 2" xfId="34769" xr:uid="{00000000-0005-0000-0000-00005F1F0000}"/>
    <cellStyle name="20% - Accent3 4 3" xfId="422" xr:uid="{00000000-0005-0000-0000-0000601F0000}"/>
    <cellStyle name="20% - Accent3 4 3 10" xfId="23517" xr:uid="{00000000-0005-0000-0000-0000611F0000}"/>
    <cellStyle name="20% - Accent3 4 3 2" xfId="667" xr:uid="{00000000-0005-0000-0000-0000621F0000}"/>
    <cellStyle name="20% - Accent3 4 3 2 2" xfId="1377" xr:uid="{00000000-0005-0000-0000-0000631F0000}"/>
    <cellStyle name="20% - Accent3 4 3 2 2 2" xfId="1650" xr:uid="{00000000-0005-0000-0000-0000641F0000}"/>
    <cellStyle name="20% - Accent3 4 3 2 2 2 2" xfId="3446" xr:uid="{00000000-0005-0000-0000-0000651F0000}"/>
    <cellStyle name="20% - Accent3 4 3 2 2 2 2 2" xfId="6418" xr:uid="{00000000-0005-0000-0000-0000661F0000}"/>
    <cellStyle name="20% - Accent3 4 3 2 2 2 2 2 2" xfId="12068" xr:uid="{00000000-0005-0000-0000-0000671F0000}"/>
    <cellStyle name="20% - Accent3 4 3 2 2 2 2 2 2 2" xfId="23369" xr:uid="{00000000-0005-0000-0000-0000681F0000}"/>
    <cellStyle name="20% - Accent3 4 3 2 2 2 2 2 2 2 2" xfId="45971" xr:uid="{00000000-0005-0000-0000-0000691F0000}"/>
    <cellStyle name="20% - Accent3 4 3 2 2 2 2 2 2 3" xfId="34670" xr:uid="{00000000-0005-0000-0000-00006A1F0000}"/>
    <cellStyle name="20% - Accent3 4 3 2 2 2 2 2 3" xfId="17719" xr:uid="{00000000-0005-0000-0000-00006B1F0000}"/>
    <cellStyle name="20% - Accent3 4 3 2 2 2 2 2 3 2" xfId="40321" xr:uid="{00000000-0005-0000-0000-00006C1F0000}"/>
    <cellStyle name="20% - Accent3 4 3 2 2 2 2 2 4" xfId="29020" xr:uid="{00000000-0005-0000-0000-00006D1F0000}"/>
    <cellStyle name="20% - Accent3 4 3 2 2 2 2 3" xfId="9236" xr:uid="{00000000-0005-0000-0000-00006E1F0000}"/>
    <cellStyle name="20% - Accent3 4 3 2 2 2 2 3 2" xfId="20537" xr:uid="{00000000-0005-0000-0000-00006F1F0000}"/>
    <cellStyle name="20% - Accent3 4 3 2 2 2 2 3 2 2" xfId="43139" xr:uid="{00000000-0005-0000-0000-0000701F0000}"/>
    <cellStyle name="20% - Accent3 4 3 2 2 2 2 3 3" xfId="31838" xr:uid="{00000000-0005-0000-0000-0000711F0000}"/>
    <cellStyle name="20% - Accent3 4 3 2 2 2 2 4" xfId="14887" xr:uid="{00000000-0005-0000-0000-0000721F0000}"/>
    <cellStyle name="20% - Accent3 4 3 2 2 2 2 4 2" xfId="37489" xr:uid="{00000000-0005-0000-0000-0000731F0000}"/>
    <cellStyle name="20% - Accent3 4 3 2 2 2 2 5" xfId="26188" xr:uid="{00000000-0005-0000-0000-0000741F0000}"/>
    <cellStyle name="20% - Accent3 4 3 2 2 2 3" xfId="5184" xr:uid="{00000000-0005-0000-0000-0000751F0000}"/>
    <cellStyle name="20% - Accent3 4 3 2 2 2 3 2" xfId="10834" xr:uid="{00000000-0005-0000-0000-0000761F0000}"/>
    <cellStyle name="20% - Accent3 4 3 2 2 2 3 2 2" xfId="22135" xr:uid="{00000000-0005-0000-0000-0000771F0000}"/>
    <cellStyle name="20% - Accent3 4 3 2 2 2 3 2 2 2" xfId="44737" xr:uid="{00000000-0005-0000-0000-0000781F0000}"/>
    <cellStyle name="20% - Accent3 4 3 2 2 2 3 2 3" xfId="33436" xr:uid="{00000000-0005-0000-0000-0000791F0000}"/>
    <cellStyle name="20% - Accent3 4 3 2 2 2 3 3" xfId="16485" xr:uid="{00000000-0005-0000-0000-00007A1F0000}"/>
    <cellStyle name="20% - Accent3 4 3 2 2 2 3 3 2" xfId="39087" xr:uid="{00000000-0005-0000-0000-00007B1F0000}"/>
    <cellStyle name="20% - Accent3 4 3 2 2 2 3 4" xfId="27786" xr:uid="{00000000-0005-0000-0000-00007C1F0000}"/>
    <cellStyle name="20% - Accent3 4 3 2 2 2 4" xfId="7506" xr:uid="{00000000-0005-0000-0000-00007D1F0000}"/>
    <cellStyle name="20% - Accent3 4 3 2 2 2 4 2" xfId="18807" xr:uid="{00000000-0005-0000-0000-00007E1F0000}"/>
    <cellStyle name="20% - Accent3 4 3 2 2 2 4 2 2" xfId="41409" xr:uid="{00000000-0005-0000-0000-00007F1F0000}"/>
    <cellStyle name="20% - Accent3 4 3 2 2 2 4 3" xfId="30108" xr:uid="{00000000-0005-0000-0000-0000801F0000}"/>
    <cellStyle name="20% - Accent3 4 3 2 2 2 5" xfId="13157" xr:uid="{00000000-0005-0000-0000-0000811F0000}"/>
    <cellStyle name="20% - Accent3 4 3 2 2 2 5 2" xfId="35759" xr:uid="{00000000-0005-0000-0000-0000821F0000}"/>
    <cellStyle name="20% - Accent3 4 3 2 2 2 6" xfId="24458" xr:uid="{00000000-0005-0000-0000-0000831F0000}"/>
    <cellStyle name="20% - Accent3 4 3 2 2 3" xfId="2775" xr:uid="{00000000-0005-0000-0000-0000841F0000}"/>
    <cellStyle name="20% - Accent3 4 3 2 2 3 2" xfId="5794" xr:uid="{00000000-0005-0000-0000-0000851F0000}"/>
    <cellStyle name="20% - Accent3 4 3 2 2 3 2 2" xfId="11444" xr:uid="{00000000-0005-0000-0000-0000861F0000}"/>
    <cellStyle name="20% - Accent3 4 3 2 2 3 2 2 2" xfId="22745" xr:uid="{00000000-0005-0000-0000-0000871F0000}"/>
    <cellStyle name="20% - Accent3 4 3 2 2 3 2 2 2 2" xfId="45347" xr:uid="{00000000-0005-0000-0000-0000881F0000}"/>
    <cellStyle name="20% - Accent3 4 3 2 2 3 2 2 3" xfId="34046" xr:uid="{00000000-0005-0000-0000-0000891F0000}"/>
    <cellStyle name="20% - Accent3 4 3 2 2 3 2 3" xfId="17095" xr:uid="{00000000-0005-0000-0000-00008A1F0000}"/>
    <cellStyle name="20% - Accent3 4 3 2 2 3 2 3 2" xfId="39697" xr:uid="{00000000-0005-0000-0000-00008B1F0000}"/>
    <cellStyle name="20% - Accent3 4 3 2 2 3 2 4" xfId="28396" xr:uid="{00000000-0005-0000-0000-00008C1F0000}"/>
    <cellStyle name="20% - Accent3 4 3 2 2 3 3" xfId="8611" xr:uid="{00000000-0005-0000-0000-00008D1F0000}"/>
    <cellStyle name="20% - Accent3 4 3 2 2 3 3 2" xfId="19912" xr:uid="{00000000-0005-0000-0000-00008E1F0000}"/>
    <cellStyle name="20% - Accent3 4 3 2 2 3 3 2 2" xfId="42514" xr:uid="{00000000-0005-0000-0000-00008F1F0000}"/>
    <cellStyle name="20% - Accent3 4 3 2 2 3 3 3" xfId="31213" xr:uid="{00000000-0005-0000-0000-0000901F0000}"/>
    <cellStyle name="20% - Accent3 4 3 2 2 3 4" xfId="14262" xr:uid="{00000000-0005-0000-0000-0000911F0000}"/>
    <cellStyle name="20% - Accent3 4 3 2 2 3 4 2" xfId="36864" xr:uid="{00000000-0005-0000-0000-0000921F0000}"/>
    <cellStyle name="20% - Accent3 4 3 2 2 3 5" xfId="25563" xr:uid="{00000000-0005-0000-0000-0000931F0000}"/>
    <cellStyle name="20% - Accent3 4 3 2 2 4" xfId="4560" xr:uid="{00000000-0005-0000-0000-0000941F0000}"/>
    <cellStyle name="20% - Accent3 4 3 2 2 4 2" xfId="10210" xr:uid="{00000000-0005-0000-0000-0000951F0000}"/>
    <cellStyle name="20% - Accent3 4 3 2 2 4 2 2" xfId="21511" xr:uid="{00000000-0005-0000-0000-0000961F0000}"/>
    <cellStyle name="20% - Accent3 4 3 2 2 4 2 2 2" xfId="44113" xr:uid="{00000000-0005-0000-0000-0000971F0000}"/>
    <cellStyle name="20% - Accent3 4 3 2 2 4 2 3" xfId="32812" xr:uid="{00000000-0005-0000-0000-0000981F0000}"/>
    <cellStyle name="20% - Accent3 4 3 2 2 4 3" xfId="15861" xr:uid="{00000000-0005-0000-0000-0000991F0000}"/>
    <cellStyle name="20% - Accent3 4 3 2 2 4 3 2" xfId="38463" xr:uid="{00000000-0005-0000-0000-00009A1F0000}"/>
    <cellStyle name="20% - Accent3 4 3 2 2 4 4" xfId="27162" xr:uid="{00000000-0005-0000-0000-00009B1F0000}"/>
    <cellStyle name="20% - Accent3 4 3 2 2 5" xfId="7356" xr:uid="{00000000-0005-0000-0000-00009C1F0000}"/>
    <cellStyle name="20% - Accent3 4 3 2 2 5 2" xfId="18657" xr:uid="{00000000-0005-0000-0000-00009D1F0000}"/>
    <cellStyle name="20% - Accent3 4 3 2 2 5 2 2" xfId="41259" xr:uid="{00000000-0005-0000-0000-00009E1F0000}"/>
    <cellStyle name="20% - Accent3 4 3 2 2 5 3" xfId="29958" xr:uid="{00000000-0005-0000-0000-00009F1F0000}"/>
    <cellStyle name="20% - Accent3 4 3 2 2 6" xfId="13007" xr:uid="{00000000-0005-0000-0000-0000A01F0000}"/>
    <cellStyle name="20% - Accent3 4 3 2 2 6 2" xfId="35609" xr:uid="{00000000-0005-0000-0000-0000A11F0000}"/>
    <cellStyle name="20% - Accent3 4 3 2 2 7" xfId="24308" xr:uid="{00000000-0005-0000-0000-0000A21F0000}"/>
    <cellStyle name="20% - Accent3 4 3 2 3" xfId="1075" xr:uid="{00000000-0005-0000-0000-0000A31F0000}"/>
    <cellStyle name="20% - Accent3 4 3 2 3 2" xfId="3138" xr:uid="{00000000-0005-0000-0000-0000A41F0000}"/>
    <cellStyle name="20% - Accent3 4 3 2 3 2 2" xfId="6110" xr:uid="{00000000-0005-0000-0000-0000A51F0000}"/>
    <cellStyle name="20% - Accent3 4 3 2 3 2 2 2" xfId="11760" xr:uid="{00000000-0005-0000-0000-0000A61F0000}"/>
    <cellStyle name="20% - Accent3 4 3 2 3 2 2 2 2" xfId="23061" xr:uid="{00000000-0005-0000-0000-0000A71F0000}"/>
    <cellStyle name="20% - Accent3 4 3 2 3 2 2 2 2 2" xfId="45663" xr:uid="{00000000-0005-0000-0000-0000A81F0000}"/>
    <cellStyle name="20% - Accent3 4 3 2 3 2 2 2 3" xfId="34362" xr:uid="{00000000-0005-0000-0000-0000A91F0000}"/>
    <cellStyle name="20% - Accent3 4 3 2 3 2 2 3" xfId="17411" xr:uid="{00000000-0005-0000-0000-0000AA1F0000}"/>
    <cellStyle name="20% - Accent3 4 3 2 3 2 2 3 2" xfId="40013" xr:uid="{00000000-0005-0000-0000-0000AB1F0000}"/>
    <cellStyle name="20% - Accent3 4 3 2 3 2 2 4" xfId="28712" xr:uid="{00000000-0005-0000-0000-0000AC1F0000}"/>
    <cellStyle name="20% - Accent3 4 3 2 3 2 3" xfId="8928" xr:uid="{00000000-0005-0000-0000-0000AD1F0000}"/>
    <cellStyle name="20% - Accent3 4 3 2 3 2 3 2" xfId="20229" xr:uid="{00000000-0005-0000-0000-0000AE1F0000}"/>
    <cellStyle name="20% - Accent3 4 3 2 3 2 3 2 2" xfId="42831" xr:uid="{00000000-0005-0000-0000-0000AF1F0000}"/>
    <cellStyle name="20% - Accent3 4 3 2 3 2 3 3" xfId="31530" xr:uid="{00000000-0005-0000-0000-0000B01F0000}"/>
    <cellStyle name="20% - Accent3 4 3 2 3 2 4" xfId="14579" xr:uid="{00000000-0005-0000-0000-0000B11F0000}"/>
    <cellStyle name="20% - Accent3 4 3 2 3 2 4 2" xfId="37181" xr:uid="{00000000-0005-0000-0000-0000B21F0000}"/>
    <cellStyle name="20% - Accent3 4 3 2 3 2 5" xfId="25880" xr:uid="{00000000-0005-0000-0000-0000B31F0000}"/>
    <cellStyle name="20% - Accent3 4 3 2 3 3" xfId="4876" xr:uid="{00000000-0005-0000-0000-0000B41F0000}"/>
    <cellStyle name="20% - Accent3 4 3 2 3 3 2" xfId="10526" xr:uid="{00000000-0005-0000-0000-0000B51F0000}"/>
    <cellStyle name="20% - Accent3 4 3 2 3 3 2 2" xfId="21827" xr:uid="{00000000-0005-0000-0000-0000B61F0000}"/>
    <cellStyle name="20% - Accent3 4 3 2 3 3 2 2 2" xfId="44429" xr:uid="{00000000-0005-0000-0000-0000B71F0000}"/>
    <cellStyle name="20% - Accent3 4 3 2 3 3 2 3" xfId="33128" xr:uid="{00000000-0005-0000-0000-0000B81F0000}"/>
    <cellStyle name="20% - Accent3 4 3 2 3 3 3" xfId="16177" xr:uid="{00000000-0005-0000-0000-0000B91F0000}"/>
    <cellStyle name="20% - Accent3 4 3 2 3 3 3 2" xfId="38779" xr:uid="{00000000-0005-0000-0000-0000BA1F0000}"/>
    <cellStyle name="20% - Accent3 4 3 2 3 3 4" xfId="27478" xr:uid="{00000000-0005-0000-0000-0000BB1F0000}"/>
    <cellStyle name="20% - Accent3 4 3 2 3 4" xfId="7063" xr:uid="{00000000-0005-0000-0000-0000BC1F0000}"/>
    <cellStyle name="20% - Accent3 4 3 2 3 4 2" xfId="18364" xr:uid="{00000000-0005-0000-0000-0000BD1F0000}"/>
    <cellStyle name="20% - Accent3 4 3 2 3 4 2 2" xfId="40966" xr:uid="{00000000-0005-0000-0000-0000BE1F0000}"/>
    <cellStyle name="20% - Accent3 4 3 2 3 4 3" xfId="29665" xr:uid="{00000000-0005-0000-0000-0000BF1F0000}"/>
    <cellStyle name="20% - Accent3 4 3 2 3 5" xfId="12714" xr:uid="{00000000-0005-0000-0000-0000C01F0000}"/>
    <cellStyle name="20% - Accent3 4 3 2 3 5 2" xfId="35316" xr:uid="{00000000-0005-0000-0000-0000C11F0000}"/>
    <cellStyle name="20% - Accent3 4 3 2 3 6" xfId="24015" xr:uid="{00000000-0005-0000-0000-0000C21F0000}"/>
    <cellStyle name="20% - Accent3 4 3 2 4" xfId="1649" xr:uid="{00000000-0005-0000-0000-0000C31F0000}"/>
    <cellStyle name="20% - Accent3 4 3 2 4 2" xfId="3618" xr:uid="{00000000-0005-0000-0000-0000C41F0000}"/>
    <cellStyle name="20% - Accent3 4 3 2 4 2 2" xfId="9331" xr:uid="{00000000-0005-0000-0000-0000C51F0000}"/>
    <cellStyle name="20% - Accent3 4 3 2 4 2 2 2" xfId="20632" xr:uid="{00000000-0005-0000-0000-0000C61F0000}"/>
    <cellStyle name="20% - Accent3 4 3 2 4 2 2 2 2" xfId="43234" xr:uid="{00000000-0005-0000-0000-0000C71F0000}"/>
    <cellStyle name="20% - Accent3 4 3 2 4 2 2 3" xfId="31933" xr:uid="{00000000-0005-0000-0000-0000C81F0000}"/>
    <cellStyle name="20% - Accent3 4 3 2 4 2 3" xfId="14982" xr:uid="{00000000-0005-0000-0000-0000C91F0000}"/>
    <cellStyle name="20% - Accent3 4 3 2 4 2 3 2" xfId="37584" xr:uid="{00000000-0005-0000-0000-0000CA1F0000}"/>
    <cellStyle name="20% - Accent3 4 3 2 4 2 4" xfId="26283" xr:uid="{00000000-0005-0000-0000-0000CB1F0000}"/>
    <cellStyle name="20% - Accent3 4 3 2 4 3" xfId="5486" xr:uid="{00000000-0005-0000-0000-0000CC1F0000}"/>
    <cellStyle name="20% - Accent3 4 3 2 4 3 2" xfId="11136" xr:uid="{00000000-0005-0000-0000-0000CD1F0000}"/>
    <cellStyle name="20% - Accent3 4 3 2 4 3 2 2" xfId="22437" xr:uid="{00000000-0005-0000-0000-0000CE1F0000}"/>
    <cellStyle name="20% - Accent3 4 3 2 4 3 2 2 2" xfId="45039" xr:uid="{00000000-0005-0000-0000-0000CF1F0000}"/>
    <cellStyle name="20% - Accent3 4 3 2 4 3 2 3" xfId="33738" xr:uid="{00000000-0005-0000-0000-0000D01F0000}"/>
    <cellStyle name="20% - Accent3 4 3 2 4 3 3" xfId="16787" xr:uid="{00000000-0005-0000-0000-0000D11F0000}"/>
    <cellStyle name="20% - Accent3 4 3 2 4 3 3 2" xfId="39389" xr:uid="{00000000-0005-0000-0000-0000D21F0000}"/>
    <cellStyle name="20% - Accent3 4 3 2 4 3 4" xfId="28088" xr:uid="{00000000-0005-0000-0000-0000D31F0000}"/>
    <cellStyle name="20% - Accent3 4 3 2 4 4" xfId="7505" xr:uid="{00000000-0005-0000-0000-0000D41F0000}"/>
    <cellStyle name="20% - Accent3 4 3 2 4 4 2" xfId="18806" xr:uid="{00000000-0005-0000-0000-0000D51F0000}"/>
    <cellStyle name="20% - Accent3 4 3 2 4 4 2 2" xfId="41408" xr:uid="{00000000-0005-0000-0000-0000D61F0000}"/>
    <cellStyle name="20% - Accent3 4 3 2 4 4 3" xfId="30107" xr:uid="{00000000-0005-0000-0000-0000D71F0000}"/>
    <cellStyle name="20% - Accent3 4 3 2 4 5" xfId="13156" xr:uid="{00000000-0005-0000-0000-0000D81F0000}"/>
    <cellStyle name="20% - Accent3 4 3 2 4 5 2" xfId="35758" xr:uid="{00000000-0005-0000-0000-0000D91F0000}"/>
    <cellStyle name="20% - Accent3 4 3 2 4 6" xfId="24457" xr:uid="{00000000-0005-0000-0000-0000DA1F0000}"/>
    <cellStyle name="20% - Accent3 4 3 2 5" xfId="2467" xr:uid="{00000000-0005-0000-0000-0000DB1F0000}"/>
    <cellStyle name="20% - Accent3 4 3 2 5 2" xfId="8303" xr:uid="{00000000-0005-0000-0000-0000DC1F0000}"/>
    <cellStyle name="20% - Accent3 4 3 2 5 2 2" xfId="19604" xr:uid="{00000000-0005-0000-0000-0000DD1F0000}"/>
    <cellStyle name="20% - Accent3 4 3 2 5 2 2 2" xfId="42206" xr:uid="{00000000-0005-0000-0000-0000DE1F0000}"/>
    <cellStyle name="20% - Accent3 4 3 2 5 2 3" xfId="30905" xr:uid="{00000000-0005-0000-0000-0000DF1F0000}"/>
    <cellStyle name="20% - Accent3 4 3 2 5 3" xfId="13954" xr:uid="{00000000-0005-0000-0000-0000E01F0000}"/>
    <cellStyle name="20% - Accent3 4 3 2 5 3 2" xfId="36556" xr:uid="{00000000-0005-0000-0000-0000E11F0000}"/>
    <cellStyle name="20% - Accent3 4 3 2 5 4" xfId="25255" xr:uid="{00000000-0005-0000-0000-0000E21F0000}"/>
    <cellStyle name="20% - Accent3 4 3 2 6" xfId="4252" xr:uid="{00000000-0005-0000-0000-0000E31F0000}"/>
    <cellStyle name="20% - Accent3 4 3 2 6 2" xfId="9902" xr:uid="{00000000-0005-0000-0000-0000E41F0000}"/>
    <cellStyle name="20% - Accent3 4 3 2 6 2 2" xfId="21203" xr:uid="{00000000-0005-0000-0000-0000E51F0000}"/>
    <cellStyle name="20% - Accent3 4 3 2 6 2 2 2" xfId="43805" xr:uid="{00000000-0005-0000-0000-0000E61F0000}"/>
    <cellStyle name="20% - Accent3 4 3 2 6 2 3" xfId="32504" xr:uid="{00000000-0005-0000-0000-0000E71F0000}"/>
    <cellStyle name="20% - Accent3 4 3 2 6 3" xfId="15553" xr:uid="{00000000-0005-0000-0000-0000E81F0000}"/>
    <cellStyle name="20% - Accent3 4 3 2 6 3 2" xfId="38155" xr:uid="{00000000-0005-0000-0000-0000E91F0000}"/>
    <cellStyle name="20% - Accent3 4 3 2 6 4" xfId="26854" xr:uid="{00000000-0005-0000-0000-0000EA1F0000}"/>
    <cellStyle name="20% - Accent3 4 3 2 7" xfId="6732" xr:uid="{00000000-0005-0000-0000-0000EB1F0000}"/>
    <cellStyle name="20% - Accent3 4 3 2 7 2" xfId="18033" xr:uid="{00000000-0005-0000-0000-0000EC1F0000}"/>
    <cellStyle name="20% - Accent3 4 3 2 7 2 2" xfId="40635" xr:uid="{00000000-0005-0000-0000-0000ED1F0000}"/>
    <cellStyle name="20% - Accent3 4 3 2 7 3" xfId="29334" xr:uid="{00000000-0005-0000-0000-0000EE1F0000}"/>
    <cellStyle name="20% - Accent3 4 3 2 8" xfId="12383" xr:uid="{00000000-0005-0000-0000-0000EF1F0000}"/>
    <cellStyle name="20% - Accent3 4 3 2 8 2" xfId="34985" xr:uid="{00000000-0005-0000-0000-0000F01F0000}"/>
    <cellStyle name="20% - Accent3 4 3 2 9" xfId="23684" xr:uid="{00000000-0005-0000-0000-0000F11F0000}"/>
    <cellStyle name="20% - Accent3 4 3 3" xfId="1239" xr:uid="{00000000-0005-0000-0000-0000F21F0000}"/>
    <cellStyle name="20% - Accent3 4 3 3 2" xfId="1651" xr:uid="{00000000-0005-0000-0000-0000F31F0000}"/>
    <cellStyle name="20% - Accent3 4 3 3 2 2" xfId="3307" xr:uid="{00000000-0005-0000-0000-0000F41F0000}"/>
    <cellStyle name="20% - Accent3 4 3 3 2 2 2" xfId="6279" xr:uid="{00000000-0005-0000-0000-0000F51F0000}"/>
    <cellStyle name="20% - Accent3 4 3 3 2 2 2 2" xfId="11929" xr:uid="{00000000-0005-0000-0000-0000F61F0000}"/>
    <cellStyle name="20% - Accent3 4 3 3 2 2 2 2 2" xfId="23230" xr:uid="{00000000-0005-0000-0000-0000F71F0000}"/>
    <cellStyle name="20% - Accent3 4 3 3 2 2 2 2 2 2" xfId="45832" xr:uid="{00000000-0005-0000-0000-0000F81F0000}"/>
    <cellStyle name="20% - Accent3 4 3 3 2 2 2 2 3" xfId="34531" xr:uid="{00000000-0005-0000-0000-0000F91F0000}"/>
    <cellStyle name="20% - Accent3 4 3 3 2 2 2 3" xfId="17580" xr:uid="{00000000-0005-0000-0000-0000FA1F0000}"/>
    <cellStyle name="20% - Accent3 4 3 3 2 2 2 3 2" xfId="40182" xr:uid="{00000000-0005-0000-0000-0000FB1F0000}"/>
    <cellStyle name="20% - Accent3 4 3 3 2 2 2 4" xfId="28881" xr:uid="{00000000-0005-0000-0000-0000FC1F0000}"/>
    <cellStyle name="20% - Accent3 4 3 3 2 2 3" xfId="9097" xr:uid="{00000000-0005-0000-0000-0000FD1F0000}"/>
    <cellStyle name="20% - Accent3 4 3 3 2 2 3 2" xfId="20398" xr:uid="{00000000-0005-0000-0000-0000FE1F0000}"/>
    <cellStyle name="20% - Accent3 4 3 3 2 2 3 2 2" xfId="43000" xr:uid="{00000000-0005-0000-0000-0000FF1F0000}"/>
    <cellStyle name="20% - Accent3 4 3 3 2 2 3 3" xfId="31699" xr:uid="{00000000-0005-0000-0000-000000200000}"/>
    <cellStyle name="20% - Accent3 4 3 3 2 2 4" xfId="14748" xr:uid="{00000000-0005-0000-0000-000001200000}"/>
    <cellStyle name="20% - Accent3 4 3 3 2 2 4 2" xfId="37350" xr:uid="{00000000-0005-0000-0000-000002200000}"/>
    <cellStyle name="20% - Accent3 4 3 3 2 2 5" xfId="26049" xr:uid="{00000000-0005-0000-0000-000003200000}"/>
    <cellStyle name="20% - Accent3 4 3 3 2 3" xfId="5045" xr:uid="{00000000-0005-0000-0000-000004200000}"/>
    <cellStyle name="20% - Accent3 4 3 3 2 3 2" xfId="10695" xr:uid="{00000000-0005-0000-0000-000005200000}"/>
    <cellStyle name="20% - Accent3 4 3 3 2 3 2 2" xfId="21996" xr:uid="{00000000-0005-0000-0000-000006200000}"/>
    <cellStyle name="20% - Accent3 4 3 3 2 3 2 2 2" xfId="44598" xr:uid="{00000000-0005-0000-0000-000007200000}"/>
    <cellStyle name="20% - Accent3 4 3 3 2 3 2 3" xfId="33297" xr:uid="{00000000-0005-0000-0000-000008200000}"/>
    <cellStyle name="20% - Accent3 4 3 3 2 3 3" xfId="16346" xr:uid="{00000000-0005-0000-0000-000009200000}"/>
    <cellStyle name="20% - Accent3 4 3 3 2 3 3 2" xfId="38948" xr:uid="{00000000-0005-0000-0000-00000A200000}"/>
    <cellStyle name="20% - Accent3 4 3 3 2 3 4" xfId="27647" xr:uid="{00000000-0005-0000-0000-00000B200000}"/>
    <cellStyle name="20% - Accent3 4 3 3 2 4" xfId="7507" xr:uid="{00000000-0005-0000-0000-00000C200000}"/>
    <cellStyle name="20% - Accent3 4 3 3 2 4 2" xfId="18808" xr:uid="{00000000-0005-0000-0000-00000D200000}"/>
    <cellStyle name="20% - Accent3 4 3 3 2 4 2 2" xfId="41410" xr:uid="{00000000-0005-0000-0000-00000E200000}"/>
    <cellStyle name="20% - Accent3 4 3 3 2 4 3" xfId="30109" xr:uid="{00000000-0005-0000-0000-00000F200000}"/>
    <cellStyle name="20% - Accent3 4 3 3 2 5" xfId="13158" xr:uid="{00000000-0005-0000-0000-000010200000}"/>
    <cellStyle name="20% - Accent3 4 3 3 2 5 2" xfId="35760" xr:uid="{00000000-0005-0000-0000-000011200000}"/>
    <cellStyle name="20% - Accent3 4 3 3 2 6" xfId="24459" xr:uid="{00000000-0005-0000-0000-000012200000}"/>
    <cellStyle name="20% - Accent3 4 3 3 3" xfId="2636" xr:uid="{00000000-0005-0000-0000-000013200000}"/>
    <cellStyle name="20% - Accent3 4 3 3 3 2" xfId="5655" xr:uid="{00000000-0005-0000-0000-000014200000}"/>
    <cellStyle name="20% - Accent3 4 3 3 3 2 2" xfId="11305" xr:uid="{00000000-0005-0000-0000-000015200000}"/>
    <cellStyle name="20% - Accent3 4 3 3 3 2 2 2" xfId="22606" xr:uid="{00000000-0005-0000-0000-000016200000}"/>
    <cellStyle name="20% - Accent3 4 3 3 3 2 2 2 2" xfId="45208" xr:uid="{00000000-0005-0000-0000-000017200000}"/>
    <cellStyle name="20% - Accent3 4 3 3 3 2 2 3" xfId="33907" xr:uid="{00000000-0005-0000-0000-000018200000}"/>
    <cellStyle name="20% - Accent3 4 3 3 3 2 3" xfId="16956" xr:uid="{00000000-0005-0000-0000-000019200000}"/>
    <cellStyle name="20% - Accent3 4 3 3 3 2 3 2" xfId="39558" xr:uid="{00000000-0005-0000-0000-00001A200000}"/>
    <cellStyle name="20% - Accent3 4 3 3 3 2 4" xfId="28257" xr:uid="{00000000-0005-0000-0000-00001B200000}"/>
    <cellStyle name="20% - Accent3 4 3 3 3 3" xfId="8472" xr:uid="{00000000-0005-0000-0000-00001C200000}"/>
    <cellStyle name="20% - Accent3 4 3 3 3 3 2" xfId="19773" xr:uid="{00000000-0005-0000-0000-00001D200000}"/>
    <cellStyle name="20% - Accent3 4 3 3 3 3 2 2" xfId="42375" xr:uid="{00000000-0005-0000-0000-00001E200000}"/>
    <cellStyle name="20% - Accent3 4 3 3 3 3 3" xfId="31074" xr:uid="{00000000-0005-0000-0000-00001F200000}"/>
    <cellStyle name="20% - Accent3 4 3 3 3 4" xfId="14123" xr:uid="{00000000-0005-0000-0000-000020200000}"/>
    <cellStyle name="20% - Accent3 4 3 3 3 4 2" xfId="36725" xr:uid="{00000000-0005-0000-0000-000021200000}"/>
    <cellStyle name="20% - Accent3 4 3 3 3 5" xfId="25424" xr:uid="{00000000-0005-0000-0000-000022200000}"/>
    <cellStyle name="20% - Accent3 4 3 3 4" xfId="4421" xr:uid="{00000000-0005-0000-0000-000023200000}"/>
    <cellStyle name="20% - Accent3 4 3 3 4 2" xfId="10071" xr:uid="{00000000-0005-0000-0000-000024200000}"/>
    <cellStyle name="20% - Accent3 4 3 3 4 2 2" xfId="21372" xr:uid="{00000000-0005-0000-0000-000025200000}"/>
    <cellStyle name="20% - Accent3 4 3 3 4 2 2 2" xfId="43974" xr:uid="{00000000-0005-0000-0000-000026200000}"/>
    <cellStyle name="20% - Accent3 4 3 3 4 2 3" xfId="32673" xr:uid="{00000000-0005-0000-0000-000027200000}"/>
    <cellStyle name="20% - Accent3 4 3 3 4 3" xfId="15722" xr:uid="{00000000-0005-0000-0000-000028200000}"/>
    <cellStyle name="20% - Accent3 4 3 3 4 3 2" xfId="38324" xr:uid="{00000000-0005-0000-0000-000029200000}"/>
    <cellStyle name="20% - Accent3 4 3 3 4 4" xfId="27023" xr:uid="{00000000-0005-0000-0000-00002A200000}"/>
    <cellStyle name="20% - Accent3 4 3 3 5" xfId="7218" xr:uid="{00000000-0005-0000-0000-00002B200000}"/>
    <cellStyle name="20% - Accent3 4 3 3 5 2" xfId="18519" xr:uid="{00000000-0005-0000-0000-00002C200000}"/>
    <cellStyle name="20% - Accent3 4 3 3 5 2 2" xfId="41121" xr:uid="{00000000-0005-0000-0000-00002D200000}"/>
    <cellStyle name="20% - Accent3 4 3 3 5 3" xfId="29820" xr:uid="{00000000-0005-0000-0000-00002E200000}"/>
    <cellStyle name="20% - Accent3 4 3 3 6" xfId="12869" xr:uid="{00000000-0005-0000-0000-00002F200000}"/>
    <cellStyle name="20% - Accent3 4 3 3 6 2" xfId="35471" xr:uid="{00000000-0005-0000-0000-000030200000}"/>
    <cellStyle name="20% - Accent3 4 3 3 7" xfId="24170" xr:uid="{00000000-0005-0000-0000-000031200000}"/>
    <cellStyle name="20% - Accent3 4 3 4" xfId="930" xr:uid="{00000000-0005-0000-0000-000032200000}"/>
    <cellStyle name="20% - Accent3 4 3 4 2" xfId="3000" xr:uid="{00000000-0005-0000-0000-000033200000}"/>
    <cellStyle name="20% - Accent3 4 3 4 2 2" xfId="5972" xr:uid="{00000000-0005-0000-0000-000034200000}"/>
    <cellStyle name="20% - Accent3 4 3 4 2 2 2" xfId="11622" xr:uid="{00000000-0005-0000-0000-000035200000}"/>
    <cellStyle name="20% - Accent3 4 3 4 2 2 2 2" xfId="22923" xr:uid="{00000000-0005-0000-0000-000036200000}"/>
    <cellStyle name="20% - Accent3 4 3 4 2 2 2 2 2" xfId="45525" xr:uid="{00000000-0005-0000-0000-000037200000}"/>
    <cellStyle name="20% - Accent3 4 3 4 2 2 2 3" xfId="34224" xr:uid="{00000000-0005-0000-0000-000038200000}"/>
    <cellStyle name="20% - Accent3 4 3 4 2 2 3" xfId="17273" xr:uid="{00000000-0005-0000-0000-000039200000}"/>
    <cellStyle name="20% - Accent3 4 3 4 2 2 3 2" xfId="39875" xr:uid="{00000000-0005-0000-0000-00003A200000}"/>
    <cellStyle name="20% - Accent3 4 3 4 2 2 4" xfId="28574" xr:uid="{00000000-0005-0000-0000-00003B200000}"/>
    <cellStyle name="20% - Accent3 4 3 4 2 3" xfId="8790" xr:uid="{00000000-0005-0000-0000-00003C200000}"/>
    <cellStyle name="20% - Accent3 4 3 4 2 3 2" xfId="20091" xr:uid="{00000000-0005-0000-0000-00003D200000}"/>
    <cellStyle name="20% - Accent3 4 3 4 2 3 2 2" xfId="42693" xr:uid="{00000000-0005-0000-0000-00003E200000}"/>
    <cellStyle name="20% - Accent3 4 3 4 2 3 3" xfId="31392" xr:uid="{00000000-0005-0000-0000-00003F200000}"/>
    <cellStyle name="20% - Accent3 4 3 4 2 4" xfId="14441" xr:uid="{00000000-0005-0000-0000-000040200000}"/>
    <cellStyle name="20% - Accent3 4 3 4 2 4 2" xfId="37043" xr:uid="{00000000-0005-0000-0000-000041200000}"/>
    <cellStyle name="20% - Accent3 4 3 4 2 5" xfId="25742" xr:uid="{00000000-0005-0000-0000-000042200000}"/>
    <cellStyle name="20% - Accent3 4 3 4 3" xfId="4738" xr:uid="{00000000-0005-0000-0000-000043200000}"/>
    <cellStyle name="20% - Accent3 4 3 4 3 2" xfId="10388" xr:uid="{00000000-0005-0000-0000-000044200000}"/>
    <cellStyle name="20% - Accent3 4 3 4 3 2 2" xfId="21689" xr:uid="{00000000-0005-0000-0000-000045200000}"/>
    <cellStyle name="20% - Accent3 4 3 4 3 2 2 2" xfId="44291" xr:uid="{00000000-0005-0000-0000-000046200000}"/>
    <cellStyle name="20% - Accent3 4 3 4 3 2 3" xfId="32990" xr:uid="{00000000-0005-0000-0000-000047200000}"/>
    <cellStyle name="20% - Accent3 4 3 4 3 3" xfId="16039" xr:uid="{00000000-0005-0000-0000-000048200000}"/>
    <cellStyle name="20% - Accent3 4 3 4 3 3 2" xfId="38641" xr:uid="{00000000-0005-0000-0000-000049200000}"/>
    <cellStyle name="20% - Accent3 4 3 4 3 4" xfId="27340" xr:uid="{00000000-0005-0000-0000-00004A200000}"/>
    <cellStyle name="20% - Accent3 4 3 4 4" xfId="6925" xr:uid="{00000000-0005-0000-0000-00004B200000}"/>
    <cellStyle name="20% - Accent3 4 3 4 4 2" xfId="18226" xr:uid="{00000000-0005-0000-0000-00004C200000}"/>
    <cellStyle name="20% - Accent3 4 3 4 4 2 2" xfId="40828" xr:uid="{00000000-0005-0000-0000-00004D200000}"/>
    <cellStyle name="20% - Accent3 4 3 4 4 3" xfId="29527" xr:uid="{00000000-0005-0000-0000-00004E200000}"/>
    <cellStyle name="20% - Accent3 4 3 4 5" xfId="12576" xr:uid="{00000000-0005-0000-0000-00004F200000}"/>
    <cellStyle name="20% - Accent3 4 3 4 5 2" xfId="35178" xr:uid="{00000000-0005-0000-0000-000050200000}"/>
    <cellStyle name="20% - Accent3 4 3 4 6" xfId="23877" xr:uid="{00000000-0005-0000-0000-000051200000}"/>
    <cellStyle name="20% - Accent3 4 3 5" xfId="1648" xr:uid="{00000000-0005-0000-0000-000052200000}"/>
    <cellStyle name="20% - Accent3 4 3 5 2" xfId="3617" xr:uid="{00000000-0005-0000-0000-000053200000}"/>
    <cellStyle name="20% - Accent3 4 3 5 2 2" xfId="9330" xr:uid="{00000000-0005-0000-0000-000054200000}"/>
    <cellStyle name="20% - Accent3 4 3 5 2 2 2" xfId="20631" xr:uid="{00000000-0005-0000-0000-000055200000}"/>
    <cellStyle name="20% - Accent3 4 3 5 2 2 2 2" xfId="43233" xr:uid="{00000000-0005-0000-0000-000056200000}"/>
    <cellStyle name="20% - Accent3 4 3 5 2 2 3" xfId="31932" xr:uid="{00000000-0005-0000-0000-000057200000}"/>
    <cellStyle name="20% - Accent3 4 3 5 2 3" xfId="14981" xr:uid="{00000000-0005-0000-0000-000058200000}"/>
    <cellStyle name="20% - Accent3 4 3 5 2 3 2" xfId="37583" xr:uid="{00000000-0005-0000-0000-000059200000}"/>
    <cellStyle name="20% - Accent3 4 3 5 2 4" xfId="26282" xr:uid="{00000000-0005-0000-0000-00005A200000}"/>
    <cellStyle name="20% - Accent3 4 3 5 3" xfId="5348" xr:uid="{00000000-0005-0000-0000-00005B200000}"/>
    <cellStyle name="20% - Accent3 4 3 5 3 2" xfId="10998" xr:uid="{00000000-0005-0000-0000-00005C200000}"/>
    <cellStyle name="20% - Accent3 4 3 5 3 2 2" xfId="22299" xr:uid="{00000000-0005-0000-0000-00005D200000}"/>
    <cellStyle name="20% - Accent3 4 3 5 3 2 2 2" xfId="44901" xr:uid="{00000000-0005-0000-0000-00005E200000}"/>
    <cellStyle name="20% - Accent3 4 3 5 3 2 3" xfId="33600" xr:uid="{00000000-0005-0000-0000-00005F200000}"/>
    <cellStyle name="20% - Accent3 4 3 5 3 3" xfId="16649" xr:uid="{00000000-0005-0000-0000-000060200000}"/>
    <cellStyle name="20% - Accent3 4 3 5 3 3 2" xfId="39251" xr:uid="{00000000-0005-0000-0000-000061200000}"/>
    <cellStyle name="20% - Accent3 4 3 5 3 4" xfId="27950" xr:uid="{00000000-0005-0000-0000-000062200000}"/>
    <cellStyle name="20% - Accent3 4 3 5 4" xfId="7504" xr:uid="{00000000-0005-0000-0000-000063200000}"/>
    <cellStyle name="20% - Accent3 4 3 5 4 2" xfId="18805" xr:uid="{00000000-0005-0000-0000-000064200000}"/>
    <cellStyle name="20% - Accent3 4 3 5 4 2 2" xfId="41407" xr:uid="{00000000-0005-0000-0000-000065200000}"/>
    <cellStyle name="20% - Accent3 4 3 5 4 3" xfId="30106" xr:uid="{00000000-0005-0000-0000-000066200000}"/>
    <cellStyle name="20% - Accent3 4 3 5 5" xfId="13155" xr:uid="{00000000-0005-0000-0000-000067200000}"/>
    <cellStyle name="20% - Accent3 4 3 5 5 2" xfId="35757" xr:uid="{00000000-0005-0000-0000-000068200000}"/>
    <cellStyle name="20% - Accent3 4 3 5 6" xfId="24456" xr:uid="{00000000-0005-0000-0000-000069200000}"/>
    <cellStyle name="20% - Accent3 4 3 6" xfId="2327" xr:uid="{00000000-0005-0000-0000-00006A200000}"/>
    <cellStyle name="20% - Accent3 4 3 6 2" xfId="8163" xr:uid="{00000000-0005-0000-0000-00006B200000}"/>
    <cellStyle name="20% - Accent3 4 3 6 2 2" xfId="19464" xr:uid="{00000000-0005-0000-0000-00006C200000}"/>
    <cellStyle name="20% - Accent3 4 3 6 2 2 2" xfId="42066" xr:uid="{00000000-0005-0000-0000-00006D200000}"/>
    <cellStyle name="20% - Accent3 4 3 6 2 3" xfId="30765" xr:uid="{00000000-0005-0000-0000-00006E200000}"/>
    <cellStyle name="20% - Accent3 4 3 6 3" xfId="13814" xr:uid="{00000000-0005-0000-0000-00006F200000}"/>
    <cellStyle name="20% - Accent3 4 3 6 3 2" xfId="36416" xr:uid="{00000000-0005-0000-0000-000070200000}"/>
    <cellStyle name="20% - Accent3 4 3 6 4" xfId="25115" xr:uid="{00000000-0005-0000-0000-000071200000}"/>
    <cellStyle name="20% - Accent3 4 3 7" xfId="4114" xr:uid="{00000000-0005-0000-0000-000072200000}"/>
    <cellStyle name="20% - Accent3 4 3 7 2" xfId="9764" xr:uid="{00000000-0005-0000-0000-000073200000}"/>
    <cellStyle name="20% - Accent3 4 3 7 2 2" xfId="21065" xr:uid="{00000000-0005-0000-0000-000074200000}"/>
    <cellStyle name="20% - Accent3 4 3 7 2 2 2" xfId="43667" xr:uid="{00000000-0005-0000-0000-000075200000}"/>
    <cellStyle name="20% - Accent3 4 3 7 2 3" xfId="32366" xr:uid="{00000000-0005-0000-0000-000076200000}"/>
    <cellStyle name="20% - Accent3 4 3 7 3" xfId="15415" xr:uid="{00000000-0005-0000-0000-000077200000}"/>
    <cellStyle name="20% - Accent3 4 3 7 3 2" xfId="38017" xr:uid="{00000000-0005-0000-0000-000078200000}"/>
    <cellStyle name="20% - Accent3 4 3 7 4" xfId="26716" xr:uid="{00000000-0005-0000-0000-000079200000}"/>
    <cellStyle name="20% - Accent3 4 3 8" xfId="6565" xr:uid="{00000000-0005-0000-0000-00007A200000}"/>
    <cellStyle name="20% - Accent3 4 3 8 2" xfId="17866" xr:uid="{00000000-0005-0000-0000-00007B200000}"/>
    <cellStyle name="20% - Accent3 4 3 8 2 2" xfId="40468" xr:uid="{00000000-0005-0000-0000-00007C200000}"/>
    <cellStyle name="20% - Accent3 4 3 8 3" xfId="29167" xr:uid="{00000000-0005-0000-0000-00007D200000}"/>
    <cellStyle name="20% - Accent3 4 3 9" xfId="12216" xr:uid="{00000000-0005-0000-0000-00007E200000}"/>
    <cellStyle name="20% - Accent3 4 3 9 2" xfId="34818" xr:uid="{00000000-0005-0000-0000-00007F200000}"/>
    <cellStyle name="20% - Accent3 4 4" xfId="569" xr:uid="{00000000-0005-0000-0000-000080200000}"/>
    <cellStyle name="20% - Accent3 4 4 2" xfId="1143" xr:uid="{00000000-0005-0000-0000-000081200000}"/>
    <cellStyle name="20% - Accent3 4 4 2 2" xfId="1653" xr:uid="{00000000-0005-0000-0000-000082200000}"/>
    <cellStyle name="20% - Accent3 4 4 2 2 2" xfId="3211" xr:uid="{00000000-0005-0000-0000-000083200000}"/>
    <cellStyle name="20% - Accent3 4 4 2 2 2 2" xfId="6183" xr:uid="{00000000-0005-0000-0000-000084200000}"/>
    <cellStyle name="20% - Accent3 4 4 2 2 2 2 2" xfId="11833" xr:uid="{00000000-0005-0000-0000-000085200000}"/>
    <cellStyle name="20% - Accent3 4 4 2 2 2 2 2 2" xfId="23134" xr:uid="{00000000-0005-0000-0000-000086200000}"/>
    <cellStyle name="20% - Accent3 4 4 2 2 2 2 2 2 2" xfId="45736" xr:uid="{00000000-0005-0000-0000-000087200000}"/>
    <cellStyle name="20% - Accent3 4 4 2 2 2 2 2 3" xfId="34435" xr:uid="{00000000-0005-0000-0000-000088200000}"/>
    <cellStyle name="20% - Accent3 4 4 2 2 2 2 3" xfId="17484" xr:uid="{00000000-0005-0000-0000-000089200000}"/>
    <cellStyle name="20% - Accent3 4 4 2 2 2 2 3 2" xfId="40086" xr:uid="{00000000-0005-0000-0000-00008A200000}"/>
    <cellStyle name="20% - Accent3 4 4 2 2 2 2 4" xfId="28785" xr:uid="{00000000-0005-0000-0000-00008B200000}"/>
    <cellStyle name="20% - Accent3 4 4 2 2 2 3" xfId="9001" xr:uid="{00000000-0005-0000-0000-00008C200000}"/>
    <cellStyle name="20% - Accent3 4 4 2 2 2 3 2" xfId="20302" xr:uid="{00000000-0005-0000-0000-00008D200000}"/>
    <cellStyle name="20% - Accent3 4 4 2 2 2 3 2 2" xfId="42904" xr:uid="{00000000-0005-0000-0000-00008E200000}"/>
    <cellStyle name="20% - Accent3 4 4 2 2 2 3 3" xfId="31603" xr:uid="{00000000-0005-0000-0000-00008F200000}"/>
    <cellStyle name="20% - Accent3 4 4 2 2 2 4" xfId="14652" xr:uid="{00000000-0005-0000-0000-000090200000}"/>
    <cellStyle name="20% - Accent3 4 4 2 2 2 4 2" xfId="37254" xr:uid="{00000000-0005-0000-0000-000091200000}"/>
    <cellStyle name="20% - Accent3 4 4 2 2 2 5" xfId="25953" xr:uid="{00000000-0005-0000-0000-000092200000}"/>
    <cellStyle name="20% - Accent3 4 4 2 2 3" xfId="4949" xr:uid="{00000000-0005-0000-0000-000093200000}"/>
    <cellStyle name="20% - Accent3 4 4 2 2 3 2" xfId="10599" xr:uid="{00000000-0005-0000-0000-000094200000}"/>
    <cellStyle name="20% - Accent3 4 4 2 2 3 2 2" xfId="21900" xr:uid="{00000000-0005-0000-0000-000095200000}"/>
    <cellStyle name="20% - Accent3 4 4 2 2 3 2 2 2" xfId="44502" xr:uid="{00000000-0005-0000-0000-000096200000}"/>
    <cellStyle name="20% - Accent3 4 4 2 2 3 2 3" xfId="33201" xr:uid="{00000000-0005-0000-0000-000097200000}"/>
    <cellStyle name="20% - Accent3 4 4 2 2 3 3" xfId="16250" xr:uid="{00000000-0005-0000-0000-000098200000}"/>
    <cellStyle name="20% - Accent3 4 4 2 2 3 3 2" xfId="38852" xr:uid="{00000000-0005-0000-0000-000099200000}"/>
    <cellStyle name="20% - Accent3 4 4 2 2 3 4" xfId="27551" xr:uid="{00000000-0005-0000-0000-00009A200000}"/>
    <cellStyle name="20% - Accent3 4 4 2 2 4" xfId="7509" xr:uid="{00000000-0005-0000-0000-00009B200000}"/>
    <cellStyle name="20% - Accent3 4 4 2 2 4 2" xfId="18810" xr:uid="{00000000-0005-0000-0000-00009C200000}"/>
    <cellStyle name="20% - Accent3 4 4 2 2 4 2 2" xfId="41412" xr:uid="{00000000-0005-0000-0000-00009D200000}"/>
    <cellStyle name="20% - Accent3 4 4 2 2 4 3" xfId="30111" xr:uid="{00000000-0005-0000-0000-00009E200000}"/>
    <cellStyle name="20% - Accent3 4 4 2 2 5" xfId="13160" xr:uid="{00000000-0005-0000-0000-00009F200000}"/>
    <cellStyle name="20% - Accent3 4 4 2 2 5 2" xfId="35762" xr:uid="{00000000-0005-0000-0000-0000A0200000}"/>
    <cellStyle name="20% - Accent3 4 4 2 2 6" xfId="24461" xr:uid="{00000000-0005-0000-0000-0000A1200000}"/>
    <cellStyle name="20% - Accent3 4 4 2 3" xfId="2540" xr:uid="{00000000-0005-0000-0000-0000A2200000}"/>
    <cellStyle name="20% - Accent3 4 4 2 3 2" xfId="5559" xr:uid="{00000000-0005-0000-0000-0000A3200000}"/>
    <cellStyle name="20% - Accent3 4 4 2 3 2 2" xfId="11209" xr:uid="{00000000-0005-0000-0000-0000A4200000}"/>
    <cellStyle name="20% - Accent3 4 4 2 3 2 2 2" xfId="22510" xr:uid="{00000000-0005-0000-0000-0000A5200000}"/>
    <cellStyle name="20% - Accent3 4 4 2 3 2 2 2 2" xfId="45112" xr:uid="{00000000-0005-0000-0000-0000A6200000}"/>
    <cellStyle name="20% - Accent3 4 4 2 3 2 2 3" xfId="33811" xr:uid="{00000000-0005-0000-0000-0000A7200000}"/>
    <cellStyle name="20% - Accent3 4 4 2 3 2 3" xfId="16860" xr:uid="{00000000-0005-0000-0000-0000A8200000}"/>
    <cellStyle name="20% - Accent3 4 4 2 3 2 3 2" xfId="39462" xr:uid="{00000000-0005-0000-0000-0000A9200000}"/>
    <cellStyle name="20% - Accent3 4 4 2 3 2 4" xfId="28161" xr:uid="{00000000-0005-0000-0000-0000AA200000}"/>
    <cellStyle name="20% - Accent3 4 4 2 3 3" xfId="8376" xr:uid="{00000000-0005-0000-0000-0000AB200000}"/>
    <cellStyle name="20% - Accent3 4 4 2 3 3 2" xfId="19677" xr:uid="{00000000-0005-0000-0000-0000AC200000}"/>
    <cellStyle name="20% - Accent3 4 4 2 3 3 2 2" xfId="42279" xr:uid="{00000000-0005-0000-0000-0000AD200000}"/>
    <cellStyle name="20% - Accent3 4 4 2 3 3 3" xfId="30978" xr:uid="{00000000-0005-0000-0000-0000AE200000}"/>
    <cellStyle name="20% - Accent3 4 4 2 3 4" xfId="14027" xr:uid="{00000000-0005-0000-0000-0000AF200000}"/>
    <cellStyle name="20% - Accent3 4 4 2 3 4 2" xfId="36629" xr:uid="{00000000-0005-0000-0000-0000B0200000}"/>
    <cellStyle name="20% - Accent3 4 4 2 3 5" xfId="25328" xr:uid="{00000000-0005-0000-0000-0000B1200000}"/>
    <cellStyle name="20% - Accent3 4 4 2 4" xfId="4325" xr:uid="{00000000-0005-0000-0000-0000B2200000}"/>
    <cellStyle name="20% - Accent3 4 4 2 4 2" xfId="9975" xr:uid="{00000000-0005-0000-0000-0000B3200000}"/>
    <cellStyle name="20% - Accent3 4 4 2 4 2 2" xfId="21276" xr:uid="{00000000-0005-0000-0000-0000B4200000}"/>
    <cellStyle name="20% - Accent3 4 4 2 4 2 2 2" xfId="43878" xr:uid="{00000000-0005-0000-0000-0000B5200000}"/>
    <cellStyle name="20% - Accent3 4 4 2 4 2 3" xfId="32577" xr:uid="{00000000-0005-0000-0000-0000B6200000}"/>
    <cellStyle name="20% - Accent3 4 4 2 4 3" xfId="15626" xr:uid="{00000000-0005-0000-0000-0000B7200000}"/>
    <cellStyle name="20% - Accent3 4 4 2 4 3 2" xfId="38228" xr:uid="{00000000-0005-0000-0000-0000B8200000}"/>
    <cellStyle name="20% - Accent3 4 4 2 4 4" xfId="26927" xr:uid="{00000000-0005-0000-0000-0000B9200000}"/>
    <cellStyle name="20% - Accent3 4 4 2 5" xfId="7122" xr:uid="{00000000-0005-0000-0000-0000BA200000}"/>
    <cellStyle name="20% - Accent3 4 4 2 5 2" xfId="18423" xr:uid="{00000000-0005-0000-0000-0000BB200000}"/>
    <cellStyle name="20% - Accent3 4 4 2 5 2 2" xfId="41025" xr:uid="{00000000-0005-0000-0000-0000BC200000}"/>
    <cellStyle name="20% - Accent3 4 4 2 5 3" xfId="29724" xr:uid="{00000000-0005-0000-0000-0000BD200000}"/>
    <cellStyle name="20% - Accent3 4 4 2 6" xfId="12773" xr:uid="{00000000-0005-0000-0000-0000BE200000}"/>
    <cellStyle name="20% - Accent3 4 4 2 6 2" xfId="35375" xr:uid="{00000000-0005-0000-0000-0000BF200000}"/>
    <cellStyle name="20% - Accent3 4 4 2 7" xfId="24074" xr:uid="{00000000-0005-0000-0000-0000C0200000}"/>
    <cellStyle name="20% - Accent3 4 4 3" xfId="817" xr:uid="{00000000-0005-0000-0000-0000C1200000}"/>
    <cellStyle name="20% - Accent3 4 4 3 2" xfId="2904" xr:uid="{00000000-0005-0000-0000-0000C2200000}"/>
    <cellStyle name="20% - Accent3 4 4 3 2 2" xfId="5876" xr:uid="{00000000-0005-0000-0000-0000C3200000}"/>
    <cellStyle name="20% - Accent3 4 4 3 2 2 2" xfId="11526" xr:uid="{00000000-0005-0000-0000-0000C4200000}"/>
    <cellStyle name="20% - Accent3 4 4 3 2 2 2 2" xfId="22827" xr:uid="{00000000-0005-0000-0000-0000C5200000}"/>
    <cellStyle name="20% - Accent3 4 4 3 2 2 2 2 2" xfId="45429" xr:uid="{00000000-0005-0000-0000-0000C6200000}"/>
    <cellStyle name="20% - Accent3 4 4 3 2 2 2 3" xfId="34128" xr:uid="{00000000-0005-0000-0000-0000C7200000}"/>
    <cellStyle name="20% - Accent3 4 4 3 2 2 3" xfId="17177" xr:uid="{00000000-0005-0000-0000-0000C8200000}"/>
    <cellStyle name="20% - Accent3 4 4 3 2 2 3 2" xfId="39779" xr:uid="{00000000-0005-0000-0000-0000C9200000}"/>
    <cellStyle name="20% - Accent3 4 4 3 2 2 4" xfId="28478" xr:uid="{00000000-0005-0000-0000-0000CA200000}"/>
    <cellStyle name="20% - Accent3 4 4 3 2 3" xfId="8694" xr:uid="{00000000-0005-0000-0000-0000CB200000}"/>
    <cellStyle name="20% - Accent3 4 4 3 2 3 2" xfId="19995" xr:uid="{00000000-0005-0000-0000-0000CC200000}"/>
    <cellStyle name="20% - Accent3 4 4 3 2 3 2 2" xfId="42597" xr:uid="{00000000-0005-0000-0000-0000CD200000}"/>
    <cellStyle name="20% - Accent3 4 4 3 2 3 3" xfId="31296" xr:uid="{00000000-0005-0000-0000-0000CE200000}"/>
    <cellStyle name="20% - Accent3 4 4 3 2 4" xfId="14345" xr:uid="{00000000-0005-0000-0000-0000CF200000}"/>
    <cellStyle name="20% - Accent3 4 4 3 2 4 2" xfId="36947" xr:uid="{00000000-0005-0000-0000-0000D0200000}"/>
    <cellStyle name="20% - Accent3 4 4 3 2 5" xfId="25646" xr:uid="{00000000-0005-0000-0000-0000D1200000}"/>
    <cellStyle name="20% - Accent3 4 4 3 3" xfId="4642" xr:uid="{00000000-0005-0000-0000-0000D2200000}"/>
    <cellStyle name="20% - Accent3 4 4 3 3 2" xfId="10292" xr:uid="{00000000-0005-0000-0000-0000D3200000}"/>
    <cellStyle name="20% - Accent3 4 4 3 3 2 2" xfId="21593" xr:uid="{00000000-0005-0000-0000-0000D4200000}"/>
    <cellStyle name="20% - Accent3 4 4 3 3 2 2 2" xfId="44195" xr:uid="{00000000-0005-0000-0000-0000D5200000}"/>
    <cellStyle name="20% - Accent3 4 4 3 3 2 3" xfId="32894" xr:uid="{00000000-0005-0000-0000-0000D6200000}"/>
    <cellStyle name="20% - Accent3 4 4 3 3 3" xfId="15943" xr:uid="{00000000-0005-0000-0000-0000D7200000}"/>
    <cellStyle name="20% - Accent3 4 4 3 3 3 2" xfId="38545" xr:uid="{00000000-0005-0000-0000-0000D8200000}"/>
    <cellStyle name="20% - Accent3 4 4 3 3 4" xfId="27244" xr:uid="{00000000-0005-0000-0000-0000D9200000}"/>
    <cellStyle name="20% - Accent3 4 4 3 4" xfId="6825" xr:uid="{00000000-0005-0000-0000-0000DA200000}"/>
    <cellStyle name="20% - Accent3 4 4 3 4 2" xfId="18126" xr:uid="{00000000-0005-0000-0000-0000DB200000}"/>
    <cellStyle name="20% - Accent3 4 4 3 4 2 2" xfId="40728" xr:uid="{00000000-0005-0000-0000-0000DC200000}"/>
    <cellStyle name="20% - Accent3 4 4 3 4 3" xfId="29427" xr:uid="{00000000-0005-0000-0000-0000DD200000}"/>
    <cellStyle name="20% - Accent3 4 4 3 5" xfId="12476" xr:uid="{00000000-0005-0000-0000-0000DE200000}"/>
    <cellStyle name="20% - Accent3 4 4 3 5 2" xfId="35078" xr:uid="{00000000-0005-0000-0000-0000DF200000}"/>
    <cellStyle name="20% - Accent3 4 4 3 6" xfId="23777" xr:uid="{00000000-0005-0000-0000-0000E0200000}"/>
    <cellStyle name="20% - Accent3 4 4 4" xfId="1652" xr:uid="{00000000-0005-0000-0000-0000E1200000}"/>
    <cellStyle name="20% - Accent3 4 4 4 2" xfId="3619" xr:uid="{00000000-0005-0000-0000-0000E2200000}"/>
    <cellStyle name="20% - Accent3 4 4 4 2 2" xfId="9332" xr:uid="{00000000-0005-0000-0000-0000E3200000}"/>
    <cellStyle name="20% - Accent3 4 4 4 2 2 2" xfId="20633" xr:uid="{00000000-0005-0000-0000-0000E4200000}"/>
    <cellStyle name="20% - Accent3 4 4 4 2 2 2 2" xfId="43235" xr:uid="{00000000-0005-0000-0000-0000E5200000}"/>
    <cellStyle name="20% - Accent3 4 4 4 2 2 3" xfId="31934" xr:uid="{00000000-0005-0000-0000-0000E6200000}"/>
    <cellStyle name="20% - Accent3 4 4 4 2 3" xfId="14983" xr:uid="{00000000-0005-0000-0000-0000E7200000}"/>
    <cellStyle name="20% - Accent3 4 4 4 2 3 2" xfId="37585" xr:uid="{00000000-0005-0000-0000-0000E8200000}"/>
    <cellStyle name="20% - Accent3 4 4 4 2 4" xfId="26284" xr:uid="{00000000-0005-0000-0000-0000E9200000}"/>
    <cellStyle name="20% - Accent3 4 4 4 3" xfId="5252" xr:uid="{00000000-0005-0000-0000-0000EA200000}"/>
    <cellStyle name="20% - Accent3 4 4 4 3 2" xfId="10902" xr:uid="{00000000-0005-0000-0000-0000EB200000}"/>
    <cellStyle name="20% - Accent3 4 4 4 3 2 2" xfId="22203" xr:uid="{00000000-0005-0000-0000-0000EC200000}"/>
    <cellStyle name="20% - Accent3 4 4 4 3 2 2 2" xfId="44805" xr:uid="{00000000-0005-0000-0000-0000ED200000}"/>
    <cellStyle name="20% - Accent3 4 4 4 3 2 3" xfId="33504" xr:uid="{00000000-0005-0000-0000-0000EE200000}"/>
    <cellStyle name="20% - Accent3 4 4 4 3 3" xfId="16553" xr:uid="{00000000-0005-0000-0000-0000EF200000}"/>
    <cellStyle name="20% - Accent3 4 4 4 3 3 2" xfId="39155" xr:uid="{00000000-0005-0000-0000-0000F0200000}"/>
    <cellStyle name="20% - Accent3 4 4 4 3 4" xfId="27854" xr:uid="{00000000-0005-0000-0000-0000F1200000}"/>
    <cellStyle name="20% - Accent3 4 4 4 4" xfId="7508" xr:uid="{00000000-0005-0000-0000-0000F2200000}"/>
    <cellStyle name="20% - Accent3 4 4 4 4 2" xfId="18809" xr:uid="{00000000-0005-0000-0000-0000F3200000}"/>
    <cellStyle name="20% - Accent3 4 4 4 4 2 2" xfId="41411" xr:uid="{00000000-0005-0000-0000-0000F4200000}"/>
    <cellStyle name="20% - Accent3 4 4 4 4 3" xfId="30110" xr:uid="{00000000-0005-0000-0000-0000F5200000}"/>
    <cellStyle name="20% - Accent3 4 4 4 5" xfId="13159" xr:uid="{00000000-0005-0000-0000-0000F6200000}"/>
    <cellStyle name="20% - Accent3 4 4 4 5 2" xfId="35761" xr:uid="{00000000-0005-0000-0000-0000F7200000}"/>
    <cellStyle name="20% - Accent3 4 4 4 6" xfId="24460" xr:uid="{00000000-0005-0000-0000-0000F8200000}"/>
    <cellStyle name="20% - Accent3 4 4 5" xfId="2224" xr:uid="{00000000-0005-0000-0000-0000F9200000}"/>
    <cellStyle name="20% - Accent3 4 4 5 2" xfId="8066" xr:uid="{00000000-0005-0000-0000-0000FA200000}"/>
    <cellStyle name="20% - Accent3 4 4 5 2 2" xfId="19367" xr:uid="{00000000-0005-0000-0000-0000FB200000}"/>
    <cellStyle name="20% - Accent3 4 4 5 2 2 2" xfId="41969" xr:uid="{00000000-0005-0000-0000-0000FC200000}"/>
    <cellStyle name="20% - Accent3 4 4 5 2 3" xfId="30668" xr:uid="{00000000-0005-0000-0000-0000FD200000}"/>
    <cellStyle name="20% - Accent3 4 4 5 3" xfId="13717" xr:uid="{00000000-0005-0000-0000-0000FE200000}"/>
    <cellStyle name="20% - Accent3 4 4 5 3 2" xfId="36319" xr:uid="{00000000-0005-0000-0000-0000FF200000}"/>
    <cellStyle name="20% - Accent3 4 4 5 4" xfId="25018" xr:uid="{00000000-0005-0000-0000-000000210000}"/>
    <cellStyle name="20% - Accent3 4 4 6" xfId="4018" xr:uid="{00000000-0005-0000-0000-000001210000}"/>
    <cellStyle name="20% - Accent3 4 4 6 2" xfId="9668" xr:uid="{00000000-0005-0000-0000-000002210000}"/>
    <cellStyle name="20% - Accent3 4 4 6 2 2" xfId="20969" xr:uid="{00000000-0005-0000-0000-000003210000}"/>
    <cellStyle name="20% - Accent3 4 4 6 2 2 2" xfId="43571" xr:uid="{00000000-0005-0000-0000-000004210000}"/>
    <cellStyle name="20% - Accent3 4 4 6 2 3" xfId="32270" xr:uid="{00000000-0005-0000-0000-000005210000}"/>
    <cellStyle name="20% - Accent3 4 4 6 3" xfId="15319" xr:uid="{00000000-0005-0000-0000-000006210000}"/>
    <cellStyle name="20% - Accent3 4 4 6 3 2" xfId="37921" xr:uid="{00000000-0005-0000-0000-000007210000}"/>
    <cellStyle name="20% - Accent3 4 4 6 4" xfId="26620" xr:uid="{00000000-0005-0000-0000-000008210000}"/>
    <cellStyle name="20% - Accent3 4 4 7" xfId="6636" xr:uid="{00000000-0005-0000-0000-000009210000}"/>
    <cellStyle name="20% - Accent3 4 4 7 2" xfId="17937" xr:uid="{00000000-0005-0000-0000-00000A210000}"/>
    <cellStyle name="20% - Accent3 4 4 7 2 2" xfId="40539" xr:uid="{00000000-0005-0000-0000-00000B210000}"/>
    <cellStyle name="20% - Accent3 4 4 7 3" xfId="29238" xr:uid="{00000000-0005-0000-0000-00000C210000}"/>
    <cellStyle name="20% - Accent3 4 4 8" xfId="12287" xr:uid="{00000000-0005-0000-0000-00000D210000}"/>
    <cellStyle name="20% - Accent3 4 4 8 2" xfId="34889" xr:uid="{00000000-0005-0000-0000-00000E210000}"/>
    <cellStyle name="20% - Accent3 4 4 9" xfId="23588" xr:uid="{00000000-0005-0000-0000-00000F210000}"/>
    <cellStyle name="20% - Accent3 4 5" xfId="513" xr:uid="{00000000-0005-0000-0000-000010210000}"/>
    <cellStyle name="20% - Accent3 4 5 2" xfId="1282" xr:uid="{00000000-0005-0000-0000-000011210000}"/>
    <cellStyle name="20% - Accent3 4 5 2 2" xfId="1655" xr:uid="{00000000-0005-0000-0000-000012210000}"/>
    <cellStyle name="20% - Accent3 4 5 2 2 2" xfId="3351" xr:uid="{00000000-0005-0000-0000-000013210000}"/>
    <cellStyle name="20% - Accent3 4 5 2 2 2 2" xfId="6323" xr:uid="{00000000-0005-0000-0000-000014210000}"/>
    <cellStyle name="20% - Accent3 4 5 2 2 2 2 2" xfId="11973" xr:uid="{00000000-0005-0000-0000-000015210000}"/>
    <cellStyle name="20% - Accent3 4 5 2 2 2 2 2 2" xfId="23274" xr:uid="{00000000-0005-0000-0000-000016210000}"/>
    <cellStyle name="20% - Accent3 4 5 2 2 2 2 2 2 2" xfId="45876" xr:uid="{00000000-0005-0000-0000-000017210000}"/>
    <cellStyle name="20% - Accent3 4 5 2 2 2 2 2 3" xfId="34575" xr:uid="{00000000-0005-0000-0000-000018210000}"/>
    <cellStyle name="20% - Accent3 4 5 2 2 2 2 3" xfId="17624" xr:uid="{00000000-0005-0000-0000-000019210000}"/>
    <cellStyle name="20% - Accent3 4 5 2 2 2 2 3 2" xfId="40226" xr:uid="{00000000-0005-0000-0000-00001A210000}"/>
    <cellStyle name="20% - Accent3 4 5 2 2 2 2 4" xfId="28925" xr:uid="{00000000-0005-0000-0000-00001B210000}"/>
    <cellStyle name="20% - Accent3 4 5 2 2 2 3" xfId="9141" xr:uid="{00000000-0005-0000-0000-00001C210000}"/>
    <cellStyle name="20% - Accent3 4 5 2 2 2 3 2" xfId="20442" xr:uid="{00000000-0005-0000-0000-00001D210000}"/>
    <cellStyle name="20% - Accent3 4 5 2 2 2 3 2 2" xfId="43044" xr:uid="{00000000-0005-0000-0000-00001E210000}"/>
    <cellStyle name="20% - Accent3 4 5 2 2 2 3 3" xfId="31743" xr:uid="{00000000-0005-0000-0000-00001F210000}"/>
    <cellStyle name="20% - Accent3 4 5 2 2 2 4" xfId="14792" xr:uid="{00000000-0005-0000-0000-000020210000}"/>
    <cellStyle name="20% - Accent3 4 5 2 2 2 4 2" xfId="37394" xr:uid="{00000000-0005-0000-0000-000021210000}"/>
    <cellStyle name="20% - Accent3 4 5 2 2 2 5" xfId="26093" xr:uid="{00000000-0005-0000-0000-000022210000}"/>
    <cellStyle name="20% - Accent3 4 5 2 2 3" xfId="5089" xr:uid="{00000000-0005-0000-0000-000023210000}"/>
    <cellStyle name="20% - Accent3 4 5 2 2 3 2" xfId="10739" xr:uid="{00000000-0005-0000-0000-000024210000}"/>
    <cellStyle name="20% - Accent3 4 5 2 2 3 2 2" xfId="22040" xr:uid="{00000000-0005-0000-0000-000025210000}"/>
    <cellStyle name="20% - Accent3 4 5 2 2 3 2 2 2" xfId="44642" xr:uid="{00000000-0005-0000-0000-000026210000}"/>
    <cellStyle name="20% - Accent3 4 5 2 2 3 2 3" xfId="33341" xr:uid="{00000000-0005-0000-0000-000027210000}"/>
    <cellStyle name="20% - Accent3 4 5 2 2 3 3" xfId="16390" xr:uid="{00000000-0005-0000-0000-000028210000}"/>
    <cellStyle name="20% - Accent3 4 5 2 2 3 3 2" xfId="38992" xr:uid="{00000000-0005-0000-0000-000029210000}"/>
    <cellStyle name="20% - Accent3 4 5 2 2 3 4" xfId="27691" xr:uid="{00000000-0005-0000-0000-00002A210000}"/>
    <cellStyle name="20% - Accent3 4 5 2 2 4" xfId="7511" xr:uid="{00000000-0005-0000-0000-00002B210000}"/>
    <cellStyle name="20% - Accent3 4 5 2 2 4 2" xfId="18812" xr:uid="{00000000-0005-0000-0000-00002C210000}"/>
    <cellStyle name="20% - Accent3 4 5 2 2 4 2 2" xfId="41414" xr:uid="{00000000-0005-0000-0000-00002D210000}"/>
    <cellStyle name="20% - Accent3 4 5 2 2 4 3" xfId="30113" xr:uid="{00000000-0005-0000-0000-00002E210000}"/>
    <cellStyle name="20% - Accent3 4 5 2 2 5" xfId="13162" xr:uid="{00000000-0005-0000-0000-00002F210000}"/>
    <cellStyle name="20% - Accent3 4 5 2 2 5 2" xfId="35764" xr:uid="{00000000-0005-0000-0000-000030210000}"/>
    <cellStyle name="20% - Accent3 4 5 2 2 6" xfId="24463" xr:uid="{00000000-0005-0000-0000-000031210000}"/>
    <cellStyle name="20% - Accent3 4 5 2 3" xfId="2680" xr:uid="{00000000-0005-0000-0000-000032210000}"/>
    <cellStyle name="20% - Accent3 4 5 2 3 2" xfId="5699" xr:uid="{00000000-0005-0000-0000-000033210000}"/>
    <cellStyle name="20% - Accent3 4 5 2 3 2 2" xfId="11349" xr:uid="{00000000-0005-0000-0000-000034210000}"/>
    <cellStyle name="20% - Accent3 4 5 2 3 2 2 2" xfId="22650" xr:uid="{00000000-0005-0000-0000-000035210000}"/>
    <cellStyle name="20% - Accent3 4 5 2 3 2 2 2 2" xfId="45252" xr:uid="{00000000-0005-0000-0000-000036210000}"/>
    <cellStyle name="20% - Accent3 4 5 2 3 2 2 3" xfId="33951" xr:uid="{00000000-0005-0000-0000-000037210000}"/>
    <cellStyle name="20% - Accent3 4 5 2 3 2 3" xfId="17000" xr:uid="{00000000-0005-0000-0000-000038210000}"/>
    <cellStyle name="20% - Accent3 4 5 2 3 2 3 2" xfId="39602" xr:uid="{00000000-0005-0000-0000-000039210000}"/>
    <cellStyle name="20% - Accent3 4 5 2 3 2 4" xfId="28301" xr:uid="{00000000-0005-0000-0000-00003A210000}"/>
    <cellStyle name="20% - Accent3 4 5 2 3 3" xfId="8516" xr:uid="{00000000-0005-0000-0000-00003B210000}"/>
    <cellStyle name="20% - Accent3 4 5 2 3 3 2" xfId="19817" xr:uid="{00000000-0005-0000-0000-00003C210000}"/>
    <cellStyle name="20% - Accent3 4 5 2 3 3 2 2" xfId="42419" xr:uid="{00000000-0005-0000-0000-00003D210000}"/>
    <cellStyle name="20% - Accent3 4 5 2 3 3 3" xfId="31118" xr:uid="{00000000-0005-0000-0000-00003E210000}"/>
    <cellStyle name="20% - Accent3 4 5 2 3 4" xfId="14167" xr:uid="{00000000-0005-0000-0000-00003F210000}"/>
    <cellStyle name="20% - Accent3 4 5 2 3 4 2" xfId="36769" xr:uid="{00000000-0005-0000-0000-000040210000}"/>
    <cellStyle name="20% - Accent3 4 5 2 3 5" xfId="25468" xr:uid="{00000000-0005-0000-0000-000041210000}"/>
    <cellStyle name="20% - Accent3 4 5 2 4" xfId="4465" xr:uid="{00000000-0005-0000-0000-000042210000}"/>
    <cellStyle name="20% - Accent3 4 5 2 4 2" xfId="10115" xr:uid="{00000000-0005-0000-0000-000043210000}"/>
    <cellStyle name="20% - Accent3 4 5 2 4 2 2" xfId="21416" xr:uid="{00000000-0005-0000-0000-000044210000}"/>
    <cellStyle name="20% - Accent3 4 5 2 4 2 2 2" xfId="44018" xr:uid="{00000000-0005-0000-0000-000045210000}"/>
    <cellStyle name="20% - Accent3 4 5 2 4 2 3" xfId="32717" xr:uid="{00000000-0005-0000-0000-000046210000}"/>
    <cellStyle name="20% - Accent3 4 5 2 4 3" xfId="15766" xr:uid="{00000000-0005-0000-0000-000047210000}"/>
    <cellStyle name="20% - Accent3 4 5 2 4 3 2" xfId="38368" xr:uid="{00000000-0005-0000-0000-000048210000}"/>
    <cellStyle name="20% - Accent3 4 5 2 4 4" xfId="27067" xr:uid="{00000000-0005-0000-0000-000049210000}"/>
    <cellStyle name="20% - Accent3 4 5 2 5" xfId="7261" xr:uid="{00000000-0005-0000-0000-00004A210000}"/>
    <cellStyle name="20% - Accent3 4 5 2 5 2" xfId="18562" xr:uid="{00000000-0005-0000-0000-00004B210000}"/>
    <cellStyle name="20% - Accent3 4 5 2 5 2 2" xfId="41164" xr:uid="{00000000-0005-0000-0000-00004C210000}"/>
    <cellStyle name="20% - Accent3 4 5 2 5 3" xfId="29863" xr:uid="{00000000-0005-0000-0000-00004D210000}"/>
    <cellStyle name="20% - Accent3 4 5 2 6" xfId="12912" xr:uid="{00000000-0005-0000-0000-00004E210000}"/>
    <cellStyle name="20% - Accent3 4 5 2 6 2" xfId="35514" xr:uid="{00000000-0005-0000-0000-00004F210000}"/>
    <cellStyle name="20% - Accent3 4 5 2 7" xfId="24213" xr:uid="{00000000-0005-0000-0000-000050210000}"/>
    <cellStyle name="20% - Accent3 4 5 3" xfId="980" xr:uid="{00000000-0005-0000-0000-000051210000}"/>
    <cellStyle name="20% - Accent3 4 5 3 2" xfId="3043" xr:uid="{00000000-0005-0000-0000-000052210000}"/>
    <cellStyle name="20% - Accent3 4 5 3 2 2" xfId="6015" xr:uid="{00000000-0005-0000-0000-000053210000}"/>
    <cellStyle name="20% - Accent3 4 5 3 2 2 2" xfId="11665" xr:uid="{00000000-0005-0000-0000-000054210000}"/>
    <cellStyle name="20% - Accent3 4 5 3 2 2 2 2" xfId="22966" xr:uid="{00000000-0005-0000-0000-000055210000}"/>
    <cellStyle name="20% - Accent3 4 5 3 2 2 2 2 2" xfId="45568" xr:uid="{00000000-0005-0000-0000-000056210000}"/>
    <cellStyle name="20% - Accent3 4 5 3 2 2 2 3" xfId="34267" xr:uid="{00000000-0005-0000-0000-000057210000}"/>
    <cellStyle name="20% - Accent3 4 5 3 2 2 3" xfId="17316" xr:uid="{00000000-0005-0000-0000-000058210000}"/>
    <cellStyle name="20% - Accent3 4 5 3 2 2 3 2" xfId="39918" xr:uid="{00000000-0005-0000-0000-000059210000}"/>
    <cellStyle name="20% - Accent3 4 5 3 2 2 4" xfId="28617" xr:uid="{00000000-0005-0000-0000-00005A210000}"/>
    <cellStyle name="20% - Accent3 4 5 3 2 3" xfId="8833" xr:uid="{00000000-0005-0000-0000-00005B210000}"/>
    <cellStyle name="20% - Accent3 4 5 3 2 3 2" xfId="20134" xr:uid="{00000000-0005-0000-0000-00005C210000}"/>
    <cellStyle name="20% - Accent3 4 5 3 2 3 2 2" xfId="42736" xr:uid="{00000000-0005-0000-0000-00005D210000}"/>
    <cellStyle name="20% - Accent3 4 5 3 2 3 3" xfId="31435" xr:uid="{00000000-0005-0000-0000-00005E210000}"/>
    <cellStyle name="20% - Accent3 4 5 3 2 4" xfId="14484" xr:uid="{00000000-0005-0000-0000-00005F210000}"/>
    <cellStyle name="20% - Accent3 4 5 3 2 4 2" xfId="37086" xr:uid="{00000000-0005-0000-0000-000060210000}"/>
    <cellStyle name="20% - Accent3 4 5 3 2 5" xfId="25785" xr:uid="{00000000-0005-0000-0000-000061210000}"/>
    <cellStyle name="20% - Accent3 4 5 3 3" xfId="4781" xr:uid="{00000000-0005-0000-0000-000062210000}"/>
    <cellStyle name="20% - Accent3 4 5 3 3 2" xfId="10431" xr:uid="{00000000-0005-0000-0000-000063210000}"/>
    <cellStyle name="20% - Accent3 4 5 3 3 2 2" xfId="21732" xr:uid="{00000000-0005-0000-0000-000064210000}"/>
    <cellStyle name="20% - Accent3 4 5 3 3 2 2 2" xfId="44334" xr:uid="{00000000-0005-0000-0000-000065210000}"/>
    <cellStyle name="20% - Accent3 4 5 3 3 2 3" xfId="33033" xr:uid="{00000000-0005-0000-0000-000066210000}"/>
    <cellStyle name="20% - Accent3 4 5 3 3 3" xfId="16082" xr:uid="{00000000-0005-0000-0000-000067210000}"/>
    <cellStyle name="20% - Accent3 4 5 3 3 3 2" xfId="38684" xr:uid="{00000000-0005-0000-0000-000068210000}"/>
    <cellStyle name="20% - Accent3 4 5 3 3 4" xfId="27383" xr:uid="{00000000-0005-0000-0000-000069210000}"/>
    <cellStyle name="20% - Accent3 4 5 3 4" xfId="6968" xr:uid="{00000000-0005-0000-0000-00006A210000}"/>
    <cellStyle name="20% - Accent3 4 5 3 4 2" xfId="18269" xr:uid="{00000000-0005-0000-0000-00006B210000}"/>
    <cellStyle name="20% - Accent3 4 5 3 4 2 2" xfId="40871" xr:uid="{00000000-0005-0000-0000-00006C210000}"/>
    <cellStyle name="20% - Accent3 4 5 3 4 3" xfId="29570" xr:uid="{00000000-0005-0000-0000-00006D210000}"/>
    <cellStyle name="20% - Accent3 4 5 3 5" xfId="12619" xr:uid="{00000000-0005-0000-0000-00006E210000}"/>
    <cellStyle name="20% - Accent3 4 5 3 5 2" xfId="35221" xr:uid="{00000000-0005-0000-0000-00006F210000}"/>
    <cellStyle name="20% - Accent3 4 5 3 6" xfId="23920" xr:uid="{00000000-0005-0000-0000-000070210000}"/>
    <cellStyle name="20% - Accent3 4 5 4" xfId="1654" xr:uid="{00000000-0005-0000-0000-000071210000}"/>
    <cellStyle name="20% - Accent3 4 5 4 2" xfId="3620" xr:uid="{00000000-0005-0000-0000-000072210000}"/>
    <cellStyle name="20% - Accent3 4 5 4 2 2" xfId="9333" xr:uid="{00000000-0005-0000-0000-000073210000}"/>
    <cellStyle name="20% - Accent3 4 5 4 2 2 2" xfId="20634" xr:uid="{00000000-0005-0000-0000-000074210000}"/>
    <cellStyle name="20% - Accent3 4 5 4 2 2 2 2" xfId="43236" xr:uid="{00000000-0005-0000-0000-000075210000}"/>
    <cellStyle name="20% - Accent3 4 5 4 2 2 3" xfId="31935" xr:uid="{00000000-0005-0000-0000-000076210000}"/>
    <cellStyle name="20% - Accent3 4 5 4 2 3" xfId="14984" xr:uid="{00000000-0005-0000-0000-000077210000}"/>
    <cellStyle name="20% - Accent3 4 5 4 2 3 2" xfId="37586" xr:uid="{00000000-0005-0000-0000-000078210000}"/>
    <cellStyle name="20% - Accent3 4 5 4 2 4" xfId="26285" xr:uid="{00000000-0005-0000-0000-000079210000}"/>
    <cellStyle name="20% - Accent3 4 5 4 3" xfId="5391" xr:uid="{00000000-0005-0000-0000-00007A210000}"/>
    <cellStyle name="20% - Accent3 4 5 4 3 2" xfId="11041" xr:uid="{00000000-0005-0000-0000-00007B210000}"/>
    <cellStyle name="20% - Accent3 4 5 4 3 2 2" xfId="22342" xr:uid="{00000000-0005-0000-0000-00007C210000}"/>
    <cellStyle name="20% - Accent3 4 5 4 3 2 2 2" xfId="44944" xr:uid="{00000000-0005-0000-0000-00007D210000}"/>
    <cellStyle name="20% - Accent3 4 5 4 3 2 3" xfId="33643" xr:uid="{00000000-0005-0000-0000-00007E210000}"/>
    <cellStyle name="20% - Accent3 4 5 4 3 3" xfId="16692" xr:uid="{00000000-0005-0000-0000-00007F210000}"/>
    <cellStyle name="20% - Accent3 4 5 4 3 3 2" xfId="39294" xr:uid="{00000000-0005-0000-0000-000080210000}"/>
    <cellStyle name="20% - Accent3 4 5 4 3 4" xfId="27993" xr:uid="{00000000-0005-0000-0000-000081210000}"/>
    <cellStyle name="20% - Accent3 4 5 4 4" xfId="7510" xr:uid="{00000000-0005-0000-0000-000082210000}"/>
    <cellStyle name="20% - Accent3 4 5 4 4 2" xfId="18811" xr:uid="{00000000-0005-0000-0000-000083210000}"/>
    <cellStyle name="20% - Accent3 4 5 4 4 2 2" xfId="41413" xr:uid="{00000000-0005-0000-0000-000084210000}"/>
    <cellStyle name="20% - Accent3 4 5 4 4 3" xfId="30112" xr:uid="{00000000-0005-0000-0000-000085210000}"/>
    <cellStyle name="20% - Accent3 4 5 4 5" xfId="13161" xr:uid="{00000000-0005-0000-0000-000086210000}"/>
    <cellStyle name="20% - Accent3 4 5 4 5 2" xfId="35763" xr:uid="{00000000-0005-0000-0000-000087210000}"/>
    <cellStyle name="20% - Accent3 4 5 4 6" xfId="24462" xr:uid="{00000000-0005-0000-0000-000088210000}"/>
    <cellStyle name="20% - Accent3 4 5 5" xfId="2372" xr:uid="{00000000-0005-0000-0000-000089210000}"/>
    <cellStyle name="20% - Accent3 4 5 5 2" xfId="8208" xr:uid="{00000000-0005-0000-0000-00008A210000}"/>
    <cellStyle name="20% - Accent3 4 5 5 2 2" xfId="19509" xr:uid="{00000000-0005-0000-0000-00008B210000}"/>
    <cellStyle name="20% - Accent3 4 5 5 2 2 2" xfId="42111" xr:uid="{00000000-0005-0000-0000-00008C210000}"/>
    <cellStyle name="20% - Accent3 4 5 5 2 3" xfId="30810" xr:uid="{00000000-0005-0000-0000-00008D210000}"/>
    <cellStyle name="20% - Accent3 4 5 5 3" xfId="13859" xr:uid="{00000000-0005-0000-0000-00008E210000}"/>
    <cellStyle name="20% - Accent3 4 5 5 3 2" xfId="36461" xr:uid="{00000000-0005-0000-0000-00008F210000}"/>
    <cellStyle name="20% - Accent3 4 5 5 4" xfId="25160" xr:uid="{00000000-0005-0000-0000-000090210000}"/>
    <cellStyle name="20% - Accent3 4 5 6" xfId="4157" xr:uid="{00000000-0005-0000-0000-000091210000}"/>
    <cellStyle name="20% - Accent3 4 5 6 2" xfId="9807" xr:uid="{00000000-0005-0000-0000-000092210000}"/>
    <cellStyle name="20% - Accent3 4 5 6 2 2" xfId="21108" xr:uid="{00000000-0005-0000-0000-000093210000}"/>
    <cellStyle name="20% - Accent3 4 5 6 2 2 2" xfId="43710" xr:uid="{00000000-0005-0000-0000-000094210000}"/>
    <cellStyle name="20% - Accent3 4 5 6 2 3" xfId="32409" xr:uid="{00000000-0005-0000-0000-000095210000}"/>
    <cellStyle name="20% - Accent3 4 5 6 3" xfId="15458" xr:uid="{00000000-0005-0000-0000-000096210000}"/>
    <cellStyle name="20% - Accent3 4 5 6 3 2" xfId="38060" xr:uid="{00000000-0005-0000-0000-000097210000}"/>
    <cellStyle name="20% - Accent3 4 5 6 4" xfId="26759" xr:uid="{00000000-0005-0000-0000-000098210000}"/>
    <cellStyle name="20% - Accent3 4 5 7" xfId="6608" xr:uid="{00000000-0005-0000-0000-000099210000}"/>
    <cellStyle name="20% - Accent3 4 5 7 2" xfId="17909" xr:uid="{00000000-0005-0000-0000-00009A210000}"/>
    <cellStyle name="20% - Accent3 4 5 7 2 2" xfId="40511" xr:uid="{00000000-0005-0000-0000-00009B210000}"/>
    <cellStyle name="20% - Accent3 4 5 7 3" xfId="29210" xr:uid="{00000000-0005-0000-0000-00009C210000}"/>
    <cellStyle name="20% - Accent3 4 5 8" xfId="12259" xr:uid="{00000000-0005-0000-0000-00009D210000}"/>
    <cellStyle name="20% - Accent3 4 5 8 2" xfId="34861" xr:uid="{00000000-0005-0000-0000-00009E210000}"/>
    <cellStyle name="20% - Accent3 4 5 9" xfId="23560" xr:uid="{00000000-0005-0000-0000-00009F210000}"/>
    <cellStyle name="20% - Accent3 4 6" xfId="1115" xr:uid="{00000000-0005-0000-0000-0000A0210000}"/>
    <cellStyle name="20% - Accent3 4 6 2" xfId="1656" xr:uid="{00000000-0005-0000-0000-0000A1210000}"/>
    <cellStyle name="20% - Accent3 4 6 2 2" xfId="3182" xr:uid="{00000000-0005-0000-0000-0000A2210000}"/>
    <cellStyle name="20% - Accent3 4 6 2 2 2" xfId="6154" xr:uid="{00000000-0005-0000-0000-0000A3210000}"/>
    <cellStyle name="20% - Accent3 4 6 2 2 2 2" xfId="11804" xr:uid="{00000000-0005-0000-0000-0000A4210000}"/>
    <cellStyle name="20% - Accent3 4 6 2 2 2 2 2" xfId="23105" xr:uid="{00000000-0005-0000-0000-0000A5210000}"/>
    <cellStyle name="20% - Accent3 4 6 2 2 2 2 2 2" xfId="45707" xr:uid="{00000000-0005-0000-0000-0000A6210000}"/>
    <cellStyle name="20% - Accent3 4 6 2 2 2 2 3" xfId="34406" xr:uid="{00000000-0005-0000-0000-0000A7210000}"/>
    <cellStyle name="20% - Accent3 4 6 2 2 2 3" xfId="17455" xr:uid="{00000000-0005-0000-0000-0000A8210000}"/>
    <cellStyle name="20% - Accent3 4 6 2 2 2 3 2" xfId="40057" xr:uid="{00000000-0005-0000-0000-0000A9210000}"/>
    <cellStyle name="20% - Accent3 4 6 2 2 2 4" xfId="28756" xr:uid="{00000000-0005-0000-0000-0000AA210000}"/>
    <cellStyle name="20% - Accent3 4 6 2 2 3" xfId="8972" xr:uid="{00000000-0005-0000-0000-0000AB210000}"/>
    <cellStyle name="20% - Accent3 4 6 2 2 3 2" xfId="20273" xr:uid="{00000000-0005-0000-0000-0000AC210000}"/>
    <cellStyle name="20% - Accent3 4 6 2 2 3 2 2" xfId="42875" xr:uid="{00000000-0005-0000-0000-0000AD210000}"/>
    <cellStyle name="20% - Accent3 4 6 2 2 3 3" xfId="31574" xr:uid="{00000000-0005-0000-0000-0000AE210000}"/>
    <cellStyle name="20% - Accent3 4 6 2 2 4" xfId="14623" xr:uid="{00000000-0005-0000-0000-0000AF210000}"/>
    <cellStyle name="20% - Accent3 4 6 2 2 4 2" xfId="37225" xr:uid="{00000000-0005-0000-0000-0000B0210000}"/>
    <cellStyle name="20% - Accent3 4 6 2 2 5" xfId="25924" xr:uid="{00000000-0005-0000-0000-0000B1210000}"/>
    <cellStyle name="20% - Accent3 4 6 2 3" xfId="4920" xr:uid="{00000000-0005-0000-0000-0000B2210000}"/>
    <cellStyle name="20% - Accent3 4 6 2 3 2" xfId="10570" xr:uid="{00000000-0005-0000-0000-0000B3210000}"/>
    <cellStyle name="20% - Accent3 4 6 2 3 2 2" xfId="21871" xr:uid="{00000000-0005-0000-0000-0000B4210000}"/>
    <cellStyle name="20% - Accent3 4 6 2 3 2 2 2" xfId="44473" xr:uid="{00000000-0005-0000-0000-0000B5210000}"/>
    <cellStyle name="20% - Accent3 4 6 2 3 2 3" xfId="33172" xr:uid="{00000000-0005-0000-0000-0000B6210000}"/>
    <cellStyle name="20% - Accent3 4 6 2 3 3" xfId="16221" xr:uid="{00000000-0005-0000-0000-0000B7210000}"/>
    <cellStyle name="20% - Accent3 4 6 2 3 3 2" xfId="38823" xr:uid="{00000000-0005-0000-0000-0000B8210000}"/>
    <cellStyle name="20% - Accent3 4 6 2 3 4" xfId="27522" xr:uid="{00000000-0005-0000-0000-0000B9210000}"/>
    <cellStyle name="20% - Accent3 4 6 2 4" xfId="7512" xr:uid="{00000000-0005-0000-0000-0000BA210000}"/>
    <cellStyle name="20% - Accent3 4 6 2 4 2" xfId="18813" xr:uid="{00000000-0005-0000-0000-0000BB210000}"/>
    <cellStyle name="20% - Accent3 4 6 2 4 2 2" xfId="41415" xr:uid="{00000000-0005-0000-0000-0000BC210000}"/>
    <cellStyle name="20% - Accent3 4 6 2 4 3" xfId="30114" xr:uid="{00000000-0005-0000-0000-0000BD210000}"/>
    <cellStyle name="20% - Accent3 4 6 2 5" xfId="13163" xr:uid="{00000000-0005-0000-0000-0000BE210000}"/>
    <cellStyle name="20% - Accent3 4 6 2 5 2" xfId="35765" xr:uid="{00000000-0005-0000-0000-0000BF210000}"/>
    <cellStyle name="20% - Accent3 4 6 2 6" xfId="24464" xr:uid="{00000000-0005-0000-0000-0000C0210000}"/>
    <cellStyle name="20% - Accent3 4 6 3" xfId="2511" xr:uid="{00000000-0005-0000-0000-0000C1210000}"/>
    <cellStyle name="20% - Accent3 4 6 3 2" xfId="5530" xr:uid="{00000000-0005-0000-0000-0000C2210000}"/>
    <cellStyle name="20% - Accent3 4 6 3 2 2" xfId="11180" xr:uid="{00000000-0005-0000-0000-0000C3210000}"/>
    <cellStyle name="20% - Accent3 4 6 3 2 2 2" xfId="22481" xr:uid="{00000000-0005-0000-0000-0000C4210000}"/>
    <cellStyle name="20% - Accent3 4 6 3 2 2 2 2" xfId="45083" xr:uid="{00000000-0005-0000-0000-0000C5210000}"/>
    <cellStyle name="20% - Accent3 4 6 3 2 2 3" xfId="33782" xr:uid="{00000000-0005-0000-0000-0000C6210000}"/>
    <cellStyle name="20% - Accent3 4 6 3 2 3" xfId="16831" xr:uid="{00000000-0005-0000-0000-0000C7210000}"/>
    <cellStyle name="20% - Accent3 4 6 3 2 3 2" xfId="39433" xr:uid="{00000000-0005-0000-0000-0000C8210000}"/>
    <cellStyle name="20% - Accent3 4 6 3 2 4" xfId="28132" xr:uid="{00000000-0005-0000-0000-0000C9210000}"/>
    <cellStyle name="20% - Accent3 4 6 3 3" xfId="8347" xr:uid="{00000000-0005-0000-0000-0000CA210000}"/>
    <cellStyle name="20% - Accent3 4 6 3 3 2" xfId="19648" xr:uid="{00000000-0005-0000-0000-0000CB210000}"/>
    <cellStyle name="20% - Accent3 4 6 3 3 2 2" xfId="42250" xr:uid="{00000000-0005-0000-0000-0000CC210000}"/>
    <cellStyle name="20% - Accent3 4 6 3 3 3" xfId="30949" xr:uid="{00000000-0005-0000-0000-0000CD210000}"/>
    <cellStyle name="20% - Accent3 4 6 3 4" xfId="13998" xr:uid="{00000000-0005-0000-0000-0000CE210000}"/>
    <cellStyle name="20% - Accent3 4 6 3 4 2" xfId="36600" xr:uid="{00000000-0005-0000-0000-0000CF210000}"/>
    <cellStyle name="20% - Accent3 4 6 3 5" xfId="25299" xr:uid="{00000000-0005-0000-0000-0000D0210000}"/>
    <cellStyle name="20% - Accent3 4 6 4" xfId="4296" xr:uid="{00000000-0005-0000-0000-0000D1210000}"/>
    <cellStyle name="20% - Accent3 4 6 4 2" xfId="9946" xr:uid="{00000000-0005-0000-0000-0000D2210000}"/>
    <cellStyle name="20% - Accent3 4 6 4 2 2" xfId="21247" xr:uid="{00000000-0005-0000-0000-0000D3210000}"/>
    <cellStyle name="20% - Accent3 4 6 4 2 2 2" xfId="43849" xr:uid="{00000000-0005-0000-0000-0000D4210000}"/>
    <cellStyle name="20% - Accent3 4 6 4 2 3" xfId="32548" xr:uid="{00000000-0005-0000-0000-0000D5210000}"/>
    <cellStyle name="20% - Accent3 4 6 4 3" xfId="15597" xr:uid="{00000000-0005-0000-0000-0000D6210000}"/>
    <cellStyle name="20% - Accent3 4 6 4 3 2" xfId="38199" xr:uid="{00000000-0005-0000-0000-0000D7210000}"/>
    <cellStyle name="20% - Accent3 4 6 4 4" xfId="26898" xr:uid="{00000000-0005-0000-0000-0000D8210000}"/>
    <cellStyle name="20% - Accent3 4 6 5" xfId="7094" xr:uid="{00000000-0005-0000-0000-0000D9210000}"/>
    <cellStyle name="20% - Accent3 4 6 5 2" xfId="18395" xr:uid="{00000000-0005-0000-0000-0000DA210000}"/>
    <cellStyle name="20% - Accent3 4 6 5 2 2" xfId="40997" xr:uid="{00000000-0005-0000-0000-0000DB210000}"/>
    <cellStyle name="20% - Accent3 4 6 5 3" xfId="29696" xr:uid="{00000000-0005-0000-0000-0000DC210000}"/>
    <cellStyle name="20% - Accent3 4 6 6" xfId="12745" xr:uid="{00000000-0005-0000-0000-0000DD210000}"/>
    <cellStyle name="20% - Accent3 4 6 6 2" xfId="35347" xr:uid="{00000000-0005-0000-0000-0000DE210000}"/>
    <cellStyle name="20% - Accent3 4 6 7" xfId="24046" xr:uid="{00000000-0005-0000-0000-0000DF210000}"/>
    <cellStyle name="20% - Accent3 4 7" xfId="779" xr:uid="{00000000-0005-0000-0000-0000E0210000}"/>
    <cellStyle name="20% - Accent3 4 7 2" xfId="2876" xr:uid="{00000000-0005-0000-0000-0000E1210000}"/>
    <cellStyle name="20% - Accent3 4 7 2 2" xfId="5848" xr:uid="{00000000-0005-0000-0000-0000E2210000}"/>
    <cellStyle name="20% - Accent3 4 7 2 2 2" xfId="11498" xr:uid="{00000000-0005-0000-0000-0000E3210000}"/>
    <cellStyle name="20% - Accent3 4 7 2 2 2 2" xfId="22799" xr:uid="{00000000-0005-0000-0000-0000E4210000}"/>
    <cellStyle name="20% - Accent3 4 7 2 2 2 2 2" xfId="45401" xr:uid="{00000000-0005-0000-0000-0000E5210000}"/>
    <cellStyle name="20% - Accent3 4 7 2 2 2 3" xfId="34100" xr:uid="{00000000-0005-0000-0000-0000E6210000}"/>
    <cellStyle name="20% - Accent3 4 7 2 2 3" xfId="17149" xr:uid="{00000000-0005-0000-0000-0000E7210000}"/>
    <cellStyle name="20% - Accent3 4 7 2 2 3 2" xfId="39751" xr:uid="{00000000-0005-0000-0000-0000E8210000}"/>
    <cellStyle name="20% - Accent3 4 7 2 2 4" xfId="28450" xr:uid="{00000000-0005-0000-0000-0000E9210000}"/>
    <cellStyle name="20% - Accent3 4 7 2 3" xfId="8666" xr:uid="{00000000-0005-0000-0000-0000EA210000}"/>
    <cellStyle name="20% - Accent3 4 7 2 3 2" xfId="19967" xr:uid="{00000000-0005-0000-0000-0000EB210000}"/>
    <cellStyle name="20% - Accent3 4 7 2 3 2 2" xfId="42569" xr:uid="{00000000-0005-0000-0000-0000EC210000}"/>
    <cellStyle name="20% - Accent3 4 7 2 3 3" xfId="31268" xr:uid="{00000000-0005-0000-0000-0000ED210000}"/>
    <cellStyle name="20% - Accent3 4 7 2 4" xfId="14317" xr:uid="{00000000-0005-0000-0000-0000EE210000}"/>
    <cellStyle name="20% - Accent3 4 7 2 4 2" xfId="36919" xr:uid="{00000000-0005-0000-0000-0000EF210000}"/>
    <cellStyle name="20% - Accent3 4 7 2 5" xfId="25618" xr:uid="{00000000-0005-0000-0000-0000F0210000}"/>
    <cellStyle name="20% - Accent3 4 7 3" xfId="4614" xr:uid="{00000000-0005-0000-0000-0000F1210000}"/>
    <cellStyle name="20% - Accent3 4 7 3 2" xfId="10264" xr:uid="{00000000-0005-0000-0000-0000F2210000}"/>
    <cellStyle name="20% - Accent3 4 7 3 2 2" xfId="21565" xr:uid="{00000000-0005-0000-0000-0000F3210000}"/>
    <cellStyle name="20% - Accent3 4 7 3 2 2 2" xfId="44167" xr:uid="{00000000-0005-0000-0000-0000F4210000}"/>
    <cellStyle name="20% - Accent3 4 7 3 2 3" xfId="32866" xr:uid="{00000000-0005-0000-0000-0000F5210000}"/>
    <cellStyle name="20% - Accent3 4 7 3 3" xfId="15915" xr:uid="{00000000-0005-0000-0000-0000F6210000}"/>
    <cellStyle name="20% - Accent3 4 7 3 3 2" xfId="38517" xr:uid="{00000000-0005-0000-0000-0000F7210000}"/>
    <cellStyle name="20% - Accent3 4 7 3 4" xfId="27216" xr:uid="{00000000-0005-0000-0000-0000F8210000}"/>
    <cellStyle name="20% - Accent3 4 7 4" xfId="6796" xr:uid="{00000000-0005-0000-0000-0000F9210000}"/>
    <cellStyle name="20% - Accent3 4 7 4 2" xfId="18097" xr:uid="{00000000-0005-0000-0000-0000FA210000}"/>
    <cellStyle name="20% - Accent3 4 7 4 2 2" xfId="40699" xr:uid="{00000000-0005-0000-0000-0000FB210000}"/>
    <cellStyle name="20% - Accent3 4 7 4 3" xfId="29398" xr:uid="{00000000-0005-0000-0000-0000FC210000}"/>
    <cellStyle name="20% - Accent3 4 7 5" xfId="12447" xr:uid="{00000000-0005-0000-0000-0000FD210000}"/>
    <cellStyle name="20% - Accent3 4 7 5 2" xfId="35049" xr:uid="{00000000-0005-0000-0000-0000FE210000}"/>
    <cellStyle name="20% - Accent3 4 7 6" xfId="23748" xr:uid="{00000000-0005-0000-0000-0000FF210000}"/>
    <cellStyle name="20% - Accent3 4 8" xfId="1643" xr:uid="{00000000-0005-0000-0000-000000220000}"/>
    <cellStyle name="20% - Accent3 4 8 2" xfId="3614" xr:uid="{00000000-0005-0000-0000-000001220000}"/>
    <cellStyle name="20% - Accent3 4 8 2 2" xfId="9327" xr:uid="{00000000-0005-0000-0000-000002220000}"/>
    <cellStyle name="20% - Accent3 4 8 2 2 2" xfId="20628" xr:uid="{00000000-0005-0000-0000-000003220000}"/>
    <cellStyle name="20% - Accent3 4 8 2 2 2 2" xfId="43230" xr:uid="{00000000-0005-0000-0000-000004220000}"/>
    <cellStyle name="20% - Accent3 4 8 2 2 3" xfId="31929" xr:uid="{00000000-0005-0000-0000-000005220000}"/>
    <cellStyle name="20% - Accent3 4 8 2 3" xfId="14978" xr:uid="{00000000-0005-0000-0000-000006220000}"/>
    <cellStyle name="20% - Accent3 4 8 2 3 2" xfId="37580" xr:uid="{00000000-0005-0000-0000-000007220000}"/>
    <cellStyle name="20% - Accent3 4 8 2 4" xfId="26279" xr:uid="{00000000-0005-0000-0000-000008220000}"/>
    <cellStyle name="20% - Accent3 4 8 3" xfId="5224" xr:uid="{00000000-0005-0000-0000-000009220000}"/>
    <cellStyle name="20% - Accent3 4 8 3 2" xfId="10874" xr:uid="{00000000-0005-0000-0000-00000A220000}"/>
    <cellStyle name="20% - Accent3 4 8 3 2 2" xfId="22175" xr:uid="{00000000-0005-0000-0000-00000B220000}"/>
    <cellStyle name="20% - Accent3 4 8 3 2 2 2" xfId="44777" xr:uid="{00000000-0005-0000-0000-00000C220000}"/>
    <cellStyle name="20% - Accent3 4 8 3 2 3" xfId="33476" xr:uid="{00000000-0005-0000-0000-00000D220000}"/>
    <cellStyle name="20% - Accent3 4 8 3 3" xfId="16525" xr:uid="{00000000-0005-0000-0000-00000E220000}"/>
    <cellStyle name="20% - Accent3 4 8 3 3 2" xfId="39127" xr:uid="{00000000-0005-0000-0000-00000F220000}"/>
    <cellStyle name="20% - Accent3 4 8 3 4" xfId="27826" xr:uid="{00000000-0005-0000-0000-000010220000}"/>
    <cellStyle name="20% - Accent3 4 8 4" xfId="7499" xr:uid="{00000000-0005-0000-0000-000011220000}"/>
    <cellStyle name="20% - Accent3 4 8 4 2" xfId="18800" xr:uid="{00000000-0005-0000-0000-000012220000}"/>
    <cellStyle name="20% - Accent3 4 8 4 2 2" xfId="41402" xr:uid="{00000000-0005-0000-0000-000013220000}"/>
    <cellStyle name="20% - Accent3 4 8 4 3" xfId="30101" xr:uid="{00000000-0005-0000-0000-000014220000}"/>
    <cellStyle name="20% - Accent3 4 8 5" xfId="13150" xr:uid="{00000000-0005-0000-0000-000015220000}"/>
    <cellStyle name="20% - Accent3 4 8 5 2" xfId="35752" xr:uid="{00000000-0005-0000-0000-000016220000}"/>
    <cellStyle name="20% - Accent3 4 8 6" xfId="24451" xr:uid="{00000000-0005-0000-0000-000017220000}"/>
    <cellStyle name="20% - Accent3 4 9" xfId="2195" xr:uid="{00000000-0005-0000-0000-000018220000}"/>
    <cellStyle name="20% - Accent3 4 9 2" xfId="8038" xr:uid="{00000000-0005-0000-0000-000019220000}"/>
    <cellStyle name="20% - Accent3 4 9 2 2" xfId="19339" xr:uid="{00000000-0005-0000-0000-00001A220000}"/>
    <cellStyle name="20% - Accent3 4 9 2 2 2" xfId="41941" xr:uid="{00000000-0005-0000-0000-00001B220000}"/>
    <cellStyle name="20% - Accent3 4 9 2 3" xfId="30640" xr:uid="{00000000-0005-0000-0000-00001C220000}"/>
    <cellStyle name="20% - Accent3 4 9 3" xfId="13689" xr:uid="{00000000-0005-0000-0000-00001D220000}"/>
    <cellStyle name="20% - Accent3 4 9 3 2" xfId="36291" xr:uid="{00000000-0005-0000-0000-00001E220000}"/>
    <cellStyle name="20% - Accent3 4 9 4" xfId="24990" xr:uid="{00000000-0005-0000-0000-00001F220000}"/>
    <cellStyle name="20% - Accent3 5" xfId="267" xr:uid="{00000000-0005-0000-0000-000020220000}"/>
    <cellStyle name="20% - Accent3 5 10" xfId="12132" xr:uid="{00000000-0005-0000-0000-000021220000}"/>
    <cellStyle name="20% - Accent3 5 10 2" xfId="34734" xr:uid="{00000000-0005-0000-0000-000022220000}"/>
    <cellStyle name="20% - Accent3 5 11" xfId="23433" xr:uid="{00000000-0005-0000-0000-000023220000}"/>
    <cellStyle name="20% - Accent3 5 2" xfId="434" xr:uid="{00000000-0005-0000-0000-000024220000}"/>
    <cellStyle name="20% - Accent3 5 2 10" xfId="23529" xr:uid="{00000000-0005-0000-0000-000025220000}"/>
    <cellStyle name="20% - Accent3 5 2 2" xfId="679" xr:uid="{00000000-0005-0000-0000-000026220000}"/>
    <cellStyle name="20% - Accent3 5 2 2 2" xfId="1389" xr:uid="{00000000-0005-0000-0000-000027220000}"/>
    <cellStyle name="20% - Accent3 5 2 2 2 2" xfId="1660" xr:uid="{00000000-0005-0000-0000-000028220000}"/>
    <cellStyle name="20% - Accent3 5 2 2 2 2 2" xfId="3458" xr:uid="{00000000-0005-0000-0000-000029220000}"/>
    <cellStyle name="20% - Accent3 5 2 2 2 2 2 2" xfId="6430" xr:uid="{00000000-0005-0000-0000-00002A220000}"/>
    <cellStyle name="20% - Accent3 5 2 2 2 2 2 2 2" xfId="12080" xr:uid="{00000000-0005-0000-0000-00002B220000}"/>
    <cellStyle name="20% - Accent3 5 2 2 2 2 2 2 2 2" xfId="23381" xr:uid="{00000000-0005-0000-0000-00002C220000}"/>
    <cellStyle name="20% - Accent3 5 2 2 2 2 2 2 2 2 2" xfId="45983" xr:uid="{00000000-0005-0000-0000-00002D220000}"/>
    <cellStyle name="20% - Accent3 5 2 2 2 2 2 2 2 3" xfId="34682" xr:uid="{00000000-0005-0000-0000-00002E220000}"/>
    <cellStyle name="20% - Accent3 5 2 2 2 2 2 2 3" xfId="17731" xr:uid="{00000000-0005-0000-0000-00002F220000}"/>
    <cellStyle name="20% - Accent3 5 2 2 2 2 2 2 3 2" xfId="40333" xr:uid="{00000000-0005-0000-0000-000030220000}"/>
    <cellStyle name="20% - Accent3 5 2 2 2 2 2 2 4" xfId="29032" xr:uid="{00000000-0005-0000-0000-000031220000}"/>
    <cellStyle name="20% - Accent3 5 2 2 2 2 2 3" xfId="9248" xr:uid="{00000000-0005-0000-0000-000032220000}"/>
    <cellStyle name="20% - Accent3 5 2 2 2 2 2 3 2" xfId="20549" xr:uid="{00000000-0005-0000-0000-000033220000}"/>
    <cellStyle name="20% - Accent3 5 2 2 2 2 2 3 2 2" xfId="43151" xr:uid="{00000000-0005-0000-0000-000034220000}"/>
    <cellStyle name="20% - Accent3 5 2 2 2 2 2 3 3" xfId="31850" xr:uid="{00000000-0005-0000-0000-000035220000}"/>
    <cellStyle name="20% - Accent3 5 2 2 2 2 2 4" xfId="14899" xr:uid="{00000000-0005-0000-0000-000036220000}"/>
    <cellStyle name="20% - Accent3 5 2 2 2 2 2 4 2" xfId="37501" xr:uid="{00000000-0005-0000-0000-000037220000}"/>
    <cellStyle name="20% - Accent3 5 2 2 2 2 2 5" xfId="26200" xr:uid="{00000000-0005-0000-0000-000038220000}"/>
    <cellStyle name="20% - Accent3 5 2 2 2 2 3" xfId="5196" xr:uid="{00000000-0005-0000-0000-000039220000}"/>
    <cellStyle name="20% - Accent3 5 2 2 2 2 3 2" xfId="10846" xr:uid="{00000000-0005-0000-0000-00003A220000}"/>
    <cellStyle name="20% - Accent3 5 2 2 2 2 3 2 2" xfId="22147" xr:uid="{00000000-0005-0000-0000-00003B220000}"/>
    <cellStyle name="20% - Accent3 5 2 2 2 2 3 2 2 2" xfId="44749" xr:uid="{00000000-0005-0000-0000-00003C220000}"/>
    <cellStyle name="20% - Accent3 5 2 2 2 2 3 2 3" xfId="33448" xr:uid="{00000000-0005-0000-0000-00003D220000}"/>
    <cellStyle name="20% - Accent3 5 2 2 2 2 3 3" xfId="16497" xr:uid="{00000000-0005-0000-0000-00003E220000}"/>
    <cellStyle name="20% - Accent3 5 2 2 2 2 3 3 2" xfId="39099" xr:uid="{00000000-0005-0000-0000-00003F220000}"/>
    <cellStyle name="20% - Accent3 5 2 2 2 2 3 4" xfId="27798" xr:uid="{00000000-0005-0000-0000-000040220000}"/>
    <cellStyle name="20% - Accent3 5 2 2 2 2 4" xfId="7516" xr:uid="{00000000-0005-0000-0000-000041220000}"/>
    <cellStyle name="20% - Accent3 5 2 2 2 2 4 2" xfId="18817" xr:uid="{00000000-0005-0000-0000-000042220000}"/>
    <cellStyle name="20% - Accent3 5 2 2 2 2 4 2 2" xfId="41419" xr:uid="{00000000-0005-0000-0000-000043220000}"/>
    <cellStyle name="20% - Accent3 5 2 2 2 2 4 3" xfId="30118" xr:uid="{00000000-0005-0000-0000-000044220000}"/>
    <cellStyle name="20% - Accent3 5 2 2 2 2 5" xfId="13167" xr:uid="{00000000-0005-0000-0000-000045220000}"/>
    <cellStyle name="20% - Accent3 5 2 2 2 2 5 2" xfId="35769" xr:uid="{00000000-0005-0000-0000-000046220000}"/>
    <cellStyle name="20% - Accent3 5 2 2 2 2 6" xfId="24468" xr:uid="{00000000-0005-0000-0000-000047220000}"/>
    <cellStyle name="20% - Accent3 5 2 2 2 3" xfId="2787" xr:uid="{00000000-0005-0000-0000-000048220000}"/>
    <cellStyle name="20% - Accent3 5 2 2 2 3 2" xfId="5806" xr:uid="{00000000-0005-0000-0000-000049220000}"/>
    <cellStyle name="20% - Accent3 5 2 2 2 3 2 2" xfId="11456" xr:uid="{00000000-0005-0000-0000-00004A220000}"/>
    <cellStyle name="20% - Accent3 5 2 2 2 3 2 2 2" xfId="22757" xr:uid="{00000000-0005-0000-0000-00004B220000}"/>
    <cellStyle name="20% - Accent3 5 2 2 2 3 2 2 2 2" xfId="45359" xr:uid="{00000000-0005-0000-0000-00004C220000}"/>
    <cellStyle name="20% - Accent3 5 2 2 2 3 2 2 3" xfId="34058" xr:uid="{00000000-0005-0000-0000-00004D220000}"/>
    <cellStyle name="20% - Accent3 5 2 2 2 3 2 3" xfId="17107" xr:uid="{00000000-0005-0000-0000-00004E220000}"/>
    <cellStyle name="20% - Accent3 5 2 2 2 3 2 3 2" xfId="39709" xr:uid="{00000000-0005-0000-0000-00004F220000}"/>
    <cellStyle name="20% - Accent3 5 2 2 2 3 2 4" xfId="28408" xr:uid="{00000000-0005-0000-0000-000050220000}"/>
    <cellStyle name="20% - Accent3 5 2 2 2 3 3" xfId="8623" xr:uid="{00000000-0005-0000-0000-000051220000}"/>
    <cellStyle name="20% - Accent3 5 2 2 2 3 3 2" xfId="19924" xr:uid="{00000000-0005-0000-0000-000052220000}"/>
    <cellStyle name="20% - Accent3 5 2 2 2 3 3 2 2" xfId="42526" xr:uid="{00000000-0005-0000-0000-000053220000}"/>
    <cellStyle name="20% - Accent3 5 2 2 2 3 3 3" xfId="31225" xr:uid="{00000000-0005-0000-0000-000054220000}"/>
    <cellStyle name="20% - Accent3 5 2 2 2 3 4" xfId="14274" xr:uid="{00000000-0005-0000-0000-000055220000}"/>
    <cellStyle name="20% - Accent3 5 2 2 2 3 4 2" xfId="36876" xr:uid="{00000000-0005-0000-0000-000056220000}"/>
    <cellStyle name="20% - Accent3 5 2 2 2 3 5" xfId="25575" xr:uid="{00000000-0005-0000-0000-000057220000}"/>
    <cellStyle name="20% - Accent3 5 2 2 2 4" xfId="4572" xr:uid="{00000000-0005-0000-0000-000058220000}"/>
    <cellStyle name="20% - Accent3 5 2 2 2 4 2" xfId="10222" xr:uid="{00000000-0005-0000-0000-000059220000}"/>
    <cellStyle name="20% - Accent3 5 2 2 2 4 2 2" xfId="21523" xr:uid="{00000000-0005-0000-0000-00005A220000}"/>
    <cellStyle name="20% - Accent3 5 2 2 2 4 2 2 2" xfId="44125" xr:uid="{00000000-0005-0000-0000-00005B220000}"/>
    <cellStyle name="20% - Accent3 5 2 2 2 4 2 3" xfId="32824" xr:uid="{00000000-0005-0000-0000-00005C220000}"/>
    <cellStyle name="20% - Accent3 5 2 2 2 4 3" xfId="15873" xr:uid="{00000000-0005-0000-0000-00005D220000}"/>
    <cellStyle name="20% - Accent3 5 2 2 2 4 3 2" xfId="38475" xr:uid="{00000000-0005-0000-0000-00005E220000}"/>
    <cellStyle name="20% - Accent3 5 2 2 2 4 4" xfId="27174" xr:uid="{00000000-0005-0000-0000-00005F220000}"/>
    <cellStyle name="20% - Accent3 5 2 2 2 5" xfId="7368" xr:uid="{00000000-0005-0000-0000-000060220000}"/>
    <cellStyle name="20% - Accent3 5 2 2 2 5 2" xfId="18669" xr:uid="{00000000-0005-0000-0000-000061220000}"/>
    <cellStyle name="20% - Accent3 5 2 2 2 5 2 2" xfId="41271" xr:uid="{00000000-0005-0000-0000-000062220000}"/>
    <cellStyle name="20% - Accent3 5 2 2 2 5 3" xfId="29970" xr:uid="{00000000-0005-0000-0000-000063220000}"/>
    <cellStyle name="20% - Accent3 5 2 2 2 6" xfId="13019" xr:uid="{00000000-0005-0000-0000-000064220000}"/>
    <cellStyle name="20% - Accent3 5 2 2 2 6 2" xfId="35621" xr:uid="{00000000-0005-0000-0000-000065220000}"/>
    <cellStyle name="20% - Accent3 5 2 2 2 7" xfId="24320" xr:uid="{00000000-0005-0000-0000-000066220000}"/>
    <cellStyle name="20% - Accent3 5 2 2 3" xfId="1087" xr:uid="{00000000-0005-0000-0000-000067220000}"/>
    <cellStyle name="20% - Accent3 5 2 2 3 2" xfId="3150" xr:uid="{00000000-0005-0000-0000-000068220000}"/>
    <cellStyle name="20% - Accent3 5 2 2 3 2 2" xfId="6122" xr:uid="{00000000-0005-0000-0000-000069220000}"/>
    <cellStyle name="20% - Accent3 5 2 2 3 2 2 2" xfId="11772" xr:uid="{00000000-0005-0000-0000-00006A220000}"/>
    <cellStyle name="20% - Accent3 5 2 2 3 2 2 2 2" xfId="23073" xr:uid="{00000000-0005-0000-0000-00006B220000}"/>
    <cellStyle name="20% - Accent3 5 2 2 3 2 2 2 2 2" xfId="45675" xr:uid="{00000000-0005-0000-0000-00006C220000}"/>
    <cellStyle name="20% - Accent3 5 2 2 3 2 2 2 3" xfId="34374" xr:uid="{00000000-0005-0000-0000-00006D220000}"/>
    <cellStyle name="20% - Accent3 5 2 2 3 2 2 3" xfId="17423" xr:uid="{00000000-0005-0000-0000-00006E220000}"/>
    <cellStyle name="20% - Accent3 5 2 2 3 2 2 3 2" xfId="40025" xr:uid="{00000000-0005-0000-0000-00006F220000}"/>
    <cellStyle name="20% - Accent3 5 2 2 3 2 2 4" xfId="28724" xr:uid="{00000000-0005-0000-0000-000070220000}"/>
    <cellStyle name="20% - Accent3 5 2 2 3 2 3" xfId="8940" xr:uid="{00000000-0005-0000-0000-000071220000}"/>
    <cellStyle name="20% - Accent3 5 2 2 3 2 3 2" xfId="20241" xr:uid="{00000000-0005-0000-0000-000072220000}"/>
    <cellStyle name="20% - Accent3 5 2 2 3 2 3 2 2" xfId="42843" xr:uid="{00000000-0005-0000-0000-000073220000}"/>
    <cellStyle name="20% - Accent3 5 2 2 3 2 3 3" xfId="31542" xr:uid="{00000000-0005-0000-0000-000074220000}"/>
    <cellStyle name="20% - Accent3 5 2 2 3 2 4" xfId="14591" xr:uid="{00000000-0005-0000-0000-000075220000}"/>
    <cellStyle name="20% - Accent3 5 2 2 3 2 4 2" xfId="37193" xr:uid="{00000000-0005-0000-0000-000076220000}"/>
    <cellStyle name="20% - Accent3 5 2 2 3 2 5" xfId="25892" xr:uid="{00000000-0005-0000-0000-000077220000}"/>
    <cellStyle name="20% - Accent3 5 2 2 3 3" xfId="4888" xr:uid="{00000000-0005-0000-0000-000078220000}"/>
    <cellStyle name="20% - Accent3 5 2 2 3 3 2" xfId="10538" xr:uid="{00000000-0005-0000-0000-000079220000}"/>
    <cellStyle name="20% - Accent3 5 2 2 3 3 2 2" xfId="21839" xr:uid="{00000000-0005-0000-0000-00007A220000}"/>
    <cellStyle name="20% - Accent3 5 2 2 3 3 2 2 2" xfId="44441" xr:uid="{00000000-0005-0000-0000-00007B220000}"/>
    <cellStyle name="20% - Accent3 5 2 2 3 3 2 3" xfId="33140" xr:uid="{00000000-0005-0000-0000-00007C220000}"/>
    <cellStyle name="20% - Accent3 5 2 2 3 3 3" xfId="16189" xr:uid="{00000000-0005-0000-0000-00007D220000}"/>
    <cellStyle name="20% - Accent3 5 2 2 3 3 3 2" xfId="38791" xr:uid="{00000000-0005-0000-0000-00007E220000}"/>
    <cellStyle name="20% - Accent3 5 2 2 3 3 4" xfId="27490" xr:uid="{00000000-0005-0000-0000-00007F220000}"/>
    <cellStyle name="20% - Accent3 5 2 2 3 4" xfId="7075" xr:uid="{00000000-0005-0000-0000-000080220000}"/>
    <cellStyle name="20% - Accent3 5 2 2 3 4 2" xfId="18376" xr:uid="{00000000-0005-0000-0000-000081220000}"/>
    <cellStyle name="20% - Accent3 5 2 2 3 4 2 2" xfId="40978" xr:uid="{00000000-0005-0000-0000-000082220000}"/>
    <cellStyle name="20% - Accent3 5 2 2 3 4 3" xfId="29677" xr:uid="{00000000-0005-0000-0000-000083220000}"/>
    <cellStyle name="20% - Accent3 5 2 2 3 5" xfId="12726" xr:uid="{00000000-0005-0000-0000-000084220000}"/>
    <cellStyle name="20% - Accent3 5 2 2 3 5 2" xfId="35328" xr:uid="{00000000-0005-0000-0000-000085220000}"/>
    <cellStyle name="20% - Accent3 5 2 2 3 6" xfId="24027" xr:uid="{00000000-0005-0000-0000-000086220000}"/>
    <cellStyle name="20% - Accent3 5 2 2 4" xfId="1659" xr:uid="{00000000-0005-0000-0000-000087220000}"/>
    <cellStyle name="20% - Accent3 5 2 2 4 2" xfId="3623" xr:uid="{00000000-0005-0000-0000-000088220000}"/>
    <cellStyle name="20% - Accent3 5 2 2 4 2 2" xfId="9336" xr:uid="{00000000-0005-0000-0000-000089220000}"/>
    <cellStyle name="20% - Accent3 5 2 2 4 2 2 2" xfId="20637" xr:uid="{00000000-0005-0000-0000-00008A220000}"/>
    <cellStyle name="20% - Accent3 5 2 2 4 2 2 2 2" xfId="43239" xr:uid="{00000000-0005-0000-0000-00008B220000}"/>
    <cellStyle name="20% - Accent3 5 2 2 4 2 2 3" xfId="31938" xr:uid="{00000000-0005-0000-0000-00008C220000}"/>
    <cellStyle name="20% - Accent3 5 2 2 4 2 3" xfId="14987" xr:uid="{00000000-0005-0000-0000-00008D220000}"/>
    <cellStyle name="20% - Accent3 5 2 2 4 2 3 2" xfId="37589" xr:uid="{00000000-0005-0000-0000-00008E220000}"/>
    <cellStyle name="20% - Accent3 5 2 2 4 2 4" xfId="26288" xr:uid="{00000000-0005-0000-0000-00008F220000}"/>
    <cellStyle name="20% - Accent3 5 2 2 4 3" xfId="5498" xr:uid="{00000000-0005-0000-0000-000090220000}"/>
    <cellStyle name="20% - Accent3 5 2 2 4 3 2" xfId="11148" xr:uid="{00000000-0005-0000-0000-000091220000}"/>
    <cellStyle name="20% - Accent3 5 2 2 4 3 2 2" xfId="22449" xr:uid="{00000000-0005-0000-0000-000092220000}"/>
    <cellStyle name="20% - Accent3 5 2 2 4 3 2 2 2" xfId="45051" xr:uid="{00000000-0005-0000-0000-000093220000}"/>
    <cellStyle name="20% - Accent3 5 2 2 4 3 2 3" xfId="33750" xr:uid="{00000000-0005-0000-0000-000094220000}"/>
    <cellStyle name="20% - Accent3 5 2 2 4 3 3" xfId="16799" xr:uid="{00000000-0005-0000-0000-000095220000}"/>
    <cellStyle name="20% - Accent3 5 2 2 4 3 3 2" xfId="39401" xr:uid="{00000000-0005-0000-0000-000096220000}"/>
    <cellStyle name="20% - Accent3 5 2 2 4 3 4" xfId="28100" xr:uid="{00000000-0005-0000-0000-000097220000}"/>
    <cellStyle name="20% - Accent3 5 2 2 4 4" xfId="7515" xr:uid="{00000000-0005-0000-0000-000098220000}"/>
    <cellStyle name="20% - Accent3 5 2 2 4 4 2" xfId="18816" xr:uid="{00000000-0005-0000-0000-000099220000}"/>
    <cellStyle name="20% - Accent3 5 2 2 4 4 2 2" xfId="41418" xr:uid="{00000000-0005-0000-0000-00009A220000}"/>
    <cellStyle name="20% - Accent3 5 2 2 4 4 3" xfId="30117" xr:uid="{00000000-0005-0000-0000-00009B220000}"/>
    <cellStyle name="20% - Accent3 5 2 2 4 5" xfId="13166" xr:uid="{00000000-0005-0000-0000-00009C220000}"/>
    <cellStyle name="20% - Accent3 5 2 2 4 5 2" xfId="35768" xr:uid="{00000000-0005-0000-0000-00009D220000}"/>
    <cellStyle name="20% - Accent3 5 2 2 4 6" xfId="24467" xr:uid="{00000000-0005-0000-0000-00009E220000}"/>
    <cellStyle name="20% - Accent3 5 2 2 5" xfId="2479" xr:uid="{00000000-0005-0000-0000-00009F220000}"/>
    <cellStyle name="20% - Accent3 5 2 2 5 2" xfId="8315" xr:uid="{00000000-0005-0000-0000-0000A0220000}"/>
    <cellStyle name="20% - Accent3 5 2 2 5 2 2" xfId="19616" xr:uid="{00000000-0005-0000-0000-0000A1220000}"/>
    <cellStyle name="20% - Accent3 5 2 2 5 2 2 2" xfId="42218" xr:uid="{00000000-0005-0000-0000-0000A2220000}"/>
    <cellStyle name="20% - Accent3 5 2 2 5 2 3" xfId="30917" xr:uid="{00000000-0005-0000-0000-0000A3220000}"/>
    <cellStyle name="20% - Accent3 5 2 2 5 3" xfId="13966" xr:uid="{00000000-0005-0000-0000-0000A4220000}"/>
    <cellStyle name="20% - Accent3 5 2 2 5 3 2" xfId="36568" xr:uid="{00000000-0005-0000-0000-0000A5220000}"/>
    <cellStyle name="20% - Accent3 5 2 2 5 4" xfId="25267" xr:uid="{00000000-0005-0000-0000-0000A6220000}"/>
    <cellStyle name="20% - Accent3 5 2 2 6" xfId="4264" xr:uid="{00000000-0005-0000-0000-0000A7220000}"/>
    <cellStyle name="20% - Accent3 5 2 2 6 2" xfId="9914" xr:uid="{00000000-0005-0000-0000-0000A8220000}"/>
    <cellStyle name="20% - Accent3 5 2 2 6 2 2" xfId="21215" xr:uid="{00000000-0005-0000-0000-0000A9220000}"/>
    <cellStyle name="20% - Accent3 5 2 2 6 2 2 2" xfId="43817" xr:uid="{00000000-0005-0000-0000-0000AA220000}"/>
    <cellStyle name="20% - Accent3 5 2 2 6 2 3" xfId="32516" xr:uid="{00000000-0005-0000-0000-0000AB220000}"/>
    <cellStyle name="20% - Accent3 5 2 2 6 3" xfId="15565" xr:uid="{00000000-0005-0000-0000-0000AC220000}"/>
    <cellStyle name="20% - Accent3 5 2 2 6 3 2" xfId="38167" xr:uid="{00000000-0005-0000-0000-0000AD220000}"/>
    <cellStyle name="20% - Accent3 5 2 2 6 4" xfId="26866" xr:uid="{00000000-0005-0000-0000-0000AE220000}"/>
    <cellStyle name="20% - Accent3 5 2 2 7" xfId="6744" xr:uid="{00000000-0005-0000-0000-0000AF220000}"/>
    <cellStyle name="20% - Accent3 5 2 2 7 2" xfId="18045" xr:uid="{00000000-0005-0000-0000-0000B0220000}"/>
    <cellStyle name="20% - Accent3 5 2 2 7 2 2" xfId="40647" xr:uid="{00000000-0005-0000-0000-0000B1220000}"/>
    <cellStyle name="20% - Accent3 5 2 2 7 3" xfId="29346" xr:uid="{00000000-0005-0000-0000-0000B2220000}"/>
    <cellStyle name="20% - Accent3 5 2 2 8" xfId="12395" xr:uid="{00000000-0005-0000-0000-0000B3220000}"/>
    <cellStyle name="20% - Accent3 5 2 2 8 2" xfId="34997" xr:uid="{00000000-0005-0000-0000-0000B4220000}"/>
    <cellStyle name="20% - Accent3 5 2 2 9" xfId="23696" xr:uid="{00000000-0005-0000-0000-0000B5220000}"/>
    <cellStyle name="20% - Accent3 5 2 3" xfId="1251" xr:uid="{00000000-0005-0000-0000-0000B6220000}"/>
    <cellStyle name="20% - Accent3 5 2 3 2" xfId="1661" xr:uid="{00000000-0005-0000-0000-0000B7220000}"/>
    <cellStyle name="20% - Accent3 5 2 3 2 2" xfId="3319" xr:uid="{00000000-0005-0000-0000-0000B8220000}"/>
    <cellStyle name="20% - Accent3 5 2 3 2 2 2" xfId="6291" xr:uid="{00000000-0005-0000-0000-0000B9220000}"/>
    <cellStyle name="20% - Accent3 5 2 3 2 2 2 2" xfId="11941" xr:uid="{00000000-0005-0000-0000-0000BA220000}"/>
    <cellStyle name="20% - Accent3 5 2 3 2 2 2 2 2" xfId="23242" xr:uid="{00000000-0005-0000-0000-0000BB220000}"/>
    <cellStyle name="20% - Accent3 5 2 3 2 2 2 2 2 2" xfId="45844" xr:uid="{00000000-0005-0000-0000-0000BC220000}"/>
    <cellStyle name="20% - Accent3 5 2 3 2 2 2 2 3" xfId="34543" xr:uid="{00000000-0005-0000-0000-0000BD220000}"/>
    <cellStyle name="20% - Accent3 5 2 3 2 2 2 3" xfId="17592" xr:uid="{00000000-0005-0000-0000-0000BE220000}"/>
    <cellStyle name="20% - Accent3 5 2 3 2 2 2 3 2" xfId="40194" xr:uid="{00000000-0005-0000-0000-0000BF220000}"/>
    <cellStyle name="20% - Accent3 5 2 3 2 2 2 4" xfId="28893" xr:uid="{00000000-0005-0000-0000-0000C0220000}"/>
    <cellStyle name="20% - Accent3 5 2 3 2 2 3" xfId="9109" xr:uid="{00000000-0005-0000-0000-0000C1220000}"/>
    <cellStyle name="20% - Accent3 5 2 3 2 2 3 2" xfId="20410" xr:uid="{00000000-0005-0000-0000-0000C2220000}"/>
    <cellStyle name="20% - Accent3 5 2 3 2 2 3 2 2" xfId="43012" xr:uid="{00000000-0005-0000-0000-0000C3220000}"/>
    <cellStyle name="20% - Accent3 5 2 3 2 2 3 3" xfId="31711" xr:uid="{00000000-0005-0000-0000-0000C4220000}"/>
    <cellStyle name="20% - Accent3 5 2 3 2 2 4" xfId="14760" xr:uid="{00000000-0005-0000-0000-0000C5220000}"/>
    <cellStyle name="20% - Accent3 5 2 3 2 2 4 2" xfId="37362" xr:uid="{00000000-0005-0000-0000-0000C6220000}"/>
    <cellStyle name="20% - Accent3 5 2 3 2 2 5" xfId="26061" xr:uid="{00000000-0005-0000-0000-0000C7220000}"/>
    <cellStyle name="20% - Accent3 5 2 3 2 3" xfId="5057" xr:uid="{00000000-0005-0000-0000-0000C8220000}"/>
    <cellStyle name="20% - Accent3 5 2 3 2 3 2" xfId="10707" xr:uid="{00000000-0005-0000-0000-0000C9220000}"/>
    <cellStyle name="20% - Accent3 5 2 3 2 3 2 2" xfId="22008" xr:uid="{00000000-0005-0000-0000-0000CA220000}"/>
    <cellStyle name="20% - Accent3 5 2 3 2 3 2 2 2" xfId="44610" xr:uid="{00000000-0005-0000-0000-0000CB220000}"/>
    <cellStyle name="20% - Accent3 5 2 3 2 3 2 3" xfId="33309" xr:uid="{00000000-0005-0000-0000-0000CC220000}"/>
    <cellStyle name="20% - Accent3 5 2 3 2 3 3" xfId="16358" xr:uid="{00000000-0005-0000-0000-0000CD220000}"/>
    <cellStyle name="20% - Accent3 5 2 3 2 3 3 2" xfId="38960" xr:uid="{00000000-0005-0000-0000-0000CE220000}"/>
    <cellStyle name="20% - Accent3 5 2 3 2 3 4" xfId="27659" xr:uid="{00000000-0005-0000-0000-0000CF220000}"/>
    <cellStyle name="20% - Accent3 5 2 3 2 4" xfId="7517" xr:uid="{00000000-0005-0000-0000-0000D0220000}"/>
    <cellStyle name="20% - Accent3 5 2 3 2 4 2" xfId="18818" xr:uid="{00000000-0005-0000-0000-0000D1220000}"/>
    <cellStyle name="20% - Accent3 5 2 3 2 4 2 2" xfId="41420" xr:uid="{00000000-0005-0000-0000-0000D2220000}"/>
    <cellStyle name="20% - Accent3 5 2 3 2 4 3" xfId="30119" xr:uid="{00000000-0005-0000-0000-0000D3220000}"/>
    <cellStyle name="20% - Accent3 5 2 3 2 5" xfId="13168" xr:uid="{00000000-0005-0000-0000-0000D4220000}"/>
    <cellStyle name="20% - Accent3 5 2 3 2 5 2" xfId="35770" xr:uid="{00000000-0005-0000-0000-0000D5220000}"/>
    <cellStyle name="20% - Accent3 5 2 3 2 6" xfId="24469" xr:uid="{00000000-0005-0000-0000-0000D6220000}"/>
    <cellStyle name="20% - Accent3 5 2 3 3" xfId="2648" xr:uid="{00000000-0005-0000-0000-0000D7220000}"/>
    <cellStyle name="20% - Accent3 5 2 3 3 2" xfId="5667" xr:uid="{00000000-0005-0000-0000-0000D8220000}"/>
    <cellStyle name="20% - Accent3 5 2 3 3 2 2" xfId="11317" xr:uid="{00000000-0005-0000-0000-0000D9220000}"/>
    <cellStyle name="20% - Accent3 5 2 3 3 2 2 2" xfId="22618" xr:uid="{00000000-0005-0000-0000-0000DA220000}"/>
    <cellStyle name="20% - Accent3 5 2 3 3 2 2 2 2" xfId="45220" xr:uid="{00000000-0005-0000-0000-0000DB220000}"/>
    <cellStyle name="20% - Accent3 5 2 3 3 2 2 3" xfId="33919" xr:uid="{00000000-0005-0000-0000-0000DC220000}"/>
    <cellStyle name="20% - Accent3 5 2 3 3 2 3" xfId="16968" xr:uid="{00000000-0005-0000-0000-0000DD220000}"/>
    <cellStyle name="20% - Accent3 5 2 3 3 2 3 2" xfId="39570" xr:uid="{00000000-0005-0000-0000-0000DE220000}"/>
    <cellStyle name="20% - Accent3 5 2 3 3 2 4" xfId="28269" xr:uid="{00000000-0005-0000-0000-0000DF220000}"/>
    <cellStyle name="20% - Accent3 5 2 3 3 3" xfId="8484" xr:uid="{00000000-0005-0000-0000-0000E0220000}"/>
    <cellStyle name="20% - Accent3 5 2 3 3 3 2" xfId="19785" xr:uid="{00000000-0005-0000-0000-0000E1220000}"/>
    <cellStyle name="20% - Accent3 5 2 3 3 3 2 2" xfId="42387" xr:uid="{00000000-0005-0000-0000-0000E2220000}"/>
    <cellStyle name="20% - Accent3 5 2 3 3 3 3" xfId="31086" xr:uid="{00000000-0005-0000-0000-0000E3220000}"/>
    <cellStyle name="20% - Accent3 5 2 3 3 4" xfId="14135" xr:uid="{00000000-0005-0000-0000-0000E4220000}"/>
    <cellStyle name="20% - Accent3 5 2 3 3 4 2" xfId="36737" xr:uid="{00000000-0005-0000-0000-0000E5220000}"/>
    <cellStyle name="20% - Accent3 5 2 3 3 5" xfId="25436" xr:uid="{00000000-0005-0000-0000-0000E6220000}"/>
    <cellStyle name="20% - Accent3 5 2 3 4" xfId="4433" xr:uid="{00000000-0005-0000-0000-0000E7220000}"/>
    <cellStyle name="20% - Accent3 5 2 3 4 2" xfId="10083" xr:uid="{00000000-0005-0000-0000-0000E8220000}"/>
    <cellStyle name="20% - Accent3 5 2 3 4 2 2" xfId="21384" xr:uid="{00000000-0005-0000-0000-0000E9220000}"/>
    <cellStyle name="20% - Accent3 5 2 3 4 2 2 2" xfId="43986" xr:uid="{00000000-0005-0000-0000-0000EA220000}"/>
    <cellStyle name="20% - Accent3 5 2 3 4 2 3" xfId="32685" xr:uid="{00000000-0005-0000-0000-0000EB220000}"/>
    <cellStyle name="20% - Accent3 5 2 3 4 3" xfId="15734" xr:uid="{00000000-0005-0000-0000-0000EC220000}"/>
    <cellStyle name="20% - Accent3 5 2 3 4 3 2" xfId="38336" xr:uid="{00000000-0005-0000-0000-0000ED220000}"/>
    <cellStyle name="20% - Accent3 5 2 3 4 4" xfId="27035" xr:uid="{00000000-0005-0000-0000-0000EE220000}"/>
    <cellStyle name="20% - Accent3 5 2 3 5" xfId="7230" xr:uid="{00000000-0005-0000-0000-0000EF220000}"/>
    <cellStyle name="20% - Accent3 5 2 3 5 2" xfId="18531" xr:uid="{00000000-0005-0000-0000-0000F0220000}"/>
    <cellStyle name="20% - Accent3 5 2 3 5 2 2" xfId="41133" xr:uid="{00000000-0005-0000-0000-0000F1220000}"/>
    <cellStyle name="20% - Accent3 5 2 3 5 3" xfId="29832" xr:uid="{00000000-0005-0000-0000-0000F2220000}"/>
    <cellStyle name="20% - Accent3 5 2 3 6" xfId="12881" xr:uid="{00000000-0005-0000-0000-0000F3220000}"/>
    <cellStyle name="20% - Accent3 5 2 3 6 2" xfId="35483" xr:uid="{00000000-0005-0000-0000-0000F4220000}"/>
    <cellStyle name="20% - Accent3 5 2 3 7" xfId="24182" xr:uid="{00000000-0005-0000-0000-0000F5220000}"/>
    <cellStyle name="20% - Accent3 5 2 4" xfId="942" xr:uid="{00000000-0005-0000-0000-0000F6220000}"/>
    <cellStyle name="20% - Accent3 5 2 4 2" xfId="3012" xr:uid="{00000000-0005-0000-0000-0000F7220000}"/>
    <cellStyle name="20% - Accent3 5 2 4 2 2" xfId="5984" xr:uid="{00000000-0005-0000-0000-0000F8220000}"/>
    <cellStyle name="20% - Accent3 5 2 4 2 2 2" xfId="11634" xr:uid="{00000000-0005-0000-0000-0000F9220000}"/>
    <cellStyle name="20% - Accent3 5 2 4 2 2 2 2" xfId="22935" xr:uid="{00000000-0005-0000-0000-0000FA220000}"/>
    <cellStyle name="20% - Accent3 5 2 4 2 2 2 2 2" xfId="45537" xr:uid="{00000000-0005-0000-0000-0000FB220000}"/>
    <cellStyle name="20% - Accent3 5 2 4 2 2 2 3" xfId="34236" xr:uid="{00000000-0005-0000-0000-0000FC220000}"/>
    <cellStyle name="20% - Accent3 5 2 4 2 2 3" xfId="17285" xr:uid="{00000000-0005-0000-0000-0000FD220000}"/>
    <cellStyle name="20% - Accent3 5 2 4 2 2 3 2" xfId="39887" xr:uid="{00000000-0005-0000-0000-0000FE220000}"/>
    <cellStyle name="20% - Accent3 5 2 4 2 2 4" xfId="28586" xr:uid="{00000000-0005-0000-0000-0000FF220000}"/>
    <cellStyle name="20% - Accent3 5 2 4 2 3" xfId="8802" xr:uid="{00000000-0005-0000-0000-000000230000}"/>
    <cellStyle name="20% - Accent3 5 2 4 2 3 2" xfId="20103" xr:uid="{00000000-0005-0000-0000-000001230000}"/>
    <cellStyle name="20% - Accent3 5 2 4 2 3 2 2" xfId="42705" xr:uid="{00000000-0005-0000-0000-000002230000}"/>
    <cellStyle name="20% - Accent3 5 2 4 2 3 3" xfId="31404" xr:uid="{00000000-0005-0000-0000-000003230000}"/>
    <cellStyle name="20% - Accent3 5 2 4 2 4" xfId="14453" xr:uid="{00000000-0005-0000-0000-000004230000}"/>
    <cellStyle name="20% - Accent3 5 2 4 2 4 2" xfId="37055" xr:uid="{00000000-0005-0000-0000-000005230000}"/>
    <cellStyle name="20% - Accent3 5 2 4 2 5" xfId="25754" xr:uid="{00000000-0005-0000-0000-000006230000}"/>
    <cellStyle name="20% - Accent3 5 2 4 3" xfId="4750" xr:uid="{00000000-0005-0000-0000-000007230000}"/>
    <cellStyle name="20% - Accent3 5 2 4 3 2" xfId="10400" xr:uid="{00000000-0005-0000-0000-000008230000}"/>
    <cellStyle name="20% - Accent3 5 2 4 3 2 2" xfId="21701" xr:uid="{00000000-0005-0000-0000-000009230000}"/>
    <cellStyle name="20% - Accent3 5 2 4 3 2 2 2" xfId="44303" xr:uid="{00000000-0005-0000-0000-00000A230000}"/>
    <cellStyle name="20% - Accent3 5 2 4 3 2 3" xfId="33002" xr:uid="{00000000-0005-0000-0000-00000B230000}"/>
    <cellStyle name="20% - Accent3 5 2 4 3 3" xfId="16051" xr:uid="{00000000-0005-0000-0000-00000C230000}"/>
    <cellStyle name="20% - Accent3 5 2 4 3 3 2" xfId="38653" xr:uid="{00000000-0005-0000-0000-00000D230000}"/>
    <cellStyle name="20% - Accent3 5 2 4 3 4" xfId="27352" xr:uid="{00000000-0005-0000-0000-00000E230000}"/>
    <cellStyle name="20% - Accent3 5 2 4 4" xfId="6937" xr:uid="{00000000-0005-0000-0000-00000F230000}"/>
    <cellStyle name="20% - Accent3 5 2 4 4 2" xfId="18238" xr:uid="{00000000-0005-0000-0000-000010230000}"/>
    <cellStyle name="20% - Accent3 5 2 4 4 2 2" xfId="40840" xr:uid="{00000000-0005-0000-0000-000011230000}"/>
    <cellStyle name="20% - Accent3 5 2 4 4 3" xfId="29539" xr:uid="{00000000-0005-0000-0000-000012230000}"/>
    <cellStyle name="20% - Accent3 5 2 4 5" xfId="12588" xr:uid="{00000000-0005-0000-0000-000013230000}"/>
    <cellStyle name="20% - Accent3 5 2 4 5 2" xfId="35190" xr:uid="{00000000-0005-0000-0000-000014230000}"/>
    <cellStyle name="20% - Accent3 5 2 4 6" xfId="23889" xr:uid="{00000000-0005-0000-0000-000015230000}"/>
    <cellStyle name="20% - Accent3 5 2 5" xfId="1658" xr:uid="{00000000-0005-0000-0000-000016230000}"/>
    <cellStyle name="20% - Accent3 5 2 5 2" xfId="3622" xr:uid="{00000000-0005-0000-0000-000017230000}"/>
    <cellStyle name="20% - Accent3 5 2 5 2 2" xfId="9335" xr:uid="{00000000-0005-0000-0000-000018230000}"/>
    <cellStyle name="20% - Accent3 5 2 5 2 2 2" xfId="20636" xr:uid="{00000000-0005-0000-0000-000019230000}"/>
    <cellStyle name="20% - Accent3 5 2 5 2 2 2 2" xfId="43238" xr:uid="{00000000-0005-0000-0000-00001A230000}"/>
    <cellStyle name="20% - Accent3 5 2 5 2 2 3" xfId="31937" xr:uid="{00000000-0005-0000-0000-00001B230000}"/>
    <cellStyle name="20% - Accent3 5 2 5 2 3" xfId="14986" xr:uid="{00000000-0005-0000-0000-00001C230000}"/>
    <cellStyle name="20% - Accent3 5 2 5 2 3 2" xfId="37588" xr:uid="{00000000-0005-0000-0000-00001D230000}"/>
    <cellStyle name="20% - Accent3 5 2 5 2 4" xfId="26287" xr:uid="{00000000-0005-0000-0000-00001E230000}"/>
    <cellStyle name="20% - Accent3 5 2 5 3" xfId="5360" xr:uid="{00000000-0005-0000-0000-00001F230000}"/>
    <cellStyle name="20% - Accent3 5 2 5 3 2" xfId="11010" xr:uid="{00000000-0005-0000-0000-000020230000}"/>
    <cellStyle name="20% - Accent3 5 2 5 3 2 2" xfId="22311" xr:uid="{00000000-0005-0000-0000-000021230000}"/>
    <cellStyle name="20% - Accent3 5 2 5 3 2 2 2" xfId="44913" xr:uid="{00000000-0005-0000-0000-000022230000}"/>
    <cellStyle name="20% - Accent3 5 2 5 3 2 3" xfId="33612" xr:uid="{00000000-0005-0000-0000-000023230000}"/>
    <cellStyle name="20% - Accent3 5 2 5 3 3" xfId="16661" xr:uid="{00000000-0005-0000-0000-000024230000}"/>
    <cellStyle name="20% - Accent3 5 2 5 3 3 2" xfId="39263" xr:uid="{00000000-0005-0000-0000-000025230000}"/>
    <cellStyle name="20% - Accent3 5 2 5 3 4" xfId="27962" xr:uid="{00000000-0005-0000-0000-000026230000}"/>
    <cellStyle name="20% - Accent3 5 2 5 4" xfId="7514" xr:uid="{00000000-0005-0000-0000-000027230000}"/>
    <cellStyle name="20% - Accent3 5 2 5 4 2" xfId="18815" xr:uid="{00000000-0005-0000-0000-000028230000}"/>
    <cellStyle name="20% - Accent3 5 2 5 4 2 2" xfId="41417" xr:uid="{00000000-0005-0000-0000-000029230000}"/>
    <cellStyle name="20% - Accent3 5 2 5 4 3" xfId="30116" xr:uid="{00000000-0005-0000-0000-00002A230000}"/>
    <cellStyle name="20% - Accent3 5 2 5 5" xfId="13165" xr:uid="{00000000-0005-0000-0000-00002B230000}"/>
    <cellStyle name="20% - Accent3 5 2 5 5 2" xfId="35767" xr:uid="{00000000-0005-0000-0000-00002C230000}"/>
    <cellStyle name="20% - Accent3 5 2 5 6" xfId="24466" xr:uid="{00000000-0005-0000-0000-00002D230000}"/>
    <cellStyle name="20% - Accent3 5 2 6" xfId="2339" xr:uid="{00000000-0005-0000-0000-00002E230000}"/>
    <cellStyle name="20% - Accent3 5 2 6 2" xfId="8175" xr:uid="{00000000-0005-0000-0000-00002F230000}"/>
    <cellStyle name="20% - Accent3 5 2 6 2 2" xfId="19476" xr:uid="{00000000-0005-0000-0000-000030230000}"/>
    <cellStyle name="20% - Accent3 5 2 6 2 2 2" xfId="42078" xr:uid="{00000000-0005-0000-0000-000031230000}"/>
    <cellStyle name="20% - Accent3 5 2 6 2 3" xfId="30777" xr:uid="{00000000-0005-0000-0000-000032230000}"/>
    <cellStyle name="20% - Accent3 5 2 6 3" xfId="13826" xr:uid="{00000000-0005-0000-0000-000033230000}"/>
    <cellStyle name="20% - Accent3 5 2 6 3 2" xfId="36428" xr:uid="{00000000-0005-0000-0000-000034230000}"/>
    <cellStyle name="20% - Accent3 5 2 6 4" xfId="25127" xr:uid="{00000000-0005-0000-0000-000035230000}"/>
    <cellStyle name="20% - Accent3 5 2 7" xfId="4126" xr:uid="{00000000-0005-0000-0000-000036230000}"/>
    <cellStyle name="20% - Accent3 5 2 7 2" xfId="9776" xr:uid="{00000000-0005-0000-0000-000037230000}"/>
    <cellStyle name="20% - Accent3 5 2 7 2 2" xfId="21077" xr:uid="{00000000-0005-0000-0000-000038230000}"/>
    <cellStyle name="20% - Accent3 5 2 7 2 2 2" xfId="43679" xr:uid="{00000000-0005-0000-0000-000039230000}"/>
    <cellStyle name="20% - Accent3 5 2 7 2 3" xfId="32378" xr:uid="{00000000-0005-0000-0000-00003A230000}"/>
    <cellStyle name="20% - Accent3 5 2 7 3" xfId="15427" xr:uid="{00000000-0005-0000-0000-00003B230000}"/>
    <cellStyle name="20% - Accent3 5 2 7 3 2" xfId="38029" xr:uid="{00000000-0005-0000-0000-00003C230000}"/>
    <cellStyle name="20% - Accent3 5 2 7 4" xfId="26728" xr:uid="{00000000-0005-0000-0000-00003D230000}"/>
    <cellStyle name="20% - Accent3 5 2 8" xfId="6577" xr:uid="{00000000-0005-0000-0000-00003E230000}"/>
    <cellStyle name="20% - Accent3 5 2 8 2" xfId="17878" xr:uid="{00000000-0005-0000-0000-00003F230000}"/>
    <cellStyle name="20% - Accent3 5 2 8 2 2" xfId="40480" xr:uid="{00000000-0005-0000-0000-000040230000}"/>
    <cellStyle name="20% - Accent3 5 2 8 3" xfId="29179" xr:uid="{00000000-0005-0000-0000-000041230000}"/>
    <cellStyle name="20% - Accent3 5 2 9" xfId="12228" xr:uid="{00000000-0005-0000-0000-000042230000}"/>
    <cellStyle name="20% - Accent3 5 2 9 2" xfId="34830" xr:uid="{00000000-0005-0000-0000-000043230000}"/>
    <cellStyle name="20% - Accent3 5 3" xfId="582" xr:uid="{00000000-0005-0000-0000-000044230000}"/>
    <cellStyle name="20% - Accent3 5 3 2" xfId="1295" xr:uid="{00000000-0005-0000-0000-000045230000}"/>
    <cellStyle name="20% - Accent3 5 3 2 2" xfId="1663" xr:uid="{00000000-0005-0000-0000-000046230000}"/>
    <cellStyle name="20% - Accent3 5 3 2 2 2" xfId="3364" xr:uid="{00000000-0005-0000-0000-000047230000}"/>
    <cellStyle name="20% - Accent3 5 3 2 2 2 2" xfId="6336" xr:uid="{00000000-0005-0000-0000-000048230000}"/>
    <cellStyle name="20% - Accent3 5 3 2 2 2 2 2" xfId="11986" xr:uid="{00000000-0005-0000-0000-000049230000}"/>
    <cellStyle name="20% - Accent3 5 3 2 2 2 2 2 2" xfId="23287" xr:uid="{00000000-0005-0000-0000-00004A230000}"/>
    <cellStyle name="20% - Accent3 5 3 2 2 2 2 2 2 2" xfId="45889" xr:uid="{00000000-0005-0000-0000-00004B230000}"/>
    <cellStyle name="20% - Accent3 5 3 2 2 2 2 2 3" xfId="34588" xr:uid="{00000000-0005-0000-0000-00004C230000}"/>
    <cellStyle name="20% - Accent3 5 3 2 2 2 2 3" xfId="17637" xr:uid="{00000000-0005-0000-0000-00004D230000}"/>
    <cellStyle name="20% - Accent3 5 3 2 2 2 2 3 2" xfId="40239" xr:uid="{00000000-0005-0000-0000-00004E230000}"/>
    <cellStyle name="20% - Accent3 5 3 2 2 2 2 4" xfId="28938" xr:uid="{00000000-0005-0000-0000-00004F230000}"/>
    <cellStyle name="20% - Accent3 5 3 2 2 2 3" xfId="9154" xr:uid="{00000000-0005-0000-0000-000050230000}"/>
    <cellStyle name="20% - Accent3 5 3 2 2 2 3 2" xfId="20455" xr:uid="{00000000-0005-0000-0000-000051230000}"/>
    <cellStyle name="20% - Accent3 5 3 2 2 2 3 2 2" xfId="43057" xr:uid="{00000000-0005-0000-0000-000052230000}"/>
    <cellStyle name="20% - Accent3 5 3 2 2 2 3 3" xfId="31756" xr:uid="{00000000-0005-0000-0000-000053230000}"/>
    <cellStyle name="20% - Accent3 5 3 2 2 2 4" xfId="14805" xr:uid="{00000000-0005-0000-0000-000054230000}"/>
    <cellStyle name="20% - Accent3 5 3 2 2 2 4 2" xfId="37407" xr:uid="{00000000-0005-0000-0000-000055230000}"/>
    <cellStyle name="20% - Accent3 5 3 2 2 2 5" xfId="26106" xr:uid="{00000000-0005-0000-0000-000056230000}"/>
    <cellStyle name="20% - Accent3 5 3 2 2 3" xfId="5102" xr:uid="{00000000-0005-0000-0000-000057230000}"/>
    <cellStyle name="20% - Accent3 5 3 2 2 3 2" xfId="10752" xr:uid="{00000000-0005-0000-0000-000058230000}"/>
    <cellStyle name="20% - Accent3 5 3 2 2 3 2 2" xfId="22053" xr:uid="{00000000-0005-0000-0000-000059230000}"/>
    <cellStyle name="20% - Accent3 5 3 2 2 3 2 2 2" xfId="44655" xr:uid="{00000000-0005-0000-0000-00005A230000}"/>
    <cellStyle name="20% - Accent3 5 3 2 2 3 2 3" xfId="33354" xr:uid="{00000000-0005-0000-0000-00005B230000}"/>
    <cellStyle name="20% - Accent3 5 3 2 2 3 3" xfId="16403" xr:uid="{00000000-0005-0000-0000-00005C230000}"/>
    <cellStyle name="20% - Accent3 5 3 2 2 3 3 2" xfId="39005" xr:uid="{00000000-0005-0000-0000-00005D230000}"/>
    <cellStyle name="20% - Accent3 5 3 2 2 3 4" xfId="27704" xr:uid="{00000000-0005-0000-0000-00005E230000}"/>
    <cellStyle name="20% - Accent3 5 3 2 2 4" xfId="7519" xr:uid="{00000000-0005-0000-0000-00005F230000}"/>
    <cellStyle name="20% - Accent3 5 3 2 2 4 2" xfId="18820" xr:uid="{00000000-0005-0000-0000-000060230000}"/>
    <cellStyle name="20% - Accent3 5 3 2 2 4 2 2" xfId="41422" xr:uid="{00000000-0005-0000-0000-000061230000}"/>
    <cellStyle name="20% - Accent3 5 3 2 2 4 3" xfId="30121" xr:uid="{00000000-0005-0000-0000-000062230000}"/>
    <cellStyle name="20% - Accent3 5 3 2 2 5" xfId="13170" xr:uid="{00000000-0005-0000-0000-000063230000}"/>
    <cellStyle name="20% - Accent3 5 3 2 2 5 2" xfId="35772" xr:uid="{00000000-0005-0000-0000-000064230000}"/>
    <cellStyle name="20% - Accent3 5 3 2 2 6" xfId="24471" xr:uid="{00000000-0005-0000-0000-000065230000}"/>
    <cellStyle name="20% - Accent3 5 3 2 3" xfId="2693" xr:uid="{00000000-0005-0000-0000-000066230000}"/>
    <cellStyle name="20% - Accent3 5 3 2 3 2" xfId="5712" xr:uid="{00000000-0005-0000-0000-000067230000}"/>
    <cellStyle name="20% - Accent3 5 3 2 3 2 2" xfId="11362" xr:uid="{00000000-0005-0000-0000-000068230000}"/>
    <cellStyle name="20% - Accent3 5 3 2 3 2 2 2" xfId="22663" xr:uid="{00000000-0005-0000-0000-000069230000}"/>
    <cellStyle name="20% - Accent3 5 3 2 3 2 2 2 2" xfId="45265" xr:uid="{00000000-0005-0000-0000-00006A230000}"/>
    <cellStyle name="20% - Accent3 5 3 2 3 2 2 3" xfId="33964" xr:uid="{00000000-0005-0000-0000-00006B230000}"/>
    <cellStyle name="20% - Accent3 5 3 2 3 2 3" xfId="17013" xr:uid="{00000000-0005-0000-0000-00006C230000}"/>
    <cellStyle name="20% - Accent3 5 3 2 3 2 3 2" xfId="39615" xr:uid="{00000000-0005-0000-0000-00006D230000}"/>
    <cellStyle name="20% - Accent3 5 3 2 3 2 4" xfId="28314" xr:uid="{00000000-0005-0000-0000-00006E230000}"/>
    <cellStyle name="20% - Accent3 5 3 2 3 3" xfId="8529" xr:uid="{00000000-0005-0000-0000-00006F230000}"/>
    <cellStyle name="20% - Accent3 5 3 2 3 3 2" xfId="19830" xr:uid="{00000000-0005-0000-0000-000070230000}"/>
    <cellStyle name="20% - Accent3 5 3 2 3 3 2 2" xfId="42432" xr:uid="{00000000-0005-0000-0000-000071230000}"/>
    <cellStyle name="20% - Accent3 5 3 2 3 3 3" xfId="31131" xr:uid="{00000000-0005-0000-0000-000072230000}"/>
    <cellStyle name="20% - Accent3 5 3 2 3 4" xfId="14180" xr:uid="{00000000-0005-0000-0000-000073230000}"/>
    <cellStyle name="20% - Accent3 5 3 2 3 4 2" xfId="36782" xr:uid="{00000000-0005-0000-0000-000074230000}"/>
    <cellStyle name="20% - Accent3 5 3 2 3 5" xfId="25481" xr:uid="{00000000-0005-0000-0000-000075230000}"/>
    <cellStyle name="20% - Accent3 5 3 2 4" xfId="4478" xr:uid="{00000000-0005-0000-0000-000076230000}"/>
    <cellStyle name="20% - Accent3 5 3 2 4 2" xfId="10128" xr:uid="{00000000-0005-0000-0000-000077230000}"/>
    <cellStyle name="20% - Accent3 5 3 2 4 2 2" xfId="21429" xr:uid="{00000000-0005-0000-0000-000078230000}"/>
    <cellStyle name="20% - Accent3 5 3 2 4 2 2 2" xfId="44031" xr:uid="{00000000-0005-0000-0000-000079230000}"/>
    <cellStyle name="20% - Accent3 5 3 2 4 2 3" xfId="32730" xr:uid="{00000000-0005-0000-0000-00007A230000}"/>
    <cellStyle name="20% - Accent3 5 3 2 4 3" xfId="15779" xr:uid="{00000000-0005-0000-0000-00007B230000}"/>
    <cellStyle name="20% - Accent3 5 3 2 4 3 2" xfId="38381" xr:uid="{00000000-0005-0000-0000-00007C230000}"/>
    <cellStyle name="20% - Accent3 5 3 2 4 4" xfId="27080" xr:uid="{00000000-0005-0000-0000-00007D230000}"/>
    <cellStyle name="20% - Accent3 5 3 2 5" xfId="7274" xr:uid="{00000000-0005-0000-0000-00007E230000}"/>
    <cellStyle name="20% - Accent3 5 3 2 5 2" xfId="18575" xr:uid="{00000000-0005-0000-0000-00007F230000}"/>
    <cellStyle name="20% - Accent3 5 3 2 5 2 2" xfId="41177" xr:uid="{00000000-0005-0000-0000-000080230000}"/>
    <cellStyle name="20% - Accent3 5 3 2 5 3" xfId="29876" xr:uid="{00000000-0005-0000-0000-000081230000}"/>
    <cellStyle name="20% - Accent3 5 3 2 6" xfId="12925" xr:uid="{00000000-0005-0000-0000-000082230000}"/>
    <cellStyle name="20% - Accent3 5 3 2 6 2" xfId="35527" xr:uid="{00000000-0005-0000-0000-000083230000}"/>
    <cellStyle name="20% - Accent3 5 3 2 7" xfId="24226" xr:uid="{00000000-0005-0000-0000-000084230000}"/>
    <cellStyle name="20% - Accent3 5 3 3" xfId="993" xr:uid="{00000000-0005-0000-0000-000085230000}"/>
    <cellStyle name="20% - Accent3 5 3 3 2" xfId="3056" xr:uid="{00000000-0005-0000-0000-000086230000}"/>
    <cellStyle name="20% - Accent3 5 3 3 2 2" xfId="6028" xr:uid="{00000000-0005-0000-0000-000087230000}"/>
    <cellStyle name="20% - Accent3 5 3 3 2 2 2" xfId="11678" xr:uid="{00000000-0005-0000-0000-000088230000}"/>
    <cellStyle name="20% - Accent3 5 3 3 2 2 2 2" xfId="22979" xr:uid="{00000000-0005-0000-0000-000089230000}"/>
    <cellStyle name="20% - Accent3 5 3 3 2 2 2 2 2" xfId="45581" xr:uid="{00000000-0005-0000-0000-00008A230000}"/>
    <cellStyle name="20% - Accent3 5 3 3 2 2 2 3" xfId="34280" xr:uid="{00000000-0005-0000-0000-00008B230000}"/>
    <cellStyle name="20% - Accent3 5 3 3 2 2 3" xfId="17329" xr:uid="{00000000-0005-0000-0000-00008C230000}"/>
    <cellStyle name="20% - Accent3 5 3 3 2 2 3 2" xfId="39931" xr:uid="{00000000-0005-0000-0000-00008D230000}"/>
    <cellStyle name="20% - Accent3 5 3 3 2 2 4" xfId="28630" xr:uid="{00000000-0005-0000-0000-00008E230000}"/>
    <cellStyle name="20% - Accent3 5 3 3 2 3" xfId="8846" xr:uid="{00000000-0005-0000-0000-00008F230000}"/>
    <cellStyle name="20% - Accent3 5 3 3 2 3 2" xfId="20147" xr:uid="{00000000-0005-0000-0000-000090230000}"/>
    <cellStyle name="20% - Accent3 5 3 3 2 3 2 2" xfId="42749" xr:uid="{00000000-0005-0000-0000-000091230000}"/>
    <cellStyle name="20% - Accent3 5 3 3 2 3 3" xfId="31448" xr:uid="{00000000-0005-0000-0000-000092230000}"/>
    <cellStyle name="20% - Accent3 5 3 3 2 4" xfId="14497" xr:uid="{00000000-0005-0000-0000-000093230000}"/>
    <cellStyle name="20% - Accent3 5 3 3 2 4 2" xfId="37099" xr:uid="{00000000-0005-0000-0000-000094230000}"/>
    <cellStyle name="20% - Accent3 5 3 3 2 5" xfId="25798" xr:uid="{00000000-0005-0000-0000-000095230000}"/>
    <cellStyle name="20% - Accent3 5 3 3 3" xfId="4794" xr:uid="{00000000-0005-0000-0000-000096230000}"/>
    <cellStyle name="20% - Accent3 5 3 3 3 2" xfId="10444" xr:uid="{00000000-0005-0000-0000-000097230000}"/>
    <cellStyle name="20% - Accent3 5 3 3 3 2 2" xfId="21745" xr:uid="{00000000-0005-0000-0000-000098230000}"/>
    <cellStyle name="20% - Accent3 5 3 3 3 2 2 2" xfId="44347" xr:uid="{00000000-0005-0000-0000-000099230000}"/>
    <cellStyle name="20% - Accent3 5 3 3 3 2 3" xfId="33046" xr:uid="{00000000-0005-0000-0000-00009A230000}"/>
    <cellStyle name="20% - Accent3 5 3 3 3 3" xfId="16095" xr:uid="{00000000-0005-0000-0000-00009B230000}"/>
    <cellStyle name="20% - Accent3 5 3 3 3 3 2" xfId="38697" xr:uid="{00000000-0005-0000-0000-00009C230000}"/>
    <cellStyle name="20% - Accent3 5 3 3 3 4" xfId="27396" xr:uid="{00000000-0005-0000-0000-00009D230000}"/>
    <cellStyle name="20% - Accent3 5 3 3 4" xfId="6981" xr:uid="{00000000-0005-0000-0000-00009E230000}"/>
    <cellStyle name="20% - Accent3 5 3 3 4 2" xfId="18282" xr:uid="{00000000-0005-0000-0000-00009F230000}"/>
    <cellStyle name="20% - Accent3 5 3 3 4 2 2" xfId="40884" xr:uid="{00000000-0005-0000-0000-0000A0230000}"/>
    <cellStyle name="20% - Accent3 5 3 3 4 3" xfId="29583" xr:uid="{00000000-0005-0000-0000-0000A1230000}"/>
    <cellStyle name="20% - Accent3 5 3 3 5" xfId="12632" xr:uid="{00000000-0005-0000-0000-0000A2230000}"/>
    <cellStyle name="20% - Accent3 5 3 3 5 2" xfId="35234" xr:uid="{00000000-0005-0000-0000-0000A3230000}"/>
    <cellStyle name="20% - Accent3 5 3 3 6" xfId="23933" xr:uid="{00000000-0005-0000-0000-0000A4230000}"/>
    <cellStyle name="20% - Accent3 5 3 4" xfId="1662" xr:uid="{00000000-0005-0000-0000-0000A5230000}"/>
    <cellStyle name="20% - Accent3 5 3 4 2" xfId="3624" xr:uid="{00000000-0005-0000-0000-0000A6230000}"/>
    <cellStyle name="20% - Accent3 5 3 4 2 2" xfId="9337" xr:uid="{00000000-0005-0000-0000-0000A7230000}"/>
    <cellStyle name="20% - Accent3 5 3 4 2 2 2" xfId="20638" xr:uid="{00000000-0005-0000-0000-0000A8230000}"/>
    <cellStyle name="20% - Accent3 5 3 4 2 2 2 2" xfId="43240" xr:uid="{00000000-0005-0000-0000-0000A9230000}"/>
    <cellStyle name="20% - Accent3 5 3 4 2 2 3" xfId="31939" xr:uid="{00000000-0005-0000-0000-0000AA230000}"/>
    <cellStyle name="20% - Accent3 5 3 4 2 3" xfId="14988" xr:uid="{00000000-0005-0000-0000-0000AB230000}"/>
    <cellStyle name="20% - Accent3 5 3 4 2 3 2" xfId="37590" xr:uid="{00000000-0005-0000-0000-0000AC230000}"/>
    <cellStyle name="20% - Accent3 5 3 4 2 4" xfId="26289" xr:uid="{00000000-0005-0000-0000-0000AD230000}"/>
    <cellStyle name="20% - Accent3 5 3 4 3" xfId="5404" xr:uid="{00000000-0005-0000-0000-0000AE230000}"/>
    <cellStyle name="20% - Accent3 5 3 4 3 2" xfId="11054" xr:uid="{00000000-0005-0000-0000-0000AF230000}"/>
    <cellStyle name="20% - Accent3 5 3 4 3 2 2" xfId="22355" xr:uid="{00000000-0005-0000-0000-0000B0230000}"/>
    <cellStyle name="20% - Accent3 5 3 4 3 2 2 2" xfId="44957" xr:uid="{00000000-0005-0000-0000-0000B1230000}"/>
    <cellStyle name="20% - Accent3 5 3 4 3 2 3" xfId="33656" xr:uid="{00000000-0005-0000-0000-0000B2230000}"/>
    <cellStyle name="20% - Accent3 5 3 4 3 3" xfId="16705" xr:uid="{00000000-0005-0000-0000-0000B3230000}"/>
    <cellStyle name="20% - Accent3 5 3 4 3 3 2" xfId="39307" xr:uid="{00000000-0005-0000-0000-0000B4230000}"/>
    <cellStyle name="20% - Accent3 5 3 4 3 4" xfId="28006" xr:uid="{00000000-0005-0000-0000-0000B5230000}"/>
    <cellStyle name="20% - Accent3 5 3 4 4" xfId="7518" xr:uid="{00000000-0005-0000-0000-0000B6230000}"/>
    <cellStyle name="20% - Accent3 5 3 4 4 2" xfId="18819" xr:uid="{00000000-0005-0000-0000-0000B7230000}"/>
    <cellStyle name="20% - Accent3 5 3 4 4 2 2" xfId="41421" xr:uid="{00000000-0005-0000-0000-0000B8230000}"/>
    <cellStyle name="20% - Accent3 5 3 4 4 3" xfId="30120" xr:uid="{00000000-0005-0000-0000-0000B9230000}"/>
    <cellStyle name="20% - Accent3 5 3 4 5" xfId="13169" xr:uid="{00000000-0005-0000-0000-0000BA230000}"/>
    <cellStyle name="20% - Accent3 5 3 4 5 2" xfId="35771" xr:uid="{00000000-0005-0000-0000-0000BB230000}"/>
    <cellStyle name="20% - Accent3 5 3 4 6" xfId="24470" xr:uid="{00000000-0005-0000-0000-0000BC230000}"/>
    <cellStyle name="20% - Accent3 5 3 5" xfId="2385" xr:uid="{00000000-0005-0000-0000-0000BD230000}"/>
    <cellStyle name="20% - Accent3 5 3 5 2" xfId="8221" xr:uid="{00000000-0005-0000-0000-0000BE230000}"/>
    <cellStyle name="20% - Accent3 5 3 5 2 2" xfId="19522" xr:uid="{00000000-0005-0000-0000-0000BF230000}"/>
    <cellStyle name="20% - Accent3 5 3 5 2 2 2" xfId="42124" xr:uid="{00000000-0005-0000-0000-0000C0230000}"/>
    <cellStyle name="20% - Accent3 5 3 5 2 3" xfId="30823" xr:uid="{00000000-0005-0000-0000-0000C1230000}"/>
    <cellStyle name="20% - Accent3 5 3 5 3" xfId="13872" xr:uid="{00000000-0005-0000-0000-0000C2230000}"/>
    <cellStyle name="20% - Accent3 5 3 5 3 2" xfId="36474" xr:uid="{00000000-0005-0000-0000-0000C3230000}"/>
    <cellStyle name="20% - Accent3 5 3 5 4" xfId="25173" xr:uid="{00000000-0005-0000-0000-0000C4230000}"/>
    <cellStyle name="20% - Accent3 5 3 6" xfId="4170" xr:uid="{00000000-0005-0000-0000-0000C5230000}"/>
    <cellStyle name="20% - Accent3 5 3 6 2" xfId="9820" xr:uid="{00000000-0005-0000-0000-0000C6230000}"/>
    <cellStyle name="20% - Accent3 5 3 6 2 2" xfId="21121" xr:uid="{00000000-0005-0000-0000-0000C7230000}"/>
    <cellStyle name="20% - Accent3 5 3 6 2 2 2" xfId="43723" xr:uid="{00000000-0005-0000-0000-0000C8230000}"/>
    <cellStyle name="20% - Accent3 5 3 6 2 3" xfId="32422" xr:uid="{00000000-0005-0000-0000-0000C9230000}"/>
    <cellStyle name="20% - Accent3 5 3 6 3" xfId="15471" xr:uid="{00000000-0005-0000-0000-0000CA230000}"/>
    <cellStyle name="20% - Accent3 5 3 6 3 2" xfId="38073" xr:uid="{00000000-0005-0000-0000-0000CB230000}"/>
    <cellStyle name="20% - Accent3 5 3 6 4" xfId="26772" xr:uid="{00000000-0005-0000-0000-0000CC230000}"/>
    <cellStyle name="20% - Accent3 5 3 7" xfId="6648" xr:uid="{00000000-0005-0000-0000-0000CD230000}"/>
    <cellStyle name="20% - Accent3 5 3 7 2" xfId="17949" xr:uid="{00000000-0005-0000-0000-0000CE230000}"/>
    <cellStyle name="20% - Accent3 5 3 7 2 2" xfId="40551" xr:uid="{00000000-0005-0000-0000-0000CF230000}"/>
    <cellStyle name="20% - Accent3 5 3 7 3" xfId="29250" xr:uid="{00000000-0005-0000-0000-0000D0230000}"/>
    <cellStyle name="20% - Accent3 5 3 8" xfId="12299" xr:uid="{00000000-0005-0000-0000-0000D1230000}"/>
    <cellStyle name="20% - Accent3 5 3 8 2" xfId="34901" xr:uid="{00000000-0005-0000-0000-0000D2230000}"/>
    <cellStyle name="20% - Accent3 5 3 9" xfId="23600" xr:uid="{00000000-0005-0000-0000-0000D3230000}"/>
    <cellStyle name="20% - Accent3 5 4" xfId="1155" xr:uid="{00000000-0005-0000-0000-0000D4230000}"/>
    <cellStyle name="20% - Accent3 5 4 2" xfId="1664" xr:uid="{00000000-0005-0000-0000-0000D5230000}"/>
    <cellStyle name="20% - Accent3 5 4 2 2" xfId="3223" xr:uid="{00000000-0005-0000-0000-0000D6230000}"/>
    <cellStyle name="20% - Accent3 5 4 2 2 2" xfId="6195" xr:uid="{00000000-0005-0000-0000-0000D7230000}"/>
    <cellStyle name="20% - Accent3 5 4 2 2 2 2" xfId="11845" xr:uid="{00000000-0005-0000-0000-0000D8230000}"/>
    <cellStyle name="20% - Accent3 5 4 2 2 2 2 2" xfId="23146" xr:uid="{00000000-0005-0000-0000-0000D9230000}"/>
    <cellStyle name="20% - Accent3 5 4 2 2 2 2 2 2" xfId="45748" xr:uid="{00000000-0005-0000-0000-0000DA230000}"/>
    <cellStyle name="20% - Accent3 5 4 2 2 2 2 3" xfId="34447" xr:uid="{00000000-0005-0000-0000-0000DB230000}"/>
    <cellStyle name="20% - Accent3 5 4 2 2 2 3" xfId="17496" xr:uid="{00000000-0005-0000-0000-0000DC230000}"/>
    <cellStyle name="20% - Accent3 5 4 2 2 2 3 2" xfId="40098" xr:uid="{00000000-0005-0000-0000-0000DD230000}"/>
    <cellStyle name="20% - Accent3 5 4 2 2 2 4" xfId="28797" xr:uid="{00000000-0005-0000-0000-0000DE230000}"/>
    <cellStyle name="20% - Accent3 5 4 2 2 3" xfId="9013" xr:uid="{00000000-0005-0000-0000-0000DF230000}"/>
    <cellStyle name="20% - Accent3 5 4 2 2 3 2" xfId="20314" xr:uid="{00000000-0005-0000-0000-0000E0230000}"/>
    <cellStyle name="20% - Accent3 5 4 2 2 3 2 2" xfId="42916" xr:uid="{00000000-0005-0000-0000-0000E1230000}"/>
    <cellStyle name="20% - Accent3 5 4 2 2 3 3" xfId="31615" xr:uid="{00000000-0005-0000-0000-0000E2230000}"/>
    <cellStyle name="20% - Accent3 5 4 2 2 4" xfId="14664" xr:uid="{00000000-0005-0000-0000-0000E3230000}"/>
    <cellStyle name="20% - Accent3 5 4 2 2 4 2" xfId="37266" xr:uid="{00000000-0005-0000-0000-0000E4230000}"/>
    <cellStyle name="20% - Accent3 5 4 2 2 5" xfId="25965" xr:uid="{00000000-0005-0000-0000-0000E5230000}"/>
    <cellStyle name="20% - Accent3 5 4 2 3" xfId="4961" xr:uid="{00000000-0005-0000-0000-0000E6230000}"/>
    <cellStyle name="20% - Accent3 5 4 2 3 2" xfId="10611" xr:uid="{00000000-0005-0000-0000-0000E7230000}"/>
    <cellStyle name="20% - Accent3 5 4 2 3 2 2" xfId="21912" xr:uid="{00000000-0005-0000-0000-0000E8230000}"/>
    <cellStyle name="20% - Accent3 5 4 2 3 2 2 2" xfId="44514" xr:uid="{00000000-0005-0000-0000-0000E9230000}"/>
    <cellStyle name="20% - Accent3 5 4 2 3 2 3" xfId="33213" xr:uid="{00000000-0005-0000-0000-0000EA230000}"/>
    <cellStyle name="20% - Accent3 5 4 2 3 3" xfId="16262" xr:uid="{00000000-0005-0000-0000-0000EB230000}"/>
    <cellStyle name="20% - Accent3 5 4 2 3 3 2" xfId="38864" xr:uid="{00000000-0005-0000-0000-0000EC230000}"/>
    <cellStyle name="20% - Accent3 5 4 2 3 4" xfId="27563" xr:uid="{00000000-0005-0000-0000-0000ED230000}"/>
    <cellStyle name="20% - Accent3 5 4 2 4" xfId="7520" xr:uid="{00000000-0005-0000-0000-0000EE230000}"/>
    <cellStyle name="20% - Accent3 5 4 2 4 2" xfId="18821" xr:uid="{00000000-0005-0000-0000-0000EF230000}"/>
    <cellStyle name="20% - Accent3 5 4 2 4 2 2" xfId="41423" xr:uid="{00000000-0005-0000-0000-0000F0230000}"/>
    <cellStyle name="20% - Accent3 5 4 2 4 3" xfId="30122" xr:uid="{00000000-0005-0000-0000-0000F1230000}"/>
    <cellStyle name="20% - Accent3 5 4 2 5" xfId="13171" xr:uid="{00000000-0005-0000-0000-0000F2230000}"/>
    <cellStyle name="20% - Accent3 5 4 2 5 2" xfId="35773" xr:uid="{00000000-0005-0000-0000-0000F3230000}"/>
    <cellStyle name="20% - Accent3 5 4 2 6" xfId="24472" xr:uid="{00000000-0005-0000-0000-0000F4230000}"/>
    <cellStyle name="20% - Accent3 5 4 3" xfId="2552" xr:uid="{00000000-0005-0000-0000-0000F5230000}"/>
    <cellStyle name="20% - Accent3 5 4 3 2" xfId="5571" xr:uid="{00000000-0005-0000-0000-0000F6230000}"/>
    <cellStyle name="20% - Accent3 5 4 3 2 2" xfId="11221" xr:uid="{00000000-0005-0000-0000-0000F7230000}"/>
    <cellStyle name="20% - Accent3 5 4 3 2 2 2" xfId="22522" xr:uid="{00000000-0005-0000-0000-0000F8230000}"/>
    <cellStyle name="20% - Accent3 5 4 3 2 2 2 2" xfId="45124" xr:uid="{00000000-0005-0000-0000-0000F9230000}"/>
    <cellStyle name="20% - Accent3 5 4 3 2 2 3" xfId="33823" xr:uid="{00000000-0005-0000-0000-0000FA230000}"/>
    <cellStyle name="20% - Accent3 5 4 3 2 3" xfId="16872" xr:uid="{00000000-0005-0000-0000-0000FB230000}"/>
    <cellStyle name="20% - Accent3 5 4 3 2 3 2" xfId="39474" xr:uid="{00000000-0005-0000-0000-0000FC230000}"/>
    <cellStyle name="20% - Accent3 5 4 3 2 4" xfId="28173" xr:uid="{00000000-0005-0000-0000-0000FD230000}"/>
    <cellStyle name="20% - Accent3 5 4 3 3" xfId="8388" xr:uid="{00000000-0005-0000-0000-0000FE230000}"/>
    <cellStyle name="20% - Accent3 5 4 3 3 2" xfId="19689" xr:uid="{00000000-0005-0000-0000-0000FF230000}"/>
    <cellStyle name="20% - Accent3 5 4 3 3 2 2" xfId="42291" xr:uid="{00000000-0005-0000-0000-000000240000}"/>
    <cellStyle name="20% - Accent3 5 4 3 3 3" xfId="30990" xr:uid="{00000000-0005-0000-0000-000001240000}"/>
    <cellStyle name="20% - Accent3 5 4 3 4" xfId="14039" xr:uid="{00000000-0005-0000-0000-000002240000}"/>
    <cellStyle name="20% - Accent3 5 4 3 4 2" xfId="36641" xr:uid="{00000000-0005-0000-0000-000003240000}"/>
    <cellStyle name="20% - Accent3 5 4 3 5" xfId="25340" xr:uid="{00000000-0005-0000-0000-000004240000}"/>
    <cellStyle name="20% - Accent3 5 4 4" xfId="4337" xr:uid="{00000000-0005-0000-0000-000005240000}"/>
    <cellStyle name="20% - Accent3 5 4 4 2" xfId="9987" xr:uid="{00000000-0005-0000-0000-000006240000}"/>
    <cellStyle name="20% - Accent3 5 4 4 2 2" xfId="21288" xr:uid="{00000000-0005-0000-0000-000007240000}"/>
    <cellStyle name="20% - Accent3 5 4 4 2 2 2" xfId="43890" xr:uid="{00000000-0005-0000-0000-000008240000}"/>
    <cellStyle name="20% - Accent3 5 4 4 2 3" xfId="32589" xr:uid="{00000000-0005-0000-0000-000009240000}"/>
    <cellStyle name="20% - Accent3 5 4 4 3" xfId="15638" xr:uid="{00000000-0005-0000-0000-00000A240000}"/>
    <cellStyle name="20% - Accent3 5 4 4 3 2" xfId="38240" xr:uid="{00000000-0005-0000-0000-00000B240000}"/>
    <cellStyle name="20% - Accent3 5 4 4 4" xfId="26939" xr:uid="{00000000-0005-0000-0000-00000C240000}"/>
    <cellStyle name="20% - Accent3 5 4 5" xfId="7134" xr:uid="{00000000-0005-0000-0000-00000D240000}"/>
    <cellStyle name="20% - Accent3 5 4 5 2" xfId="18435" xr:uid="{00000000-0005-0000-0000-00000E240000}"/>
    <cellStyle name="20% - Accent3 5 4 5 2 2" xfId="41037" xr:uid="{00000000-0005-0000-0000-00000F240000}"/>
    <cellStyle name="20% - Accent3 5 4 5 3" xfId="29736" xr:uid="{00000000-0005-0000-0000-000010240000}"/>
    <cellStyle name="20% - Accent3 5 4 6" xfId="12785" xr:uid="{00000000-0005-0000-0000-000011240000}"/>
    <cellStyle name="20% - Accent3 5 4 6 2" xfId="35387" xr:uid="{00000000-0005-0000-0000-000012240000}"/>
    <cellStyle name="20% - Accent3 5 4 7" xfId="24086" xr:uid="{00000000-0005-0000-0000-000013240000}"/>
    <cellStyle name="20% - Accent3 5 5" xfId="835" xr:uid="{00000000-0005-0000-0000-000014240000}"/>
    <cellStyle name="20% - Accent3 5 5 2" xfId="2916" xr:uid="{00000000-0005-0000-0000-000015240000}"/>
    <cellStyle name="20% - Accent3 5 5 2 2" xfId="5888" xr:uid="{00000000-0005-0000-0000-000016240000}"/>
    <cellStyle name="20% - Accent3 5 5 2 2 2" xfId="11538" xr:uid="{00000000-0005-0000-0000-000017240000}"/>
    <cellStyle name="20% - Accent3 5 5 2 2 2 2" xfId="22839" xr:uid="{00000000-0005-0000-0000-000018240000}"/>
    <cellStyle name="20% - Accent3 5 5 2 2 2 2 2" xfId="45441" xr:uid="{00000000-0005-0000-0000-000019240000}"/>
    <cellStyle name="20% - Accent3 5 5 2 2 2 3" xfId="34140" xr:uid="{00000000-0005-0000-0000-00001A240000}"/>
    <cellStyle name="20% - Accent3 5 5 2 2 3" xfId="17189" xr:uid="{00000000-0005-0000-0000-00001B240000}"/>
    <cellStyle name="20% - Accent3 5 5 2 2 3 2" xfId="39791" xr:uid="{00000000-0005-0000-0000-00001C240000}"/>
    <cellStyle name="20% - Accent3 5 5 2 2 4" xfId="28490" xr:uid="{00000000-0005-0000-0000-00001D240000}"/>
    <cellStyle name="20% - Accent3 5 5 2 3" xfId="8706" xr:uid="{00000000-0005-0000-0000-00001E240000}"/>
    <cellStyle name="20% - Accent3 5 5 2 3 2" xfId="20007" xr:uid="{00000000-0005-0000-0000-00001F240000}"/>
    <cellStyle name="20% - Accent3 5 5 2 3 2 2" xfId="42609" xr:uid="{00000000-0005-0000-0000-000020240000}"/>
    <cellStyle name="20% - Accent3 5 5 2 3 3" xfId="31308" xr:uid="{00000000-0005-0000-0000-000021240000}"/>
    <cellStyle name="20% - Accent3 5 5 2 4" xfId="14357" xr:uid="{00000000-0005-0000-0000-000022240000}"/>
    <cellStyle name="20% - Accent3 5 5 2 4 2" xfId="36959" xr:uid="{00000000-0005-0000-0000-000023240000}"/>
    <cellStyle name="20% - Accent3 5 5 2 5" xfId="25658" xr:uid="{00000000-0005-0000-0000-000024240000}"/>
    <cellStyle name="20% - Accent3 5 5 3" xfId="4654" xr:uid="{00000000-0005-0000-0000-000025240000}"/>
    <cellStyle name="20% - Accent3 5 5 3 2" xfId="10304" xr:uid="{00000000-0005-0000-0000-000026240000}"/>
    <cellStyle name="20% - Accent3 5 5 3 2 2" xfId="21605" xr:uid="{00000000-0005-0000-0000-000027240000}"/>
    <cellStyle name="20% - Accent3 5 5 3 2 2 2" xfId="44207" xr:uid="{00000000-0005-0000-0000-000028240000}"/>
    <cellStyle name="20% - Accent3 5 5 3 2 3" xfId="32906" xr:uid="{00000000-0005-0000-0000-000029240000}"/>
    <cellStyle name="20% - Accent3 5 5 3 3" xfId="15955" xr:uid="{00000000-0005-0000-0000-00002A240000}"/>
    <cellStyle name="20% - Accent3 5 5 3 3 2" xfId="38557" xr:uid="{00000000-0005-0000-0000-00002B240000}"/>
    <cellStyle name="20% - Accent3 5 5 3 4" xfId="27256" xr:uid="{00000000-0005-0000-0000-00002C240000}"/>
    <cellStyle name="20% - Accent3 5 5 4" xfId="6840" xr:uid="{00000000-0005-0000-0000-00002D240000}"/>
    <cellStyle name="20% - Accent3 5 5 4 2" xfId="18141" xr:uid="{00000000-0005-0000-0000-00002E240000}"/>
    <cellStyle name="20% - Accent3 5 5 4 2 2" xfId="40743" xr:uid="{00000000-0005-0000-0000-00002F240000}"/>
    <cellStyle name="20% - Accent3 5 5 4 3" xfId="29442" xr:uid="{00000000-0005-0000-0000-000030240000}"/>
    <cellStyle name="20% - Accent3 5 5 5" xfId="12491" xr:uid="{00000000-0005-0000-0000-000031240000}"/>
    <cellStyle name="20% - Accent3 5 5 5 2" xfId="35093" xr:uid="{00000000-0005-0000-0000-000032240000}"/>
    <cellStyle name="20% - Accent3 5 5 6" xfId="23792" xr:uid="{00000000-0005-0000-0000-000033240000}"/>
    <cellStyle name="20% - Accent3 5 6" xfId="1657" xr:uid="{00000000-0005-0000-0000-000034240000}"/>
    <cellStyle name="20% - Accent3 5 6 2" xfId="3621" xr:uid="{00000000-0005-0000-0000-000035240000}"/>
    <cellStyle name="20% - Accent3 5 6 2 2" xfId="9334" xr:uid="{00000000-0005-0000-0000-000036240000}"/>
    <cellStyle name="20% - Accent3 5 6 2 2 2" xfId="20635" xr:uid="{00000000-0005-0000-0000-000037240000}"/>
    <cellStyle name="20% - Accent3 5 6 2 2 2 2" xfId="43237" xr:uid="{00000000-0005-0000-0000-000038240000}"/>
    <cellStyle name="20% - Accent3 5 6 2 2 3" xfId="31936" xr:uid="{00000000-0005-0000-0000-000039240000}"/>
    <cellStyle name="20% - Accent3 5 6 2 3" xfId="14985" xr:uid="{00000000-0005-0000-0000-00003A240000}"/>
    <cellStyle name="20% - Accent3 5 6 2 3 2" xfId="37587" xr:uid="{00000000-0005-0000-0000-00003B240000}"/>
    <cellStyle name="20% - Accent3 5 6 2 4" xfId="26286" xr:uid="{00000000-0005-0000-0000-00003C240000}"/>
    <cellStyle name="20% - Accent3 5 6 3" xfId="5264" xr:uid="{00000000-0005-0000-0000-00003D240000}"/>
    <cellStyle name="20% - Accent3 5 6 3 2" xfId="10914" xr:uid="{00000000-0005-0000-0000-00003E240000}"/>
    <cellStyle name="20% - Accent3 5 6 3 2 2" xfId="22215" xr:uid="{00000000-0005-0000-0000-00003F240000}"/>
    <cellStyle name="20% - Accent3 5 6 3 2 2 2" xfId="44817" xr:uid="{00000000-0005-0000-0000-000040240000}"/>
    <cellStyle name="20% - Accent3 5 6 3 2 3" xfId="33516" xr:uid="{00000000-0005-0000-0000-000041240000}"/>
    <cellStyle name="20% - Accent3 5 6 3 3" xfId="16565" xr:uid="{00000000-0005-0000-0000-000042240000}"/>
    <cellStyle name="20% - Accent3 5 6 3 3 2" xfId="39167" xr:uid="{00000000-0005-0000-0000-000043240000}"/>
    <cellStyle name="20% - Accent3 5 6 3 4" xfId="27866" xr:uid="{00000000-0005-0000-0000-000044240000}"/>
    <cellStyle name="20% - Accent3 5 6 4" xfId="7513" xr:uid="{00000000-0005-0000-0000-000045240000}"/>
    <cellStyle name="20% - Accent3 5 6 4 2" xfId="18814" xr:uid="{00000000-0005-0000-0000-000046240000}"/>
    <cellStyle name="20% - Accent3 5 6 4 2 2" xfId="41416" xr:uid="{00000000-0005-0000-0000-000047240000}"/>
    <cellStyle name="20% - Accent3 5 6 4 3" xfId="30115" xr:uid="{00000000-0005-0000-0000-000048240000}"/>
    <cellStyle name="20% - Accent3 5 6 5" xfId="13164" xr:uid="{00000000-0005-0000-0000-000049240000}"/>
    <cellStyle name="20% - Accent3 5 6 5 2" xfId="35766" xr:uid="{00000000-0005-0000-0000-00004A240000}"/>
    <cellStyle name="20% - Accent3 5 6 6" xfId="24465" xr:uid="{00000000-0005-0000-0000-00004B240000}"/>
    <cellStyle name="20% - Accent3 5 7" xfId="2237" xr:uid="{00000000-0005-0000-0000-00004C240000}"/>
    <cellStyle name="20% - Accent3 5 7 2" xfId="8078" xr:uid="{00000000-0005-0000-0000-00004D240000}"/>
    <cellStyle name="20% - Accent3 5 7 2 2" xfId="19379" xr:uid="{00000000-0005-0000-0000-00004E240000}"/>
    <cellStyle name="20% - Accent3 5 7 2 2 2" xfId="41981" xr:uid="{00000000-0005-0000-0000-00004F240000}"/>
    <cellStyle name="20% - Accent3 5 7 2 3" xfId="30680" xr:uid="{00000000-0005-0000-0000-000050240000}"/>
    <cellStyle name="20% - Accent3 5 7 3" xfId="13729" xr:uid="{00000000-0005-0000-0000-000051240000}"/>
    <cellStyle name="20% - Accent3 5 7 3 2" xfId="36331" xr:uid="{00000000-0005-0000-0000-000052240000}"/>
    <cellStyle name="20% - Accent3 5 7 4" xfId="25030" xr:uid="{00000000-0005-0000-0000-000053240000}"/>
    <cellStyle name="20% - Accent3 5 8" xfId="4030" xr:uid="{00000000-0005-0000-0000-000054240000}"/>
    <cellStyle name="20% - Accent3 5 8 2" xfId="9680" xr:uid="{00000000-0005-0000-0000-000055240000}"/>
    <cellStyle name="20% - Accent3 5 8 2 2" xfId="20981" xr:uid="{00000000-0005-0000-0000-000056240000}"/>
    <cellStyle name="20% - Accent3 5 8 2 2 2" xfId="43583" xr:uid="{00000000-0005-0000-0000-000057240000}"/>
    <cellStyle name="20% - Accent3 5 8 2 3" xfId="32282" xr:uid="{00000000-0005-0000-0000-000058240000}"/>
    <cellStyle name="20% - Accent3 5 8 3" xfId="15331" xr:uid="{00000000-0005-0000-0000-000059240000}"/>
    <cellStyle name="20% - Accent3 5 8 3 2" xfId="37933" xr:uid="{00000000-0005-0000-0000-00005A240000}"/>
    <cellStyle name="20% - Accent3 5 8 4" xfId="26632" xr:uid="{00000000-0005-0000-0000-00005B240000}"/>
    <cellStyle name="20% - Accent3 5 9" xfId="6481" xr:uid="{00000000-0005-0000-0000-00005C240000}"/>
    <cellStyle name="20% - Accent3 5 9 2" xfId="17782" xr:uid="{00000000-0005-0000-0000-00005D240000}"/>
    <cellStyle name="20% - Accent3 5 9 2 2" xfId="40384" xr:uid="{00000000-0005-0000-0000-00005E240000}"/>
    <cellStyle name="20% - Accent3 5 9 3" xfId="29083" xr:uid="{00000000-0005-0000-0000-00005F240000}"/>
    <cellStyle name="20% - Accent3 6" xfId="287" xr:uid="{00000000-0005-0000-0000-000060240000}"/>
    <cellStyle name="20% - Accent3 7" xfId="392" xr:uid="{00000000-0005-0000-0000-000061240000}"/>
    <cellStyle name="20% - Accent3 7 10" xfId="23487" xr:uid="{00000000-0005-0000-0000-000062240000}"/>
    <cellStyle name="20% - Accent3 7 2" xfId="637" xr:uid="{00000000-0005-0000-0000-000063240000}"/>
    <cellStyle name="20% - Accent3 7 2 2" xfId="1347" xr:uid="{00000000-0005-0000-0000-000064240000}"/>
    <cellStyle name="20% - Accent3 7 2 2 2" xfId="1667" xr:uid="{00000000-0005-0000-0000-000065240000}"/>
    <cellStyle name="20% - Accent3 7 2 2 2 2" xfId="3416" xr:uid="{00000000-0005-0000-0000-000066240000}"/>
    <cellStyle name="20% - Accent3 7 2 2 2 2 2" xfId="6388" xr:uid="{00000000-0005-0000-0000-000067240000}"/>
    <cellStyle name="20% - Accent3 7 2 2 2 2 2 2" xfId="12038" xr:uid="{00000000-0005-0000-0000-000068240000}"/>
    <cellStyle name="20% - Accent3 7 2 2 2 2 2 2 2" xfId="23339" xr:uid="{00000000-0005-0000-0000-000069240000}"/>
    <cellStyle name="20% - Accent3 7 2 2 2 2 2 2 2 2" xfId="45941" xr:uid="{00000000-0005-0000-0000-00006A240000}"/>
    <cellStyle name="20% - Accent3 7 2 2 2 2 2 2 3" xfId="34640" xr:uid="{00000000-0005-0000-0000-00006B240000}"/>
    <cellStyle name="20% - Accent3 7 2 2 2 2 2 3" xfId="17689" xr:uid="{00000000-0005-0000-0000-00006C240000}"/>
    <cellStyle name="20% - Accent3 7 2 2 2 2 2 3 2" xfId="40291" xr:uid="{00000000-0005-0000-0000-00006D240000}"/>
    <cellStyle name="20% - Accent3 7 2 2 2 2 2 4" xfId="28990" xr:uid="{00000000-0005-0000-0000-00006E240000}"/>
    <cellStyle name="20% - Accent3 7 2 2 2 2 3" xfId="9206" xr:uid="{00000000-0005-0000-0000-00006F240000}"/>
    <cellStyle name="20% - Accent3 7 2 2 2 2 3 2" xfId="20507" xr:uid="{00000000-0005-0000-0000-000070240000}"/>
    <cellStyle name="20% - Accent3 7 2 2 2 2 3 2 2" xfId="43109" xr:uid="{00000000-0005-0000-0000-000071240000}"/>
    <cellStyle name="20% - Accent3 7 2 2 2 2 3 3" xfId="31808" xr:uid="{00000000-0005-0000-0000-000072240000}"/>
    <cellStyle name="20% - Accent3 7 2 2 2 2 4" xfId="14857" xr:uid="{00000000-0005-0000-0000-000073240000}"/>
    <cellStyle name="20% - Accent3 7 2 2 2 2 4 2" xfId="37459" xr:uid="{00000000-0005-0000-0000-000074240000}"/>
    <cellStyle name="20% - Accent3 7 2 2 2 2 5" xfId="26158" xr:uid="{00000000-0005-0000-0000-000075240000}"/>
    <cellStyle name="20% - Accent3 7 2 2 2 3" xfId="5154" xr:uid="{00000000-0005-0000-0000-000076240000}"/>
    <cellStyle name="20% - Accent3 7 2 2 2 3 2" xfId="10804" xr:uid="{00000000-0005-0000-0000-000077240000}"/>
    <cellStyle name="20% - Accent3 7 2 2 2 3 2 2" xfId="22105" xr:uid="{00000000-0005-0000-0000-000078240000}"/>
    <cellStyle name="20% - Accent3 7 2 2 2 3 2 2 2" xfId="44707" xr:uid="{00000000-0005-0000-0000-000079240000}"/>
    <cellStyle name="20% - Accent3 7 2 2 2 3 2 3" xfId="33406" xr:uid="{00000000-0005-0000-0000-00007A240000}"/>
    <cellStyle name="20% - Accent3 7 2 2 2 3 3" xfId="16455" xr:uid="{00000000-0005-0000-0000-00007B240000}"/>
    <cellStyle name="20% - Accent3 7 2 2 2 3 3 2" xfId="39057" xr:uid="{00000000-0005-0000-0000-00007C240000}"/>
    <cellStyle name="20% - Accent3 7 2 2 2 3 4" xfId="27756" xr:uid="{00000000-0005-0000-0000-00007D240000}"/>
    <cellStyle name="20% - Accent3 7 2 2 2 4" xfId="7523" xr:uid="{00000000-0005-0000-0000-00007E240000}"/>
    <cellStyle name="20% - Accent3 7 2 2 2 4 2" xfId="18824" xr:uid="{00000000-0005-0000-0000-00007F240000}"/>
    <cellStyle name="20% - Accent3 7 2 2 2 4 2 2" xfId="41426" xr:uid="{00000000-0005-0000-0000-000080240000}"/>
    <cellStyle name="20% - Accent3 7 2 2 2 4 3" xfId="30125" xr:uid="{00000000-0005-0000-0000-000081240000}"/>
    <cellStyle name="20% - Accent3 7 2 2 2 5" xfId="13174" xr:uid="{00000000-0005-0000-0000-000082240000}"/>
    <cellStyle name="20% - Accent3 7 2 2 2 5 2" xfId="35776" xr:uid="{00000000-0005-0000-0000-000083240000}"/>
    <cellStyle name="20% - Accent3 7 2 2 2 6" xfId="24475" xr:uid="{00000000-0005-0000-0000-000084240000}"/>
    <cellStyle name="20% - Accent3 7 2 2 3" xfId="2745" xr:uid="{00000000-0005-0000-0000-000085240000}"/>
    <cellStyle name="20% - Accent3 7 2 2 3 2" xfId="5764" xr:uid="{00000000-0005-0000-0000-000086240000}"/>
    <cellStyle name="20% - Accent3 7 2 2 3 2 2" xfId="11414" xr:uid="{00000000-0005-0000-0000-000087240000}"/>
    <cellStyle name="20% - Accent3 7 2 2 3 2 2 2" xfId="22715" xr:uid="{00000000-0005-0000-0000-000088240000}"/>
    <cellStyle name="20% - Accent3 7 2 2 3 2 2 2 2" xfId="45317" xr:uid="{00000000-0005-0000-0000-000089240000}"/>
    <cellStyle name="20% - Accent3 7 2 2 3 2 2 3" xfId="34016" xr:uid="{00000000-0005-0000-0000-00008A240000}"/>
    <cellStyle name="20% - Accent3 7 2 2 3 2 3" xfId="17065" xr:uid="{00000000-0005-0000-0000-00008B240000}"/>
    <cellStyle name="20% - Accent3 7 2 2 3 2 3 2" xfId="39667" xr:uid="{00000000-0005-0000-0000-00008C240000}"/>
    <cellStyle name="20% - Accent3 7 2 2 3 2 4" xfId="28366" xr:uid="{00000000-0005-0000-0000-00008D240000}"/>
    <cellStyle name="20% - Accent3 7 2 2 3 3" xfId="8581" xr:uid="{00000000-0005-0000-0000-00008E240000}"/>
    <cellStyle name="20% - Accent3 7 2 2 3 3 2" xfId="19882" xr:uid="{00000000-0005-0000-0000-00008F240000}"/>
    <cellStyle name="20% - Accent3 7 2 2 3 3 2 2" xfId="42484" xr:uid="{00000000-0005-0000-0000-000090240000}"/>
    <cellStyle name="20% - Accent3 7 2 2 3 3 3" xfId="31183" xr:uid="{00000000-0005-0000-0000-000091240000}"/>
    <cellStyle name="20% - Accent3 7 2 2 3 4" xfId="14232" xr:uid="{00000000-0005-0000-0000-000092240000}"/>
    <cellStyle name="20% - Accent3 7 2 2 3 4 2" xfId="36834" xr:uid="{00000000-0005-0000-0000-000093240000}"/>
    <cellStyle name="20% - Accent3 7 2 2 3 5" xfId="25533" xr:uid="{00000000-0005-0000-0000-000094240000}"/>
    <cellStyle name="20% - Accent3 7 2 2 4" xfId="4530" xr:uid="{00000000-0005-0000-0000-000095240000}"/>
    <cellStyle name="20% - Accent3 7 2 2 4 2" xfId="10180" xr:uid="{00000000-0005-0000-0000-000096240000}"/>
    <cellStyle name="20% - Accent3 7 2 2 4 2 2" xfId="21481" xr:uid="{00000000-0005-0000-0000-000097240000}"/>
    <cellStyle name="20% - Accent3 7 2 2 4 2 2 2" xfId="44083" xr:uid="{00000000-0005-0000-0000-000098240000}"/>
    <cellStyle name="20% - Accent3 7 2 2 4 2 3" xfId="32782" xr:uid="{00000000-0005-0000-0000-000099240000}"/>
    <cellStyle name="20% - Accent3 7 2 2 4 3" xfId="15831" xr:uid="{00000000-0005-0000-0000-00009A240000}"/>
    <cellStyle name="20% - Accent3 7 2 2 4 3 2" xfId="38433" xr:uid="{00000000-0005-0000-0000-00009B240000}"/>
    <cellStyle name="20% - Accent3 7 2 2 4 4" xfId="27132" xr:uid="{00000000-0005-0000-0000-00009C240000}"/>
    <cellStyle name="20% - Accent3 7 2 2 5" xfId="7326" xr:uid="{00000000-0005-0000-0000-00009D240000}"/>
    <cellStyle name="20% - Accent3 7 2 2 5 2" xfId="18627" xr:uid="{00000000-0005-0000-0000-00009E240000}"/>
    <cellStyle name="20% - Accent3 7 2 2 5 2 2" xfId="41229" xr:uid="{00000000-0005-0000-0000-00009F240000}"/>
    <cellStyle name="20% - Accent3 7 2 2 5 3" xfId="29928" xr:uid="{00000000-0005-0000-0000-0000A0240000}"/>
    <cellStyle name="20% - Accent3 7 2 2 6" xfId="12977" xr:uid="{00000000-0005-0000-0000-0000A1240000}"/>
    <cellStyle name="20% - Accent3 7 2 2 6 2" xfId="35579" xr:uid="{00000000-0005-0000-0000-0000A2240000}"/>
    <cellStyle name="20% - Accent3 7 2 2 7" xfId="24278" xr:uid="{00000000-0005-0000-0000-0000A3240000}"/>
    <cellStyle name="20% - Accent3 7 2 3" xfId="1045" xr:uid="{00000000-0005-0000-0000-0000A4240000}"/>
    <cellStyle name="20% - Accent3 7 2 3 2" xfId="3108" xr:uid="{00000000-0005-0000-0000-0000A5240000}"/>
    <cellStyle name="20% - Accent3 7 2 3 2 2" xfId="6080" xr:uid="{00000000-0005-0000-0000-0000A6240000}"/>
    <cellStyle name="20% - Accent3 7 2 3 2 2 2" xfId="11730" xr:uid="{00000000-0005-0000-0000-0000A7240000}"/>
    <cellStyle name="20% - Accent3 7 2 3 2 2 2 2" xfId="23031" xr:uid="{00000000-0005-0000-0000-0000A8240000}"/>
    <cellStyle name="20% - Accent3 7 2 3 2 2 2 2 2" xfId="45633" xr:uid="{00000000-0005-0000-0000-0000A9240000}"/>
    <cellStyle name="20% - Accent3 7 2 3 2 2 2 3" xfId="34332" xr:uid="{00000000-0005-0000-0000-0000AA240000}"/>
    <cellStyle name="20% - Accent3 7 2 3 2 2 3" xfId="17381" xr:uid="{00000000-0005-0000-0000-0000AB240000}"/>
    <cellStyle name="20% - Accent3 7 2 3 2 2 3 2" xfId="39983" xr:uid="{00000000-0005-0000-0000-0000AC240000}"/>
    <cellStyle name="20% - Accent3 7 2 3 2 2 4" xfId="28682" xr:uid="{00000000-0005-0000-0000-0000AD240000}"/>
    <cellStyle name="20% - Accent3 7 2 3 2 3" xfId="8898" xr:uid="{00000000-0005-0000-0000-0000AE240000}"/>
    <cellStyle name="20% - Accent3 7 2 3 2 3 2" xfId="20199" xr:uid="{00000000-0005-0000-0000-0000AF240000}"/>
    <cellStyle name="20% - Accent3 7 2 3 2 3 2 2" xfId="42801" xr:uid="{00000000-0005-0000-0000-0000B0240000}"/>
    <cellStyle name="20% - Accent3 7 2 3 2 3 3" xfId="31500" xr:uid="{00000000-0005-0000-0000-0000B1240000}"/>
    <cellStyle name="20% - Accent3 7 2 3 2 4" xfId="14549" xr:uid="{00000000-0005-0000-0000-0000B2240000}"/>
    <cellStyle name="20% - Accent3 7 2 3 2 4 2" xfId="37151" xr:uid="{00000000-0005-0000-0000-0000B3240000}"/>
    <cellStyle name="20% - Accent3 7 2 3 2 5" xfId="25850" xr:uid="{00000000-0005-0000-0000-0000B4240000}"/>
    <cellStyle name="20% - Accent3 7 2 3 3" xfId="4846" xr:uid="{00000000-0005-0000-0000-0000B5240000}"/>
    <cellStyle name="20% - Accent3 7 2 3 3 2" xfId="10496" xr:uid="{00000000-0005-0000-0000-0000B6240000}"/>
    <cellStyle name="20% - Accent3 7 2 3 3 2 2" xfId="21797" xr:uid="{00000000-0005-0000-0000-0000B7240000}"/>
    <cellStyle name="20% - Accent3 7 2 3 3 2 2 2" xfId="44399" xr:uid="{00000000-0005-0000-0000-0000B8240000}"/>
    <cellStyle name="20% - Accent3 7 2 3 3 2 3" xfId="33098" xr:uid="{00000000-0005-0000-0000-0000B9240000}"/>
    <cellStyle name="20% - Accent3 7 2 3 3 3" xfId="16147" xr:uid="{00000000-0005-0000-0000-0000BA240000}"/>
    <cellStyle name="20% - Accent3 7 2 3 3 3 2" xfId="38749" xr:uid="{00000000-0005-0000-0000-0000BB240000}"/>
    <cellStyle name="20% - Accent3 7 2 3 3 4" xfId="27448" xr:uid="{00000000-0005-0000-0000-0000BC240000}"/>
    <cellStyle name="20% - Accent3 7 2 3 4" xfId="7033" xr:uid="{00000000-0005-0000-0000-0000BD240000}"/>
    <cellStyle name="20% - Accent3 7 2 3 4 2" xfId="18334" xr:uid="{00000000-0005-0000-0000-0000BE240000}"/>
    <cellStyle name="20% - Accent3 7 2 3 4 2 2" xfId="40936" xr:uid="{00000000-0005-0000-0000-0000BF240000}"/>
    <cellStyle name="20% - Accent3 7 2 3 4 3" xfId="29635" xr:uid="{00000000-0005-0000-0000-0000C0240000}"/>
    <cellStyle name="20% - Accent3 7 2 3 5" xfId="12684" xr:uid="{00000000-0005-0000-0000-0000C1240000}"/>
    <cellStyle name="20% - Accent3 7 2 3 5 2" xfId="35286" xr:uid="{00000000-0005-0000-0000-0000C2240000}"/>
    <cellStyle name="20% - Accent3 7 2 3 6" xfId="23985" xr:uid="{00000000-0005-0000-0000-0000C3240000}"/>
    <cellStyle name="20% - Accent3 7 2 4" xfId="1666" xr:uid="{00000000-0005-0000-0000-0000C4240000}"/>
    <cellStyle name="20% - Accent3 7 2 4 2" xfId="3626" xr:uid="{00000000-0005-0000-0000-0000C5240000}"/>
    <cellStyle name="20% - Accent3 7 2 4 2 2" xfId="9339" xr:uid="{00000000-0005-0000-0000-0000C6240000}"/>
    <cellStyle name="20% - Accent3 7 2 4 2 2 2" xfId="20640" xr:uid="{00000000-0005-0000-0000-0000C7240000}"/>
    <cellStyle name="20% - Accent3 7 2 4 2 2 2 2" xfId="43242" xr:uid="{00000000-0005-0000-0000-0000C8240000}"/>
    <cellStyle name="20% - Accent3 7 2 4 2 2 3" xfId="31941" xr:uid="{00000000-0005-0000-0000-0000C9240000}"/>
    <cellStyle name="20% - Accent3 7 2 4 2 3" xfId="14990" xr:uid="{00000000-0005-0000-0000-0000CA240000}"/>
    <cellStyle name="20% - Accent3 7 2 4 2 3 2" xfId="37592" xr:uid="{00000000-0005-0000-0000-0000CB240000}"/>
    <cellStyle name="20% - Accent3 7 2 4 2 4" xfId="26291" xr:uid="{00000000-0005-0000-0000-0000CC240000}"/>
    <cellStyle name="20% - Accent3 7 2 4 3" xfId="5456" xr:uid="{00000000-0005-0000-0000-0000CD240000}"/>
    <cellStyle name="20% - Accent3 7 2 4 3 2" xfId="11106" xr:uid="{00000000-0005-0000-0000-0000CE240000}"/>
    <cellStyle name="20% - Accent3 7 2 4 3 2 2" xfId="22407" xr:uid="{00000000-0005-0000-0000-0000CF240000}"/>
    <cellStyle name="20% - Accent3 7 2 4 3 2 2 2" xfId="45009" xr:uid="{00000000-0005-0000-0000-0000D0240000}"/>
    <cellStyle name="20% - Accent3 7 2 4 3 2 3" xfId="33708" xr:uid="{00000000-0005-0000-0000-0000D1240000}"/>
    <cellStyle name="20% - Accent3 7 2 4 3 3" xfId="16757" xr:uid="{00000000-0005-0000-0000-0000D2240000}"/>
    <cellStyle name="20% - Accent3 7 2 4 3 3 2" xfId="39359" xr:uid="{00000000-0005-0000-0000-0000D3240000}"/>
    <cellStyle name="20% - Accent3 7 2 4 3 4" xfId="28058" xr:uid="{00000000-0005-0000-0000-0000D4240000}"/>
    <cellStyle name="20% - Accent3 7 2 4 4" xfId="7522" xr:uid="{00000000-0005-0000-0000-0000D5240000}"/>
    <cellStyle name="20% - Accent3 7 2 4 4 2" xfId="18823" xr:uid="{00000000-0005-0000-0000-0000D6240000}"/>
    <cellStyle name="20% - Accent3 7 2 4 4 2 2" xfId="41425" xr:uid="{00000000-0005-0000-0000-0000D7240000}"/>
    <cellStyle name="20% - Accent3 7 2 4 4 3" xfId="30124" xr:uid="{00000000-0005-0000-0000-0000D8240000}"/>
    <cellStyle name="20% - Accent3 7 2 4 5" xfId="13173" xr:uid="{00000000-0005-0000-0000-0000D9240000}"/>
    <cellStyle name="20% - Accent3 7 2 4 5 2" xfId="35775" xr:uid="{00000000-0005-0000-0000-0000DA240000}"/>
    <cellStyle name="20% - Accent3 7 2 4 6" xfId="24474" xr:uid="{00000000-0005-0000-0000-0000DB240000}"/>
    <cellStyle name="20% - Accent3 7 2 5" xfId="2437" xr:uid="{00000000-0005-0000-0000-0000DC240000}"/>
    <cellStyle name="20% - Accent3 7 2 5 2" xfId="8273" xr:uid="{00000000-0005-0000-0000-0000DD240000}"/>
    <cellStyle name="20% - Accent3 7 2 5 2 2" xfId="19574" xr:uid="{00000000-0005-0000-0000-0000DE240000}"/>
    <cellStyle name="20% - Accent3 7 2 5 2 2 2" xfId="42176" xr:uid="{00000000-0005-0000-0000-0000DF240000}"/>
    <cellStyle name="20% - Accent3 7 2 5 2 3" xfId="30875" xr:uid="{00000000-0005-0000-0000-0000E0240000}"/>
    <cellStyle name="20% - Accent3 7 2 5 3" xfId="13924" xr:uid="{00000000-0005-0000-0000-0000E1240000}"/>
    <cellStyle name="20% - Accent3 7 2 5 3 2" xfId="36526" xr:uid="{00000000-0005-0000-0000-0000E2240000}"/>
    <cellStyle name="20% - Accent3 7 2 5 4" xfId="25225" xr:uid="{00000000-0005-0000-0000-0000E3240000}"/>
    <cellStyle name="20% - Accent3 7 2 6" xfId="4222" xr:uid="{00000000-0005-0000-0000-0000E4240000}"/>
    <cellStyle name="20% - Accent3 7 2 6 2" xfId="9872" xr:uid="{00000000-0005-0000-0000-0000E5240000}"/>
    <cellStyle name="20% - Accent3 7 2 6 2 2" xfId="21173" xr:uid="{00000000-0005-0000-0000-0000E6240000}"/>
    <cellStyle name="20% - Accent3 7 2 6 2 2 2" xfId="43775" xr:uid="{00000000-0005-0000-0000-0000E7240000}"/>
    <cellStyle name="20% - Accent3 7 2 6 2 3" xfId="32474" xr:uid="{00000000-0005-0000-0000-0000E8240000}"/>
    <cellStyle name="20% - Accent3 7 2 6 3" xfId="15523" xr:uid="{00000000-0005-0000-0000-0000E9240000}"/>
    <cellStyle name="20% - Accent3 7 2 6 3 2" xfId="38125" xr:uid="{00000000-0005-0000-0000-0000EA240000}"/>
    <cellStyle name="20% - Accent3 7 2 6 4" xfId="26824" xr:uid="{00000000-0005-0000-0000-0000EB240000}"/>
    <cellStyle name="20% - Accent3 7 2 7" xfId="6702" xr:uid="{00000000-0005-0000-0000-0000EC240000}"/>
    <cellStyle name="20% - Accent3 7 2 7 2" xfId="18003" xr:uid="{00000000-0005-0000-0000-0000ED240000}"/>
    <cellStyle name="20% - Accent3 7 2 7 2 2" xfId="40605" xr:uid="{00000000-0005-0000-0000-0000EE240000}"/>
    <cellStyle name="20% - Accent3 7 2 7 3" xfId="29304" xr:uid="{00000000-0005-0000-0000-0000EF240000}"/>
    <cellStyle name="20% - Accent3 7 2 8" xfId="12353" xr:uid="{00000000-0005-0000-0000-0000F0240000}"/>
    <cellStyle name="20% - Accent3 7 2 8 2" xfId="34955" xr:uid="{00000000-0005-0000-0000-0000F1240000}"/>
    <cellStyle name="20% - Accent3 7 2 9" xfId="23654" xr:uid="{00000000-0005-0000-0000-0000F2240000}"/>
    <cellStyle name="20% - Accent3 7 3" xfId="1209" xr:uid="{00000000-0005-0000-0000-0000F3240000}"/>
    <cellStyle name="20% - Accent3 7 3 2" xfId="1668" xr:uid="{00000000-0005-0000-0000-0000F4240000}"/>
    <cellStyle name="20% - Accent3 7 3 2 2" xfId="3277" xr:uid="{00000000-0005-0000-0000-0000F5240000}"/>
    <cellStyle name="20% - Accent3 7 3 2 2 2" xfId="6249" xr:uid="{00000000-0005-0000-0000-0000F6240000}"/>
    <cellStyle name="20% - Accent3 7 3 2 2 2 2" xfId="11899" xr:uid="{00000000-0005-0000-0000-0000F7240000}"/>
    <cellStyle name="20% - Accent3 7 3 2 2 2 2 2" xfId="23200" xr:uid="{00000000-0005-0000-0000-0000F8240000}"/>
    <cellStyle name="20% - Accent3 7 3 2 2 2 2 2 2" xfId="45802" xr:uid="{00000000-0005-0000-0000-0000F9240000}"/>
    <cellStyle name="20% - Accent3 7 3 2 2 2 2 3" xfId="34501" xr:uid="{00000000-0005-0000-0000-0000FA240000}"/>
    <cellStyle name="20% - Accent3 7 3 2 2 2 3" xfId="17550" xr:uid="{00000000-0005-0000-0000-0000FB240000}"/>
    <cellStyle name="20% - Accent3 7 3 2 2 2 3 2" xfId="40152" xr:uid="{00000000-0005-0000-0000-0000FC240000}"/>
    <cellStyle name="20% - Accent3 7 3 2 2 2 4" xfId="28851" xr:uid="{00000000-0005-0000-0000-0000FD240000}"/>
    <cellStyle name="20% - Accent3 7 3 2 2 3" xfId="9067" xr:uid="{00000000-0005-0000-0000-0000FE240000}"/>
    <cellStyle name="20% - Accent3 7 3 2 2 3 2" xfId="20368" xr:uid="{00000000-0005-0000-0000-0000FF240000}"/>
    <cellStyle name="20% - Accent3 7 3 2 2 3 2 2" xfId="42970" xr:uid="{00000000-0005-0000-0000-000000250000}"/>
    <cellStyle name="20% - Accent3 7 3 2 2 3 3" xfId="31669" xr:uid="{00000000-0005-0000-0000-000001250000}"/>
    <cellStyle name="20% - Accent3 7 3 2 2 4" xfId="14718" xr:uid="{00000000-0005-0000-0000-000002250000}"/>
    <cellStyle name="20% - Accent3 7 3 2 2 4 2" xfId="37320" xr:uid="{00000000-0005-0000-0000-000003250000}"/>
    <cellStyle name="20% - Accent3 7 3 2 2 5" xfId="26019" xr:uid="{00000000-0005-0000-0000-000004250000}"/>
    <cellStyle name="20% - Accent3 7 3 2 3" xfId="5015" xr:uid="{00000000-0005-0000-0000-000005250000}"/>
    <cellStyle name="20% - Accent3 7 3 2 3 2" xfId="10665" xr:uid="{00000000-0005-0000-0000-000006250000}"/>
    <cellStyle name="20% - Accent3 7 3 2 3 2 2" xfId="21966" xr:uid="{00000000-0005-0000-0000-000007250000}"/>
    <cellStyle name="20% - Accent3 7 3 2 3 2 2 2" xfId="44568" xr:uid="{00000000-0005-0000-0000-000008250000}"/>
    <cellStyle name="20% - Accent3 7 3 2 3 2 3" xfId="33267" xr:uid="{00000000-0005-0000-0000-000009250000}"/>
    <cellStyle name="20% - Accent3 7 3 2 3 3" xfId="16316" xr:uid="{00000000-0005-0000-0000-00000A250000}"/>
    <cellStyle name="20% - Accent3 7 3 2 3 3 2" xfId="38918" xr:uid="{00000000-0005-0000-0000-00000B250000}"/>
    <cellStyle name="20% - Accent3 7 3 2 3 4" xfId="27617" xr:uid="{00000000-0005-0000-0000-00000C250000}"/>
    <cellStyle name="20% - Accent3 7 3 2 4" xfId="7524" xr:uid="{00000000-0005-0000-0000-00000D250000}"/>
    <cellStyle name="20% - Accent3 7 3 2 4 2" xfId="18825" xr:uid="{00000000-0005-0000-0000-00000E250000}"/>
    <cellStyle name="20% - Accent3 7 3 2 4 2 2" xfId="41427" xr:uid="{00000000-0005-0000-0000-00000F250000}"/>
    <cellStyle name="20% - Accent3 7 3 2 4 3" xfId="30126" xr:uid="{00000000-0005-0000-0000-000010250000}"/>
    <cellStyle name="20% - Accent3 7 3 2 5" xfId="13175" xr:uid="{00000000-0005-0000-0000-000011250000}"/>
    <cellStyle name="20% - Accent3 7 3 2 5 2" xfId="35777" xr:uid="{00000000-0005-0000-0000-000012250000}"/>
    <cellStyle name="20% - Accent3 7 3 2 6" xfId="24476" xr:uid="{00000000-0005-0000-0000-000013250000}"/>
    <cellStyle name="20% - Accent3 7 3 3" xfId="2606" xr:uid="{00000000-0005-0000-0000-000014250000}"/>
    <cellStyle name="20% - Accent3 7 3 3 2" xfId="5625" xr:uid="{00000000-0005-0000-0000-000015250000}"/>
    <cellStyle name="20% - Accent3 7 3 3 2 2" xfId="11275" xr:uid="{00000000-0005-0000-0000-000016250000}"/>
    <cellStyle name="20% - Accent3 7 3 3 2 2 2" xfId="22576" xr:uid="{00000000-0005-0000-0000-000017250000}"/>
    <cellStyle name="20% - Accent3 7 3 3 2 2 2 2" xfId="45178" xr:uid="{00000000-0005-0000-0000-000018250000}"/>
    <cellStyle name="20% - Accent3 7 3 3 2 2 3" xfId="33877" xr:uid="{00000000-0005-0000-0000-000019250000}"/>
    <cellStyle name="20% - Accent3 7 3 3 2 3" xfId="16926" xr:uid="{00000000-0005-0000-0000-00001A250000}"/>
    <cellStyle name="20% - Accent3 7 3 3 2 3 2" xfId="39528" xr:uid="{00000000-0005-0000-0000-00001B250000}"/>
    <cellStyle name="20% - Accent3 7 3 3 2 4" xfId="28227" xr:uid="{00000000-0005-0000-0000-00001C250000}"/>
    <cellStyle name="20% - Accent3 7 3 3 3" xfId="8442" xr:uid="{00000000-0005-0000-0000-00001D250000}"/>
    <cellStyle name="20% - Accent3 7 3 3 3 2" xfId="19743" xr:uid="{00000000-0005-0000-0000-00001E250000}"/>
    <cellStyle name="20% - Accent3 7 3 3 3 2 2" xfId="42345" xr:uid="{00000000-0005-0000-0000-00001F250000}"/>
    <cellStyle name="20% - Accent3 7 3 3 3 3" xfId="31044" xr:uid="{00000000-0005-0000-0000-000020250000}"/>
    <cellStyle name="20% - Accent3 7 3 3 4" xfId="14093" xr:uid="{00000000-0005-0000-0000-000021250000}"/>
    <cellStyle name="20% - Accent3 7 3 3 4 2" xfId="36695" xr:uid="{00000000-0005-0000-0000-000022250000}"/>
    <cellStyle name="20% - Accent3 7 3 3 5" xfId="25394" xr:uid="{00000000-0005-0000-0000-000023250000}"/>
    <cellStyle name="20% - Accent3 7 3 4" xfId="4391" xr:uid="{00000000-0005-0000-0000-000024250000}"/>
    <cellStyle name="20% - Accent3 7 3 4 2" xfId="10041" xr:uid="{00000000-0005-0000-0000-000025250000}"/>
    <cellStyle name="20% - Accent3 7 3 4 2 2" xfId="21342" xr:uid="{00000000-0005-0000-0000-000026250000}"/>
    <cellStyle name="20% - Accent3 7 3 4 2 2 2" xfId="43944" xr:uid="{00000000-0005-0000-0000-000027250000}"/>
    <cellStyle name="20% - Accent3 7 3 4 2 3" xfId="32643" xr:uid="{00000000-0005-0000-0000-000028250000}"/>
    <cellStyle name="20% - Accent3 7 3 4 3" xfId="15692" xr:uid="{00000000-0005-0000-0000-000029250000}"/>
    <cellStyle name="20% - Accent3 7 3 4 3 2" xfId="38294" xr:uid="{00000000-0005-0000-0000-00002A250000}"/>
    <cellStyle name="20% - Accent3 7 3 4 4" xfId="26993" xr:uid="{00000000-0005-0000-0000-00002B250000}"/>
    <cellStyle name="20% - Accent3 7 3 5" xfId="7188" xr:uid="{00000000-0005-0000-0000-00002C250000}"/>
    <cellStyle name="20% - Accent3 7 3 5 2" xfId="18489" xr:uid="{00000000-0005-0000-0000-00002D250000}"/>
    <cellStyle name="20% - Accent3 7 3 5 2 2" xfId="41091" xr:uid="{00000000-0005-0000-0000-00002E250000}"/>
    <cellStyle name="20% - Accent3 7 3 5 3" xfId="29790" xr:uid="{00000000-0005-0000-0000-00002F250000}"/>
    <cellStyle name="20% - Accent3 7 3 6" xfId="12839" xr:uid="{00000000-0005-0000-0000-000030250000}"/>
    <cellStyle name="20% - Accent3 7 3 6 2" xfId="35441" xr:uid="{00000000-0005-0000-0000-000031250000}"/>
    <cellStyle name="20% - Accent3 7 3 7" xfId="24140" xr:uid="{00000000-0005-0000-0000-000032250000}"/>
    <cellStyle name="20% - Accent3 7 4" xfId="900" xr:uid="{00000000-0005-0000-0000-000033250000}"/>
    <cellStyle name="20% - Accent3 7 4 2" xfId="2970" xr:uid="{00000000-0005-0000-0000-000034250000}"/>
    <cellStyle name="20% - Accent3 7 4 2 2" xfId="5942" xr:uid="{00000000-0005-0000-0000-000035250000}"/>
    <cellStyle name="20% - Accent3 7 4 2 2 2" xfId="11592" xr:uid="{00000000-0005-0000-0000-000036250000}"/>
    <cellStyle name="20% - Accent3 7 4 2 2 2 2" xfId="22893" xr:uid="{00000000-0005-0000-0000-000037250000}"/>
    <cellStyle name="20% - Accent3 7 4 2 2 2 2 2" xfId="45495" xr:uid="{00000000-0005-0000-0000-000038250000}"/>
    <cellStyle name="20% - Accent3 7 4 2 2 2 3" xfId="34194" xr:uid="{00000000-0005-0000-0000-000039250000}"/>
    <cellStyle name="20% - Accent3 7 4 2 2 3" xfId="17243" xr:uid="{00000000-0005-0000-0000-00003A250000}"/>
    <cellStyle name="20% - Accent3 7 4 2 2 3 2" xfId="39845" xr:uid="{00000000-0005-0000-0000-00003B250000}"/>
    <cellStyle name="20% - Accent3 7 4 2 2 4" xfId="28544" xr:uid="{00000000-0005-0000-0000-00003C250000}"/>
    <cellStyle name="20% - Accent3 7 4 2 3" xfId="8760" xr:uid="{00000000-0005-0000-0000-00003D250000}"/>
    <cellStyle name="20% - Accent3 7 4 2 3 2" xfId="20061" xr:uid="{00000000-0005-0000-0000-00003E250000}"/>
    <cellStyle name="20% - Accent3 7 4 2 3 2 2" xfId="42663" xr:uid="{00000000-0005-0000-0000-00003F250000}"/>
    <cellStyle name="20% - Accent3 7 4 2 3 3" xfId="31362" xr:uid="{00000000-0005-0000-0000-000040250000}"/>
    <cellStyle name="20% - Accent3 7 4 2 4" xfId="14411" xr:uid="{00000000-0005-0000-0000-000041250000}"/>
    <cellStyle name="20% - Accent3 7 4 2 4 2" xfId="37013" xr:uid="{00000000-0005-0000-0000-000042250000}"/>
    <cellStyle name="20% - Accent3 7 4 2 5" xfId="25712" xr:uid="{00000000-0005-0000-0000-000043250000}"/>
    <cellStyle name="20% - Accent3 7 4 3" xfId="4708" xr:uid="{00000000-0005-0000-0000-000044250000}"/>
    <cellStyle name="20% - Accent3 7 4 3 2" xfId="10358" xr:uid="{00000000-0005-0000-0000-000045250000}"/>
    <cellStyle name="20% - Accent3 7 4 3 2 2" xfId="21659" xr:uid="{00000000-0005-0000-0000-000046250000}"/>
    <cellStyle name="20% - Accent3 7 4 3 2 2 2" xfId="44261" xr:uid="{00000000-0005-0000-0000-000047250000}"/>
    <cellStyle name="20% - Accent3 7 4 3 2 3" xfId="32960" xr:uid="{00000000-0005-0000-0000-000048250000}"/>
    <cellStyle name="20% - Accent3 7 4 3 3" xfId="16009" xr:uid="{00000000-0005-0000-0000-000049250000}"/>
    <cellStyle name="20% - Accent3 7 4 3 3 2" xfId="38611" xr:uid="{00000000-0005-0000-0000-00004A250000}"/>
    <cellStyle name="20% - Accent3 7 4 3 4" xfId="27310" xr:uid="{00000000-0005-0000-0000-00004B250000}"/>
    <cellStyle name="20% - Accent3 7 4 4" xfId="6895" xr:uid="{00000000-0005-0000-0000-00004C250000}"/>
    <cellStyle name="20% - Accent3 7 4 4 2" xfId="18196" xr:uid="{00000000-0005-0000-0000-00004D250000}"/>
    <cellStyle name="20% - Accent3 7 4 4 2 2" xfId="40798" xr:uid="{00000000-0005-0000-0000-00004E250000}"/>
    <cellStyle name="20% - Accent3 7 4 4 3" xfId="29497" xr:uid="{00000000-0005-0000-0000-00004F250000}"/>
    <cellStyle name="20% - Accent3 7 4 5" xfId="12546" xr:uid="{00000000-0005-0000-0000-000050250000}"/>
    <cellStyle name="20% - Accent3 7 4 5 2" xfId="35148" xr:uid="{00000000-0005-0000-0000-000051250000}"/>
    <cellStyle name="20% - Accent3 7 4 6" xfId="23847" xr:uid="{00000000-0005-0000-0000-000052250000}"/>
    <cellStyle name="20% - Accent3 7 5" xfId="1665" xr:uid="{00000000-0005-0000-0000-000053250000}"/>
    <cellStyle name="20% - Accent3 7 5 2" xfId="3625" xr:uid="{00000000-0005-0000-0000-000054250000}"/>
    <cellStyle name="20% - Accent3 7 5 2 2" xfId="9338" xr:uid="{00000000-0005-0000-0000-000055250000}"/>
    <cellStyle name="20% - Accent3 7 5 2 2 2" xfId="20639" xr:uid="{00000000-0005-0000-0000-000056250000}"/>
    <cellStyle name="20% - Accent3 7 5 2 2 2 2" xfId="43241" xr:uid="{00000000-0005-0000-0000-000057250000}"/>
    <cellStyle name="20% - Accent3 7 5 2 2 3" xfId="31940" xr:uid="{00000000-0005-0000-0000-000058250000}"/>
    <cellStyle name="20% - Accent3 7 5 2 3" xfId="14989" xr:uid="{00000000-0005-0000-0000-000059250000}"/>
    <cellStyle name="20% - Accent3 7 5 2 3 2" xfId="37591" xr:uid="{00000000-0005-0000-0000-00005A250000}"/>
    <cellStyle name="20% - Accent3 7 5 2 4" xfId="26290" xr:uid="{00000000-0005-0000-0000-00005B250000}"/>
    <cellStyle name="20% - Accent3 7 5 3" xfId="5318" xr:uid="{00000000-0005-0000-0000-00005C250000}"/>
    <cellStyle name="20% - Accent3 7 5 3 2" xfId="10968" xr:uid="{00000000-0005-0000-0000-00005D250000}"/>
    <cellStyle name="20% - Accent3 7 5 3 2 2" xfId="22269" xr:uid="{00000000-0005-0000-0000-00005E250000}"/>
    <cellStyle name="20% - Accent3 7 5 3 2 2 2" xfId="44871" xr:uid="{00000000-0005-0000-0000-00005F250000}"/>
    <cellStyle name="20% - Accent3 7 5 3 2 3" xfId="33570" xr:uid="{00000000-0005-0000-0000-000060250000}"/>
    <cellStyle name="20% - Accent3 7 5 3 3" xfId="16619" xr:uid="{00000000-0005-0000-0000-000061250000}"/>
    <cellStyle name="20% - Accent3 7 5 3 3 2" xfId="39221" xr:uid="{00000000-0005-0000-0000-000062250000}"/>
    <cellStyle name="20% - Accent3 7 5 3 4" xfId="27920" xr:uid="{00000000-0005-0000-0000-000063250000}"/>
    <cellStyle name="20% - Accent3 7 5 4" xfId="7521" xr:uid="{00000000-0005-0000-0000-000064250000}"/>
    <cellStyle name="20% - Accent3 7 5 4 2" xfId="18822" xr:uid="{00000000-0005-0000-0000-000065250000}"/>
    <cellStyle name="20% - Accent3 7 5 4 2 2" xfId="41424" xr:uid="{00000000-0005-0000-0000-000066250000}"/>
    <cellStyle name="20% - Accent3 7 5 4 3" xfId="30123" xr:uid="{00000000-0005-0000-0000-000067250000}"/>
    <cellStyle name="20% - Accent3 7 5 5" xfId="13172" xr:uid="{00000000-0005-0000-0000-000068250000}"/>
    <cellStyle name="20% - Accent3 7 5 5 2" xfId="35774" xr:uid="{00000000-0005-0000-0000-000069250000}"/>
    <cellStyle name="20% - Accent3 7 5 6" xfId="24473" xr:uid="{00000000-0005-0000-0000-00006A250000}"/>
    <cellStyle name="20% - Accent3 7 6" xfId="2297" xr:uid="{00000000-0005-0000-0000-00006B250000}"/>
    <cellStyle name="20% - Accent3 7 6 2" xfId="8133" xr:uid="{00000000-0005-0000-0000-00006C250000}"/>
    <cellStyle name="20% - Accent3 7 6 2 2" xfId="19434" xr:uid="{00000000-0005-0000-0000-00006D250000}"/>
    <cellStyle name="20% - Accent3 7 6 2 2 2" xfId="42036" xr:uid="{00000000-0005-0000-0000-00006E250000}"/>
    <cellStyle name="20% - Accent3 7 6 2 3" xfId="30735" xr:uid="{00000000-0005-0000-0000-00006F250000}"/>
    <cellStyle name="20% - Accent3 7 6 3" xfId="13784" xr:uid="{00000000-0005-0000-0000-000070250000}"/>
    <cellStyle name="20% - Accent3 7 6 3 2" xfId="36386" xr:uid="{00000000-0005-0000-0000-000071250000}"/>
    <cellStyle name="20% - Accent3 7 6 4" xfId="25085" xr:uid="{00000000-0005-0000-0000-000072250000}"/>
    <cellStyle name="20% - Accent3 7 7" xfId="4084" xr:uid="{00000000-0005-0000-0000-000073250000}"/>
    <cellStyle name="20% - Accent3 7 7 2" xfId="9734" xr:uid="{00000000-0005-0000-0000-000074250000}"/>
    <cellStyle name="20% - Accent3 7 7 2 2" xfId="21035" xr:uid="{00000000-0005-0000-0000-000075250000}"/>
    <cellStyle name="20% - Accent3 7 7 2 2 2" xfId="43637" xr:uid="{00000000-0005-0000-0000-000076250000}"/>
    <cellStyle name="20% - Accent3 7 7 2 3" xfId="32336" xr:uid="{00000000-0005-0000-0000-000077250000}"/>
    <cellStyle name="20% - Accent3 7 7 3" xfId="15385" xr:uid="{00000000-0005-0000-0000-000078250000}"/>
    <cellStyle name="20% - Accent3 7 7 3 2" xfId="37987" xr:uid="{00000000-0005-0000-0000-000079250000}"/>
    <cellStyle name="20% - Accent3 7 7 4" xfId="26686" xr:uid="{00000000-0005-0000-0000-00007A250000}"/>
    <cellStyle name="20% - Accent3 7 8" xfId="6535" xr:uid="{00000000-0005-0000-0000-00007B250000}"/>
    <cellStyle name="20% - Accent3 7 8 2" xfId="17836" xr:uid="{00000000-0005-0000-0000-00007C250000}"/>
    <cellStyle name="20% - Accent3 7 8 2 2" xfId="40438" xr:uid="{00000000-0005-0000-0000-00007D250000}"/>
    <cellStyle name="20% - Accent3 7 8 3" xfId="29137" xr:uid="{00000000-0005-0000-0000-00007E250000}"/>
    <cellStyle name="20% - Accent3 7 9" xfId="12186" xr:uid="{00000000-0005-0000-0000-00007F250000}"/>
    <cellStyle name="20% - Accent3 7 9 2" xfId="34788" xr:uid="{00000000-0005-0000-0000-000080250000}"/>
    <cellStyle name="20% - Accent3 8" xfId="495" xr:uid="{00000000-0005-0000-0000-000081250000}"/>
    <cellStyle name="20% - Accent3 8 2" xfId="1266" xr:uid="{00000000-0005-0000-0000-000082250000}"/>
    <cellStyle name="20% - Accent3 8 2 2" xfId="1670" xr:uid="{00000000-0005-0000-0000-000083250000}"/>
    <cellStyle name="20% - Accent3 8 2 2 2" xfId="3335" xr:uid="{00000000-0005-0000-0000-000084250000}"/>
    <cellStyle name="20% - Accent3 8 2 2 2 2" xfId="6307" xr:uid="{00000000-0005-0000-0000-000085250000}"/>
    <cellStyle name="20% - Accent3 8 2 2 2 2 2" xfId="11957" xr:uid="{00000000-0005-0000-0000-000086250000}"/>
    <cellStyle name="20% - Accent3 8 2 2 2 2 2 2" xfId="23258" xr:uid="{00000000-0005-0000-0000-000087250000}"/>
    <cellStyle name="20% - Accent3 8 2 2 2 2 2 2 2" xfId="45860" xr:uid="{00000000-0005-0000-0000-000088250000}"/>
    <cellStyle name="20% - Accent3 8 2 2 2 2 2 3" xfId="34559" xr:uid="{00000000-0005-0000-0000-000089250000}"/>
    <cellStyle name="20% - Accent3 8 2 2 2 2 3" xfId="17608" xr:uid="{00000000-0005-0000-0000-00008A250000}"/>
    <cellStyle name="20% - Accent3 8 2 2 2 2 3 2" xfId="40210" xr:uid="{00000000-0005-0000-0000-00008B250000}"/>
    <cellStyle name="20% - Accent3 8 2 2 2 2 4" xfId="28909" xr:uid="{00000000-0005-0000-0000-00008C250000}"/>
    <cellStyle name="20% - Accent3 8 2 2 2 3" xfId="9125" xr:uid="{00000000-0005-0000-0000-00008D250000}"/>
    <cellStyle name="20% - Accent3 8 2 2 2 3 2" xfId="20426" xr:uid="{00000000-0005-0000-0000-00008E250000}"/>
    <cellStyle name="20% - Accent3 8 2 2 2 3 2 2" xfId="43028" xr:uid="{00000000-0005-0000-0000-00008F250000}"/>
    <cellStyle name="20% - Accent3 8 2 2 2 3 3" xfId="31727" xr:uid="{00000000-0005-0000-0000-000090250000}"/>
    <cellStyle name="20% - Accent3 8 2 2 2 4" xfId="14776" xr:uid="{00000000-0005-0000-0000-000091250000}"/>
    <cellStyle name="20% - Accent3 8 2 2 2 4 2" xfId="37378" xr:uid="{00000000-0005-0000-0000-000092250000}"/>
    <cellStyle name="20% - Accent3 8 2 2 2 5" xfId="26077" xr:uid="{00000000-0005-0000-0000-000093250000}"/>
    <cellStyle name="20% - Accent3 8 2 2 3" xfId="5073" xr:uid="{00000000-0005-0000-0000-000094250000}"/>
    <cellStyle name="20% - Accent3 8 2 2 3 2" xfId="10723" xr:uid="{00000000-0005-0000-0000-000095250000}"/>
    <cellStyle name="20% - Accent3 8 2 2 3 2 2" xfId="22024" xr:uid="{00000000-0005-0000-0000-000096250000}"/>
    <cellStyle name="20% - Accent3 8 2 2 3 2 2 2" xfId="44626" xr:uid="{00000000-0005-0000-0000-000097250000}"/>
    <cellStyle name="20% - Accent3 8 2 2 3 2 3" xfId="33325" xr:uid="{00000000-0005-0000-0000-000098250000}"/>
    <cellStyle name="20% - Accent3 8 2 2 3 3" xfId="16374" xr:uid="{00000000-0005-0000-0000-000099250000}"/>
    <cellStyle name="20% - Accent3 8 2 2 3 3 2" xfId="38976" xr:uid="{00000000-0005-0000-0000-00009A250000}"/>
    <cellStyle name="20% - Accent3 8 2 2 3 4" xfId="27675" xr:uid="{00000000-0005-0000-0000-00009B250000}"/>
    <cellStyle name="20% - Accent3 8 2 2 4" xfId="7526" xr:uid="{00000000-0005-0000-0000-00009C250000}"/>
    <cellStyle name="20% - Accent3 8 2 2 4 2" xfId="18827" xr:uid="{00000000-0005-0000-0000-00009D250000}"/>
    <cellStyle name="20% - Accent3 8 2 2 4 2 2" xfId="41429" xr:uid="{00000000-0005-0000-0000-00009E250000}"/>
    <cellStyle name="20% - Accent3 8 2 2 4 3" xfId="30128" xr:uid="{00000000-0005-0000-0000-00009F250000}"/>
    <cellStyle name="20% - Accent3 8 2 2 5" xfId="13177" xr:uid="{00000000-0005-0000-0000-0000A0250000}"/>
    <cellStyle name="20% - Accent3 8 2 2 5 2" xfId="35779" xr:uid="{00000000-0005-0000-0000-0000A1250000}"/>
    <cellStyle name="20% - Accent3 8 2 2 6" xfId="24478" xr:uid="{00000000-0005-0000-0000-0000A2250000}"/>
    <cellStyle name="20% - Accent3 8 2 3" xfId="2664" xr:uid="{00000000-0005-0000-0000-0000A3250000}"/>
    <cellStyle name="20% - Accent3 8 2 3 2" xfId="5683" xr:uid="{00000000-0005-0000-0000-0000A4250000}"/>
    <cellStyle name="20% - Accent3 8 2 3 2 2" xfId="11333" xr:uid="{00000000-0005-0000-0000-0000A5250000}"/>
    <cellStyle name="20% - Accent3 8 2 3 2 2 2" xfId="22634" xr:uid="{00000000-0005-0000-0000-0000A6250000}"/>
    <cellStyle name="20% - Accent3 8 2 3 2 2 2 2" xfId="45236" xr:uid="{00000000-0005-0000-0000-0000A7250000}"/>
    <cellStyle name="20% - Accent3 8 2 3 2 2 3" xfId="33935" xr:uid="{00000000-0005-0000-0000-0000A8250000}"/>
    <cellStyle name="20% - Accent3 8 2 3 2 3" xfId="16984" xr:uid="{00000000-0005-0000-0000-0000A9250000}"/>
    <cellStyle name="20% - Accent3 8 2 3 2 3 2" xfId="39586" xr:uid="{00000000-0005-0000-0000-0000AA250000}"/>
    <cellStyle name="20% - Accent3 8 2 3 2 4" xfId="28285" xr:uid="{00000000-0005-0000-0000-0000AB250000}"/>
    <cellStyle name="20% - Accent3 8 2 3 3" xfId="8500" xr:uid="{00000000-0005-0000-0000-0000AC250000}"/>
    <cellStyle name="20% - Accent3 8 2 3 3 2" xfId="19801" xr:uid="{00000000-0005-0000-0000-0000AD250000}"/>
    <cellStyle name="20% - Accent3 8 2 3 3 2 2" xfId="42403" xr:uid="{00000000-0005-0000-0000-0000AE250000}"/>
    <cellStyle name="20% - Accent3 8 2 3 3 3" xfId="31102" xr:uid="{00000000-0005-0000-0000-0000AF250000}"/>
    <cellStyle name="20% - Accent3 8 2 3 4" xfId="14151" xr:uid="{00000000-0005-0000-0000-0000B0250000}"/>
    <cellStyle name="20% - Accent3 8 2 3 4 2" xfId="36753" xr:uid="{00000000-0005-0000-0000-0000B1250000}"/>
    <cellStyle name="20% - Accent3 8 2 3 5" xfId="25452" xr:uid="{00000000-0005-0000-0000-0000B2250000}"/>
    <cellStyle name="20% - Accent3 8 2 4" xfId="4449" xr:uid="{00000000-0005-0000-0000-0000B3250000}"/>
    <cellStyle name="20% - Accent3 8 2 4 2" xfId="10099" xr:uid="{00000000-0005-0000-0000-0000B4250000}"/>
    <cellStyle name="20% - Accent3 8 2 4 2 2" xfId="21400" xr:uid="{00000000-0005-0000-0000-0000B5250000}"/>
    <cellStyle name="20% - Accent3 8 2 4 2 2 2" xfId="44002" xr:uid="{00000000-0005-0000-0000-0000B6250000}"/>
    <cellStyle name="20% - Accent3 8 2 4 2 3" xfId="32701" xr:uid="{00000000-0005-0000-0000-0000B7250000}"/>
    <cellStyle name="20% - Accent3 8 2 4 3" xfId="15750" xr:uid="{00000000-0005-0000-0000-0000B8250000}"/>
    <cellStyle name="20% - Accent3 8 2 4 3 2" xfId="38352" xr:uid="{00000000-0005-0000-0000-0000B9250000}"/>
    <cellStyle name="20% - Accent3 8 2 4 4" xfId="27051" xr:uid="{00000000-0005-0000-0000-0000BA250000}"/>
    <cellStyle name="20% - Accent3 8 2 5" xfId="7245" xr:uid="{00000000-0005-0000-0000-0000BB250000}"/>
    <cellStyle name="20% - Accent3 8 2 5 2" xfId="18546" xr:uid="{00000000-0005-0000-0000-0000BC250000}"/>
    <cellStyle name="20% - Accent3 8 2 5 2 2" xfId="41148" xr:uid="{00000000-0005-0000-0000-0000BD250000}"/>
    <cellStyle name="20% - Accent3 8 2 5 3" xfId="29847" xr:uid="{00000000-0005-0000-0000-0000BE250000}"/>
    <cellStyle name="20% - Accent3 8 2 6" xfId="12896" xr:uid="{00000000-0005-0000-0000-0000BF250000}"/>
    <cellStyle name="20% - Accent3 8 2 6 2" xfId="35498" xr:uid="{00000000-0005-0000-0000-0000C0250000}"/>
    <cellStyle name="20% - Accent3 8 2 7" xfId="24197" xr:uid="{00000000-0005-0000-0000-0000C1250000}"/>
    <cellStyle name="20% - Accent3 8 3" xfId="963" xr:uid="{00000000-0005-0000-0000-0000C2250000}"/>
    <cellStyle name="20% - Accent3 8 3 2" xfId="3027" xr:uid="{00000000-0005-0000-0000-0000C3250000}"/>
    <cellStyle name="20% - Accent3 8 3 2 2" xfId="5999" xr:uid="{00000000-0005-0000-0000-0000C4250000}"/>
    <cellStyle name="20% - Accent3 8 3 2 2 2" xfId="11649" xr:uid="{00000000-0005-0000-0000-0000C5250000}"/>
    <cellStyle name="20% - Accent3 8 3 2 2 2 2" xfId="22950" xr:uid="{00000000-0005-0000-0000-0000C6250000}"/>
    <cellStyle name="20% - Accent3 8 3 2 2 2 2 2" xfId="45552" xr:uid="{00000000-0005-0000-0000-0000C7250000}"/>
    <cellStyle name="20% - Accent3 8 3 2 2 2 3" xfId="34251" xr:uid="{00000000-0005-0000-0000-0000C8250000}"/>
    <cellStyle name="20% - Accent3 8 3 2 2 3" xfId="17300" xr:uid="{00000000-0005-0000-0000-0000C9250000}"/>
    <cellStyle name="20% - Accent3 8 3 2 2 3 2" xfId="39902" xr:uid="{00000000-0005-0000-0000-0000CA250000}"/>
    <cellStyle name="20% - Accent3 8 3 2 2 4" xfId="28601" xr:uid="{00000000-0005-0000-0000-0000CB250000}"/>
    <cellStyle name="20% - Accent3 8 3 2 3" xfId="8817" xr:uid="{00000000-0005-0000-0000-0000CC250000}"/>
    <cellStyle name="20% - Accent3 8 3 2 3 2" xfId="20118" xr:uid="{00000000-0005-0000-0000-0000CD250000}"/>
    <cellStyle name="20% - Accent3 8 3 2 3 2 2" xfId="42720" xr:uid="{00000000-0005-0000-0000-0000CE250000}"/>
    <cellStyle name="20% - Accent3 8 3 2 3 3" xfId="31419" xr:uid="{00000000-0005-0000-0000-0000CF250000}"/>
    <cellStyle name="20% - Accent3 8 3 2 4" xfId="14468" xr:uid="{00000000-0005-0000-0000-0000D0250000}"/>
    <cellStyle name="20% - Accent3 8 3 2 4 2" xfId="37070" xr:uid="{00000000-0005-0000-0000-0000D1250000}"/>
    <cellStyle name="20% - Accent3 8 3 2 5" xfId="25769" xr:uid="{00000000-0005-0000-0000-0000D2250000}"/>
    <cellStyle name="20% - Accent3 8 3 3" xfId="4765" xr:uid="{00000000-0005-0000-0000-0000D3250000}"/>
    <cellStyle name="20% - Accent3 8 3 3 2" xfId="10415" xr:uid="{00000000-0005-0000-0000-0000D4250000}"/>
    <cellStyle name="20% - Accent3 8 3 3 2 2" xfId="21716" xr:uid="{00000000-0005-0000-0000-0000D5250000}"/>
    <cellStyle name="20% - Accent3 8 3 3 2 2 2" xfId="44318" xr:uid="{00000000-0005-0000-0000-0000D6250000}"/>
    <cellStyle name="20% - Accent3 8 3 3 2 3" xfId="33017" xr:uid="{00000000-0005-0000-0000-0000D7250000}"/>
    <cellStyle name="20% - Accent3 8 3 3 3" xfId="16066" xr:uid="{00000000-0005-0000-0000-0000D8250000}"/>
    <cellStyle name="20% - Accent3 8 3 3 3 2" xfId="38668" xr:uid="{00000000-0005-0000-0000-0000D9250000}"/>
    <cellStyle name="20% - Accent3 8 3 3 4" xfId="27367" xr:uid="{00000000-0005-0000-0000-0000DA250000}"/>
    <cellStyle name="20% - Accent3 8 3 4" xfId="6952" xr:uid="{00000000-0005-0000-0000-0000DB250000}"/>
    <cellStyle name="20% - Accent3 8 3 4 2" xfId="18253" xr:uid="{00000000-0005-0000-0000-0000DC250000}"/>
    <cellStyle name="20% - Accent3 8 3 4 2 2" xfId="40855" xr:uid="{00000000-0005-0000-0000-0000DD250000}"/>
    <cellStyle name="20% - Accent3 8 3 4 3" xfId="29554" xr:uid="{00000000-0005-0000-0000-0000DE250000}"/>
    <cellStyle name="20% - Accent3 8 3 5" xfId="12603" xr:uid="{00000000-0005-0000-0000-0000DF250000}"/>
    <cellStyle name="20% - Accent3 8 3 5 2" xfId="35205" xr:uid="{00000000-0005-0000-0000-0000E0250000}"/>
    <cellStyle name="20% - Accent3 8 3 6" xfId="23904" xr:uid="{00000000-0005-0000-0000-0000E1250000}"/>
    <cellStyle name="20% - Accent3 8 4" xfId="1669" xr:uid="{00000000-0005-0000-0000-0000E2250000}"/>
    <cellStyle name="20% - Accent3 8 4 2" xfId="3627" xr:uid="{00000000-0005-0000-0000-0000E3250000}"/>
    <cellStyle name="20% - Accent3 8 4 2 2" xfId="9340" xr:uid="{00000000-0005-0000-0000-0000E4250000}"/>
    <cellStyle name="20% - Accent3 8 4 2 2 2" xfId="20641" xr:uid="{00000000-0005-0000-0000-0000E5250000}"/>
    <cellStyle name="20% - Accent3 8 4 2 2 2 2" xfId="43243" xr:uid="{00000000-0005-0000-0000-0000E6250000}"/>
    <cellStyle name="20% - Accent3 8 4 2 2 3" xfId="31942" xr:uid="{00000000-0005-0000-0000-0000E7250000}"/>
    <cellStyle name="20% - Accent3 8 4 2 3" xfId="14991" xr:uid="{00000000-0005-0000-0000-0000E8250000}"/>
    <cellStyle name="20% - Accent3 8 4 2 3 2" xfId="37593" xr:uid="{00000000-0005-0000-0000-0000E9250000}"/>
    <cellStyle name="20% - Accent3 8 4 2 4" xfId="26292" xr:uid="{00000000-0005-0000-0000-0000EA250000}"/>
    <cellStyle name="20% - Accent3 8 4 3" xfId="5375" xr:uid="{00000000-0005-0000-0000-0000EB250000}"/>
    <cellStyle name="20% - Accent3 8 4 3 2" xfId="11025" xr:uid="{00000000-0005-0000-0000-0000EC250000}"/>
    <cellStyle name="20% - Accent3 8 4 3 2 2" xfId="22326" xr:uid="{00000000-0005-0000-0000-0000ED250000}"/>
    <cellStyle name="20% - Accent3 8 4 3 2 2 2" xfId="44928" xr:uid="{00000000-0005-0000-0000-0000EE250000}"/>
    <cellStyle name="20% - Accent3 8 4 3 2 3" xfId="33627" xr:uid="{00000000-0005-0000-0000-0000EF250000}"/>
    <cellStyle name="20% - Accent3 8 4 3 3" xfId="16676" xr:uid="{00000000-0005-0000-0000-0000F0250000}"/>
    <cellStyle name="20% - Accent3 8 4 3 3 2" xfId="39278" xr:uid="{00000000-0005-0000-0000-0000F1250000}"/>
    <cellStyle name="20% - Accent3 8 4 3 4" xfId="27977" xr:uid="{00000000-0005-0000-0000-0000F2250000}"/>
    <cellStyle name="20% - Accent3 8 4 4" xfId="7525" xr:uid="{00000000-0005-0000-0000-0000F3250000}"/>
    <cellStyle name="20% - Accent3 8 4 4 2" xfId="18826" xr:uid="{00000000-0005-0000-0000-0000F4250000}"/>
    <cellStyle name="20% - Accent3 8 4 4 2 2" xfId="41428" xr:uid="{00000000-0005-0000-0000-0000F5250000}"/>
    <cellStyle name="20% - Accent3 8 4 4 3" xfId="30127" xr:uid="{00000000-0005-0000-0000-0000F6250000}"/>
    <cellStyle name="20% - Accent3 8 4 5" xfId="13176" xr:uid="{00000000-0005-0000-0000-0000F7250000}"/>
    <cellStyle name="20% - Accent3 8 4 5 2" xfId="35778" xr:uid="{00000000-0005-0000-0000-0000F8250000}"/>
    <cellStyle name="20% - Accent3 8 4 6" xfId="24477" xr:uid="{00000000-0005-0000-0000-0000F9250000}"/>
    <cellStyle name="20% - Accent3 8 5" xfId="2356" xr:uid="{00000000-0005-0000-0000-0000FA250000}"/>
    <cellStyle name="20% - Accent3 8 5 2" xfId="8192" xr:uid="{00000000-0005-0000-0000-0000FB250000}"/>
    <cellStyle name="20% - Accent3 8 5 2 2" xfId="19493" xr:uid="{00000000-0005-0000-0000-0000FC250000}"/>
    <cellStyle name="20% - Accent3 8 5 2 2 2" xfId="42095" xr:uid="{00000000-0005-0000-0000-0000FD250000}"/>
    <cellStyle name="20% - Accent3 8 5 2 3" xfId="30794" xr:uid="{00000000-0005-0000-0000-0000FE250000}"/>
    <cellStyle name="20% - Accent3 8 5 3" xfId="13843" xr:uid="{00000000-0005-0000-0000-0000FF250000}"/>
    <cellStyle name="20% - Accent3 8 5 3 2" xfId="36445" xr:uid="{00000000-0005-0000-0000-000000260000}"/>
    <cellStyle name="20% - Accent3 8 5 4" xfId="25144" xr:uid="{00000000-0005-0000-0000-000001260000}"/>
    <cellStyle name="20% - Accent3 8 6" xfId="4141" xr:uid="{00000000-0005-0000-0000-000002260000}"/>
    <cellStyle name="20% - Accent3 8 6 2" xfId="9791" xr:uid="{00000000-0005-0000-0000-000003260000}"/>
    <cellStyle name="20% - Accent3 8 6 2 2" xfId="21092" xr:uid="{00000000-0005-0000-0000-000004260000}"/>
    <cellStyle name="20% - Accent3 8 6 2 2 2" xfId="43694" xr:uid="{00000000-0005-0000-0000-000005260000}"/>
    <cellStyle name="20% - Accent3 8 6 2 3" xfId="32393" xr:uid="{00000000-0005-0000-0000-000006260000}"/>
    <cellStyle name="20% - Accent3 8 6 3" xfId="15442" xr:uid="{00000000-0005-0000-0000-000007260000}"/>
    <cellStyle name="20% - Accent3 8 6 3 2" xfId="38044" xr:uid="{00000000-0005-0000-0000-000008260000}"/>
    <cellStyle name="20% - Accent3 8 6 4" xfId="26743" xr:uid="{00000000-0005-0000-0000-000009260000}"/>
    <cellStyle name="20% - Accent3 8 7" xfId="6592" xr:uid="{00000000-0005-0000-0000-00000A260000}"/>
    <cellStyle name="20% - Accent3 8 7 2" xfId="17893" xr:uid="{00000000-0005-0000-0000-00000B260000}"/>
    <cellStyle name="20% - Accent3 8 7 2 2" xfId="40495" xr:uid="{00000000-0005-0000-0000-00000C260000}"/>
    <cellStyle name="20% - Accent3 8 7 3" xfId="29194" xr:uid="{00000000-0005-0000-0000-00000D260000}"/>
    <cellStyle name="20% - Accent3 8 8" xfId="12243" xr:uid="{00000000-0005-0000-0000-00000E260000}"/>
    <cellStyle name="20% - Accent3 8 8 2" xfId="34845" xr:uid="{00000000-0005-0000-0000-00000F260000}"/>
    <cellStyle name="20% - Accent3 8 9" xfId="23544" xr:uid="{00000000-0005-0000-0000-000010260000}"/>
    <cellStyle name="20% - Accent3 9" xfId="697" xr:uid="{00000000-0005-0000-0000-000011260000}"/>
    <cellStyle name="20% - Accent3 9 2" xfId="756" xr:uid="{00000000-0005-0000-0000-000012260000}"/>
    <cellStyle name="20% - Accent3 9 2 2" xfId="3167" xr:uid="{00000000-0005-0000-0000-000013260000}"/>
    <cellStyle name="20% - Accent3 9 2 2 2" xfId="6139" xr:uid="{00000000-0005-0000-0000-000014260000}"/>
    <cellStyle name="20% - Accent3 9 2 2 2 2" xfId="11789" xr:uid="{00000000-0005-0000-0000-000015260000}"/>
    <cellStyle name="20% - Accent3 9 2 2 2 2 2" xfId="23090" xr:uid="{00000000-0005-0000-0000-000016260000}"/>
    <cellStyle name="20% - Accent3 9 2 2 2 2 2 2" xfId="45692" xr:uid="{00000000-0005-0000-0000-000017260000}"/>
    <cellStyle name="20% - Accent3 9 2 2 2 2 3" xfId="34391" xr:uid="{00000000-0005-0000-0000-000018260000}"/>
    <cellStyle name="20% - Accent3 9 2 2 2 3" xfId="17440" xr:uid="{00000000-0005-0000-0000-000019260000}"/>
    <cellStyle name="20% - Accent3 9 2 2 2 3 2" xfId="40042" xr:uid="{00000000-0005-0000-0000-00001A260000}"/>
    <cellStyle name="20% - Accent3 9 2 2 2 4" xfId="28741" xr:uid="{00000000-0005-0000-0000-00001B260000}"/>
    <cellStyle name="20% - Accent3 9 2 2 3" xfId="8957" xr:uid="{00000000-0005-0000-0000-00001C260000}"/>
    <cellStyle name="20% - Accent3 9 2 2 3 2" xfId="20258" xr:uid="{00000000-0005-0000-0000-00001D260000}"/>
    <cellStyle name="20% - Accent3 9 2 2 3 2 2" xfId="42860" xr:uid="{00000000-0005-0000-0000-00001E260000}"/>
    <cellStyle name="20% - Accent3 9 2 2 3 3" xfId="31559" xr:uid="{00000000-0005-0000-0000-00001F260000}"/>
    <cellStyle name="20% - Accent3 9 2 2 4" xfId="14608" xr:uid="{00000000-0005-0000-0000-000020260000}"/>
    <cellStyle name="20% - Accent3 9 2 2 4 2" xfId="37210" xr:uid="{00000000-0005-0000-0000-000021260000}"/>
    <cellStyle name="20% - Accent3 9 2 2 5" xfId="25909" xr:uid="{00000000-0005-0000-0000-000022260000}"/>
    <cellStyle name="20% - Accent3 9 2 3" xfId="4905" xr:uid="{00000000-0005-0000-0000-000023260000}"/>
    <cellStyle name="20% - Accent3 9 2 3 2" xfId="10555" xr:uid="{00000000-0005-0000-0000-000024260000}"/>
    <cellStyle name="20% - Accent3 9 2 3 2 2" xfId="21856" xr:uid="{00000000-0005-0000-0000-000025260000}"/>
    <cellStyle name="20% - Accent3 9 2 3 2 2 2" xfId="44458" xr:uid="{00000000-0005-0000-0000-000026260000}"/>
    <cellStyle name="20% - Accent3 9 2 3 2 3" xfId="33157" xr:uid="{00000000-0005-0000-0000-000027260000}"/>
    <cellStyle name="20% - Accent3 9 2 3 3" xfId="16206" xr:uid="{00000000-0005-0000-0000-000028260000}"/>
    <cellStyle name="20% - Accent3 9 2 3 3 2" xfId="38808" xr:uid="{00000000-0005-0000-0000-000029260000}"/>
    <cellStyle name="20% - Accent3 9 2 3 4" xfId="27507" xr:uid="{00000000-0005-0000-0000-00002A260000}"/>
    <cellStyle name="20% - Accent3 9 2 4" xfId="6781" xr:uid="{00000000-0005-0000-0000-00002B260000}"/>
    <cellStyle name="20% - Accent3 9 2 4 2" xfId="18082" xr:uid="{00000000-0005-0000-0000-00002C260000}"/>
    <cellStyle name="20% - Accent3 9 2 4 2 2" xfId="40684" xr:uid="{00000000-0005-0000-0000-00002D260000}"/>
    <cellStyle name="20% - Accent3 9 2 4 3" xfId="29383" xr:uid="{00000000-0005-0000-0000-00002E260000}"/>
    <cellStyle name="20% - Accent3 9 2 5" xfId="12432" xr:uid="{00000000-0005-0000-0000-00002F260000}"/>
    <cellStyle name="20% - Accent3 9 2 5 2" xfId="35034" xr:uid="{00000000-0005-0000-0000-000030260000}"/>
    <cellStyle name="20% - Accent3 9 2 6" xfId="23733" xr:uid="{00000000-0005-0000-0000-000031260000}"/>
    <cellStyle name="20% - Accent3 9 3" xfId="1671" xr:uid="{00000000-0005-0000-0000-000032260000}"/>
    <cellStyle name="20% - Accent3 9 3 2" xfId="3628" xr:uid="{00000000-0005-0000-0000-000033260000}"/>
    <cellStyle name="20% - Accent3 9 3 2 2" xfId="9341" xr:uid="{00000000-0005-0000-0000-000034260000}"/>
    <cellStyle name="20% - Accent3 9 3 2 2 2" xfId="20642" xr:uid="{00000000-0005-0000-0000-000035260000}"/>
    <cellStyle name="20% - Accent3 9 3 2 2 2 2" xfId="43244" xr:uid="{00000000-0005-0000-0000-000036260000}"/>
    <cellStyle name="20% - Accent3 9 3 2 2 3" xfId="31943" xr:uid="{00000000-0005-0000-0000-000037260000}"/>
    <cellStyle name="20% - Accent3 9 3 2 3" xfId="14992" xr:uid="{00000000-0005-0000-0000-000038260000}"/>
    <cellStyle name="20% - Accent3 9 3 2 3 2" xfId="37594" xr:uid="{00000000-0005-0000-0000-000039260000}"/>
    <cellStyle name="20% - Accent3 9 3 2 4" xfId="26293" xr:uid="{00000000-0005-0000-0000-00003A260000}"/>
    <cellStyle name="20% - Accent3 9 3 3" xfId="5515" xr:uid="{00000000-0005-0000-0000-00003B260000}"/>
    <cellStyle name="20% - Accent3 9 3 3 2" xfId="11165" xr:uid="{00000000-0005-0000-0000-00003C260000}"/>
    <cellStyle name="20% - Accent3 9 3 3 2 2" xfId="22466" xr:uid="{00000000-0005-0000-0000-00003D260000}"/>
    <cellStyle name="20% - Accent3 9 3 3 2 2 2" xfId="45068" xr:uid="{00000000-0005-0000-0000-00003E260000}"/>
    <cellStyle name="20% - Accent3 9 3 3 2 3" xfId="33767" xr:uid="{00000000-0005-0000-0000-00003F260000}"/>
    <cellStyle name="20% - Accent3 9 3 3 3" xfId="16816" xr:uid="{00000000-0005-0000-0000-000040260000}"/>
    <cellStyle name="20% - Accent3 9 3 3 3 2" xfId="39418" xr:uid="{00000000-0005-0000-0000-000041260000}"/>
    <cellStyle name="20% - Accent3 9 3 3 4" xfId="28117" xr:uid="{00000000-0005-0000-0000-000042260000}"/>
    <cellStyle name="20% - Accent3 9 3 4" xfId="7527" xr:uid="{00000000-0005-0000-0000-000043260000}"/>
    <cellStyle name="20% - Accent3 9 3 4 2" xfId="18828" xr:uid="{00000000-0005-0000-0000-000044260000}"/>
    <cellStyle name="20% - Accent3 9 3 4 2 2" xfId="41430" xr:uid="{00000000-0005-0000-0000-000045260000}"/>
    <cellStyle name="20% - Accent3 9 3 4 3" xfId="30129" xr:uid="{00000000-0005-0000-0000-000046260000}"/>
    <cellStyle name="20% - Accent3 9 3 5" xfId="13178" xr:uid="{00000000-0005-0000-0000-000047260000}"/>
    <cellStyle name="20% - Accent3 9 3 5 2" xfId="35780" xr:uid="{00000000-0005-0000-0000-000048260000}"/>
    <cellStyle name="20% - Accent3 9 3 6" xfId="24479" xr:uid="{00000000-0005-0000-0000-000049260000}"/>
    <cellStyle name="20% - Accent3 9 4" xfId="2496" xr:uid="{00000000-0005-0000-0000-00004A260000}"/>
    <cellStyle name="20% - Accent3 9 4 2" xfId="8332" xr:uid="{00000000-0005-0000-0000-00004B260000}"/>
    <cellStyle name="20% - Accent3 9 4 2 2" xfId="19633" xr:uid="{00000000-0005-0000-0000-00004C260000}"/>
    <cellStyle name="20% - Accent3 9 4 2 2 2" xfId="42235" xr:uid="{00000000-0005-0000-0000-00004D260000}"/>
    <cellStyle name="20% - Accent3 9 4 2 3" xfId="30934" xr:uid="{00000000-0005-0000-0000-00004E260000}"/>
    <cellStyle name="20% - Accent3 9 4 3" xfId="13983" xr:uid="{00000000-0005-0000-0000-00004F260000}"/>
    <cellStyle name="20% - Accent3 9 4 3 2" xfId="36585" xr:uid="{00000000-0005-0000-0000-000050260000}"/>
    <cellStyle name="20% - Accent3 9 4 4" xfId="25284" xr:uid="{00000000-0005-0000-0000-000051260000}"/>
    <cellStyle name="20% - Accent3 9 5" xfId="4281" xr:uid="{00000000-0005-0000-0000-000052260000}"/>
    <cellStyle name="20% - Accent3 9 5 2" xfId="9931" xr:uid="{00000000-0005-0000-0000-000053260000}"/>
    <cellStyle name="20% - Accent3 9 5 2 2" xfId="21232" xr:uid="{00000000-0005-0000-0000-000054260000}"/>
    <cellStyle name="20% - Accent3 9 5 2 2 2" xfId="43834" xr:uid="{00000000-0005-0000-0000-000055260000}"/>
    <cellStyle name="20% - Accent3 9 5 2 3" xfId="32533" xr:uid="{00000000-0005-0000-0000-000056260000}"/>
    <cellStyle name="20% - Accent3 9 5 3" xfId="15582" xr:uid="{00000000-0005-0000-0000-000057260000}"/>
    <cellStyle name="20% - Accent3 9 5 3 2" xfId="38184" xr:uid="{00000000-0005-0000-0000-000058260000}"/>
    <cellStyle name="20% - Accent3 9 5 4" xfId="26883" xr:uid="{00000000-0005-0000-0000-000059260000}"/>
    <cellStyle name="20% - Accent3 9 6" xfId="6760" xr:uid="{00000000-0005-0000-0000-00005A260000}"/>
    <cellStyle name="20% - Accent3 9 6 2" xfId="18061" xr:uid="{00000000-0005-0000-0000-00005B260000}"/>
    <cellStyle name="20% - Accent3 9 6 2 2" xfId="40663" xr:uid="{00000000-0005-0000-0000-00005C260000}"/>
    <cellStyle name="20% - Accent3 9 6 3" xfId="29362" xr:uid="{00000000-0005-0000-0000-00005D260000}"/>
    <cellStyle name="20% - Accent3 9 7" xfId="12411" xr:uid="{00000000-0005-0000-0000-00005E260000}"/>
    <cellStyle name="20% - Accent3 9 7 2" xfId="35013" xr:uid="{00000000-0005-0000-0000-00005F260000}"/>
    <cellStyle name="20% - Accent3 9 8" xfId="23712" xr:uid="{00000000-0005-0000-0000-000060260000}"/>
    <cellStyle name="20% - Accent4" xfId="31" builtinId="42" customBuiltin="1"/>
    <cellStyle name="20% - Accent4 10" xfId="1481" xr:uid="{00000000-0005-0000-0000-000062260000}"/>
    <cellStyle name="20% - Accent4 10 2" xfId="1672" xr:uid="{00000000-0005-0000-0000-000063260000}"/>
    <cellStyle name="20% - Accent4 10 2 2" xfId="3329" xr:uid="{00000000-0005-0000-0000-000064260000}"/>
    <cellStyle name="20% - Accent4 10 2 2 2" xfId="6301" xr:uid="{00000000-0005-0000-0000-000065260000}"/>
    <cellStyle name="20% - Accent4 10 2 2 2 2" xfId="11951" xr:uid="{00000000-0005-0000-0000-000066260000}"/>
    <cellStyle name="20% - Accent4 10 2 2 2 2 2" xfId="23252" xr:uid="{00000000-0005-0000-0000-000067260000}"/>
    <cellStyle name="20% - Accent4 10 2 2 2 2 2 2" xfId="45854" xr:uid="{00000000-0005-0000-0000-000068260000}"/>
    <cellStyle name="20% - Accent4 10 2 2 2 2 3" xfId="34553" xr:uid="{00000000-0005-0000-0000-000069260000}"/>
    <cellStyle name="20% - Accent4 10 2 2 2 3" xfId="17602" xr:uid="{00000000-0005-0000-0000-00006A260000}"/>
    <cellStyle name="20% - Accent4 10 2 2 2 3 2" xfId="40204" xr:uid="{00000000-0005-0000-0000-00006B260000}"/>
    <cellStyle name="20% - Accent4 10 2 2 2 4" xfId="28903" xr:uid="{00000000-0005-0000-0000-00006C260000}"/>
    <cellStyle name="20% - Accent4 10 2 2 3" xfId="9119" xr:uid="{00000000-0005-0000-0000-00006D260000}"/>
    <cellStyle name="20% - Accent4 10 2 2 3 2" xfId="20420" xr:uid="{00000000-0005-0000-0000-00006E260000}"/>
    <cellStyle name="20% - Accent4 10 2 2 3 2 2" xfId="43022" xr:uid="{00000000-0005-0000-0000-00006F260000}"/>
    <cellStyle name="20% - Accent4 10 2 2 3 3" xfId="31721" xr:uid="{00000000-0005-0000-0000-000070260000}"/>
    <cellStyle name="20% - Accent4 10 2 2 4" xfId="14770" xr:uid="{00000000-0005-0000-0000-000071260000}"/>
    <cellStyle name="20% - Accent4 10 2 2 4 2" xfId="37372" xr:uid="{00000000-0005-0000-0000-000072260000}"/>
    <cellStyle name="20% - Accent4 10 2 2 5" xfId="26071" xr:uid="{00000000-0005-0000-0000-000073260000}"/>
    <cellStyle name="20% - Accent4 10 2 3" xfId="5067" xr:uid="{00000000-0005-0000-0000-000074260000}"/>
    <cellStyle name="20% - Accent4 10 2 3 2" xfId="10717" xr:uid="{00000000-0005-0000-0000-000075260000}"/>
    <cellStyle name="20% - Accent4 10 2 3 2 2" xfId="22018" xr:uid="{00000000-0005-0000-0000-000076260000}"/>
    <cellStyle name="20% - Accent4 10 2 3 2 2 2" xfId="44620" xr:uid="{00000000-0005-0000-0000-000077260000}"/>
    <cellStyle name="20% - Accent4 10 2 3 2 3" xfId="33319" xr:uid="{00000000-0005-0000-0000-000078260000}"/>
    <cellStyle name="20% - Accent4 10 2 3 3" xfId="16368" xr:uid="{00000000-0005-0000-0000-000079260000}"/>
    <cellStyle name="20% - Accent4 10 2 3 3 2" xfId="38970" xr:uid="{00000000-0005-0000-0000-00007A260000}"/>
    <cellStyle name="20% - Accent4 10 2 3 4" xfId="27669" xr:uid="{00000000-0005-0000-0000-00007B260000}"/>
    <cellStyle name="20% - Accent4 10 2 4" xfId="7528" xr:uid="{00000000-0005-0000-0000-00007C260000}"/>
    <cellStyle name="20% - Accent4 10 2 4 2" xfId="18829" xr:uid="{00000000-0005-0000-0000-00007D260000}"/>
    <cellStyle name="20% - Accent4 10 2 4 2 2" xfId="41431" xr:uid="{00000000-0005-0000-0000-00007E260000}"/>
    <cellStyle name="20% - Accent4 10 2 4 3" xfId="30130" xr:uid="{00000000-0005-0000-0000-00007F260000}"/>
    <cellStyle name="20% - Accent4 10 2 5" xfId="13179" xr:uid="{00000000-0005-0000-0000-000080260000}"/>
    <cellStyle name="20% - Accent4 10 2 5 2" xfId="35781" xr:uid="{00000000-0005-0000-0000-000081260000}"/>
    <cellStyle name="20% - Accent4 10 2 6" xfId="24480" xr:uid="{00000000-0005-0000-0000-000082260000}"/>
    <cellStyle name="20% - Accent4 10 3" xfId="2658" xr:uid="{00000000-0005-0000-0000-000083260000}"/>
    <cellStyle name="20% - Accent4 10 3 2" xfId="5677" xr:uid="{00000000-0005-0000-0000-000084260000}"/>
    <cellStyle name="20% - Accent4 10 3 2 2" xfId="11327" xr:uid="{00000000-0005-0000-0000-000085260000}"/>
    <cellStyle name="20% - Accent4 10 3 2 2 2" xfId="22628" xr:uid="{00000000-0005-0000-0000-000086260000}"/>
    <cellStyle name="20% - Accent4 10 3 2 2 2 2" xfId="45230" xr:uid="{00000000-0005-0000-0000-000087260000}"/>
    <cellStyle name="20% - Accent4 10 3 2 2 3" xfId="33929" xr:uid="{00000000-0005-0000-0000-000088260000}"/>
    <cellStyle name="20% - Accent4 10 3 2 3" xfId="16978" xr:uid="{00000000-0005-0000-0000-000089260000}"/>
    <cellStyle name="20% - Accent4 10 3 2 3 2" xfId="39580" xr:uid="{00000000-0005-0000-0000-00008A260000}"/>
    <cellStyle name="20% - Accent4 10 3 2 4" xfId="28279" xr:uid="{00000000-0005-0000-0000-00008B260000}"/>
    <cellStyle name="20% - Accent4 10 3 3" xfId="8494" xr:uid="{00000000-0005-0000-0000-00008C260000}"/>
    <cellStyle name="20% - Accent4 10 3 3 2" xfId="19795" xr:uid="{00000000-0005-0000-0000-00008D260000}"/>
    <cellStyle name="20% - Accent4 10 3 3 2 2" xfId="42397" xr:uid="{00000000-0005-0000-0000-00008E260000}"/>
    <cellStyle name="20% - Accent4 10 3 3 3" xfId="31096" xr:uid="{00000000-0005-0000-0000-00008F260000}"/>
    <cellStyle name="20% - Accent4 10 3 4" xfId="14145" xr:uid="{00000000-0005-0000-0000-000090260000}"/>
    <cellStyle name="20% - Accent4 10 3 4 2" xfId="36747" xr:uid="{00000000-0005-0000-0000-000091260000}"/>
    <cellStyle name="20% - Accent4 10 3 5" xfId="25446" xr:uid="{00000000-0005-0000-0000-000092260000}"/>
    <cellStyle name="20% - Accent4 10 4" xfId="4443" xr:uid="{00000000-0005-0000-0000-000093260000}"/>
    <cellStyle name="20% - Accent4 10 4 2" xfId="10093" xr:uid="{00000000-0005-0000-0000-000094260000}"/>
    <cellStyle name="20% - Accent4 10 4 2 2" xfId="21394" xr:uid="{00000000-0005-0000-0000-000095260000}"/>
    <cellStyle name="20% - Accent4 10 4 2 2 2" xfId="43996" xr:uid="{00000000-0005-0000-0000-000096260000}"/>
    <cellStyle name="20% - Accent4 10 4 2 3" xfId="32695" xr:uid="{00000000-0005-0000-0000-000097260000}"/>
    <cellStyle name="20% - Accent4 10 4 3" xfId="15744" xr:uid="{00000000-0005-0000-0000-000098260000}"/>
    <cellStyle name="20% - Accent4 10 4 3 2" xfId="38346" xr:uid="{00000000-0005-0000-0000-000099260000}"/>
    <cellStyle name="20% - Accent4 10 4 4" xfId="27045" xr:uid="{00000000-0005-0000-0000-00009A260000}"/>
    <cellStyle name="20% - Accent4 10 5" xfId="7386" xr:uid="{00000000-0005-0000-0000-00009B260000}"/>
    <cellStyle name="20% - Accent4 10 5 2" xfId="18687" xr:uid="{00000000-0005-0000-0000-00009C260000}"/>
    <cellStyle name="20% - Accent4 10 5 2 2" xfId="41289" xr:uid="{00000000-0005-0000-0000-00009D260000}"/>
    <cellStyle name="20% - Accent4 10 5 3" xfId="29988" xr:uid="{00000000-0005-0000-0000-00009E260000}"/>
    <cellStyle name="20% - Accent4 10 6" xfId="13037" xr:uid="{00000000-0005-0000-0000-00009F260000}"/>
    <cellStyle name="20% - Accent4 10 6 2" xfId="35639" xr:uid="{00000000-0005-0000-0000-0000A0260000}"/>
    <cellStyle name="20% - Accent4 10 7" xfId="24338" xr:uid="{00000000-0005-0000-0000-0000A1260000}"/>
    <cellStyle name="20% - Accent4 11" xfId="1410" xr:uid="{00000000-0005-0000-0000-0000A2260000}"/>
    <cellStyle name="20% - Accent4 11 2" xfId="1673" xr:uid="{00000000-0005-0000-0000-0000A3260000}"/>
    <cellStyle name="20% - Accent4 11 2 2" xfId="3629" xr:uid="{00000000-0005-0000-0000-0000A4260000}"/>
    <cellStyle name="20% - Accent4 11 2 2 2" xfId="9342" xr:uid="{00000000-0005-0000-0000-0000A5260000}"/>
    <cellStyle name="20% - Accent4 11 2 2 2 2" xfId="20643" xr:uid="{00000000-0005-0000-0000-0000A6260000}"/>
    <cellStyle name="20% - Accent4 11 2 2 2 2 2" xfId="43245" xr:uid="{00000000-0005-0000-0000-0000A7260000}"/>
    <cellStyle name="20% - Accent4 11 2 2 2 3" xfId="31944" xr:uid="{00000000-0005-0000-0000-0000A8260000}"/>
    <cellStyle name="20% - Accent4 11 2 2 3" xfId="14993" xr:uid="{00000000-0005-0000-0000-0000A9260000}"/>
    <cellStyle name="20% - Accent4 11 2 2 3 2" xfId="37595" xr:uid="{00000000-0005-0000-0000-0000AA260000}"/>
    <cellStyle name="20% - Accent4 11 2 2 4" xfId="26294" xr:uid="{00000000-0005-0000-0000-0000AB260000}"/>
    <cellStyle name="20% - Accent4 11 2 3" xfId="7529" xr:uid="{00000000-0005-0000-0000-0000AC260000}"/>
    <cellStyle name="20% - Accent4 11 2 3 2" xfId="18830" xr:uid="{00000000-0005-0000-0000-0000AD260000}"/>
    <cellStyle name="20% - Accent4 11 2 3 2 2" xfId="41432" xr:uid="{00000000-0005-0000-0000-0000AE260000}"/>
    <cellStyle name="20% - Accent4 11 2 3 3" xfId="30131" xr:uid="{00000000-0005-0000-0000-0000AF260000}"/>
    <cellStyle name="20% - Accent4 11 2 4" xfId="13180" xr:uid="{00000000-0005-0000-0000-0000B0260000}"/>
    <cellStyle name="20% - Accent4 11 2 4 2" xfId="35782" xr:uid="{00000000-0005-0000-0000-0000B1260000}"/>
    <cellStyle name="20% - Accent4 11 2 5" xfId="24481" xr:uid="{00000000-0005-0000-0000-0000B2260000}"/>
    <cellStyle name="20% - Accent4 11 3" xfId="2180" xr:uid="{00000000-0005-0000-0000-0000B3260000}"/>
    <cellStyle name="20% - Accent4 11 3 2" xfId="8024" xr:uid="{00000000-0005-0000-0000-0000B4260000}"/>
    <cellStyle name="20% - Accent4 11 3 2 2" xfId="19325" xr:uid="{00000000-0005-0000-0000-0000B5260000}"/>
    <cellStyle name="20% - Accent4 11 3 2 2 2" xfId="41927" xr:uid="{00000000-0005-0000-0000-0000B6260000}"/>
    <cellStyle name="20% - Accent4 11 3 2 3" xfId="30626" xr:uid="{00000000-0005-0000-0000-0000B7260000}"/>
    <cellStyle name="20% - Accent4 11 3 3" xfId="13675" xr:uid="{00000000-0005-0000-0000-0000B8260000}"/>
    <cellStyle name="20% - Accent4 11 3 3 2" xfId="36277" xr:uid="{00000000-0005-0000-0000-0000B9260000}"/>
    <cellStyle name="20% - Accent4 11 3 4" xfId="24976" xr:uid="{00000000-0005-0000-0000-0000BA260000}"/>
    <cellStyle name="20% - Accent4 11 4" xfId="3976" xr:uid="{00000000-0005-0000-0000-0000BB260000}"/>
    <cellStyle name="20% - Accent4 11 4 2" xfId="9626" xr:uid="{00000000-0005-0000-0000-0000BC260000}"/>
    <cellStyle name="20% - Accent4 11 4 2 2" xfId="20927" xr:uid="{00000000-0005-0000-0000-0000BD260000}"/>
    <cellStyle name="20% - Accent4 11 4 2 2 2" xfId="43529" xr:uid="{00000000-0005-0000-0000-0000BE260000}"/>
    <cellStyle name="20% - Accent4 11 4 2 3" xfId="32228" xr:uid="{00000000-0005-0000-0000-0000BF260000}"/>
    <cellStyle name="20% - Accent4 11 4 3" xfId="15277" xr:uid="{00000000-0005-0000-0000-0000C0260000}"/>
    <cellStyle name="20% - Accent4 11 4 3 2" xfId="37879" xr:uid="{00000000-0005-0000-0000-0000C1260000}"/>
    <cellStyle name="20% - Accent4 11 4 4" xfId="26578" xr:uid="{00000000-0005-0000-0000-0000C2260000}"/>
    <cellStyle name="20% - Accent4 11 5" xfId="7379" xr:uid="{00000000-0005-0000-0000-0000C3260000}"/>
    <cellStyle name="20% - Accent4 11 5 2" xfId="18680" xr:uid="{00000000-0005-0000-0000-0000C4260000}"/>
    <cellStyle name="20% - Accent4 11 5 2 2" xfId="41282" xr:uid="{00000000-0005-0000-0000-0000C5260000}"/>
    <cellStyle name="20% - Accent4 11 5 3" xfId="29981" xr:uid="{00000000-0005-0000-0000-0000C6260000}"/>
    <cellStyle name="20% - Accent4 11 6" xfId="13030" xr:uid="{00000000-0005-0000-0000-0000C7260000}"/>
    <cellStyle name="20% - Accent4 11 6 2" xfId="35632" xr:uid="{00000000-0005-0000-0000-0000C8260000}"/>
    <cellStyle name="20% - Accent4 11 7" xfId="24331" xr:uid="{00000000-0005-0000-0000-0000C9260000}"/>
    <cellStyle name="20% - Accent4 12" xfId="1514" xr:uid="{00000000-0005-0000-0000-0000CA260000}"/>
    <cellStyle name="20% - Accent4 12 2" xfId="3937" xr:uid="{00000000-0005-0000-0000-0000CB260000}"/>
    <cellStyle name="20% - Accent4 12 2 2" xfId="9610" xr:uid="{00000000-0005-0000-0000-0000CC260000}"/>
    <cellStyle name="20% - Accent4 12 2 2 2" xfId="20911" xr:uid="{00000000-0005-0000-0000-0000CD260000}"/>
    <cellStyle name="20% - Accent4 12 2 2 2 2" xfId="43513" xr:uid="{00000000-0005-0000-0000-0000CE260000}"/>
    <cellStyle name="20% - Accent4 12 2 2 3" xfId="32212" xr:uid="{00000000-0005-0000-0000-0000CF260000}"/>
    <cellStyle name="20% - Accent4 12 2 3" xfId="15261" xr:uid="{00000000-0005-0000-0000-0000D0260000}"/>
    <cellStyle name="20% - Accent4 12 2 3 2" xfId="37863" xr:uid="{00000000-0005-0000-0000-0000D1260000}"/>
    <cellStyle name="20% - Accent4 12 2 4" xfId="26562" xr:uid="{00000000-0005-0000-0000-0000D2260000}"/>
    <cellStyle name="20% - Accent4 13" xfId="3490" xr:uid="{00000000-0005-0000-0000-0000D3260000}"/>
    <cellStyle name="20% - Accent4 14" xfId="106" xr:uid="{00000000-0005-0000-0000-0000D4260000}"/>
    <cellStyle name="20% - Accent4 2" xfId="52" xr:uid="{00000000-0005-0000-0000-0000D5260000}"/>
    <cellStyle name="20% - Accent4 2 2" xfId="368" xr:uid="{00000000-0005-0000-0000-0000D6260000}"/>
    <cellStyle name="20% - Accent4 2 2 10" xfId="23476" xr:uid="{00000000-0005-0000-0000-0000D7260000}"/>
    <cellStyle name="20% - Accent4 2 2 2" xfId="626" xr:uid="{00000000-0005-0000-0000-0000D8260000}"/>
    <cellStyle name="20% - Accent4 2 2 2 2" xfId="1336" xr:uid="{00000000-0005-0000-0000-0000D9260000}"/>
    <cellStyle name="20% - Accent4 2 2 2 2 2" xfId="1676" xr:uid="{00000000-0005-0000-0000-0000DA260000}"/>
    <cellStyle name="20% - Accent4 2 2 2 2 2 2" xfId="3405" xr:uid="{00000000-0005-0000-0000-0000DB260000}"/>
    <cellStyle name="20% - Accent4 2 2 2 2 2 2 2" xfId="6377" xr:uid="{00000000-0005-0000-0000-0000DC260000}"/>
    <cellStyle name="20% - Accent4 2 2 2 2 2 2 2 2" xfId="12027" xr:uid="{00000000-0005-0000-0000-0000DD260000}"/>
    <cellStyle name="20% - Accent4 2 2 2 2 2 2 2 2 2" xfId="23328" xr:uid="{00000000-0005-0000-0000-0000DE260000}"/>
    <cellStyle name="20% - Accent4 2 2 2 2 2 2 2 2 2 2" xfId="45930" xr:uid="{00000000-0005-0000-0000-0000DF260000}"/>
    <cellStyle name="20% - Accent4 2 2 2 2 2 2 2 2 3" xfId="34629" xr:uid="{00000000-0005-0000-0000-0000E0260000}"/>
    <cellStyle name="20% - Accent4 2 2 2 2 2 2 2 3" xfId="17678" xr:uid="{00000000-0005-0000-0000-0000E1260000}"/>
    <cellStyle name="20% - Accent4 2 2 2 2 2 2 2 3 2" xfId="40280" xr:uid="{00000000-0005-0000-0000-0000E2260000}"/>
    <cellStyle name="20% - Accent4 2 2 2 2 2 2 2 4" xfId="28979" xr:uid="{00000000-0005-0000-0000-0000E3260000}"/>
    <cellStyle name="20% - Accent4 2 2 2 2 2 2 3" xfId="9195" xr:uid="{00000000-0005-0000-0000-0000E4260000}"/>
    <cellStyle name="20% - Accent4 2 2 2 2 2 2 3 2" xfId="20496" xr:uid="{00000000-0005-0000-0000-0000E5260000}"/>
    <cellStyle name="20% - Accent4 2 2 2 2 2 2 3 2 2" xfId="43098" xr:uid="{00000000-0005-0000-0000-0000E6260000}"/>
    <cellStyle name="20% - Accent4 2 2 2 2 2 2 3 3" xfId="31797" xr:uid="{00000000-0005-0000-0000-0000E7260000}"/>
    <cellStyle name="20% - Accent4 2 2 2 2 2 2 4" xfId="14846" xr:uid="{00000000-0005-0000-0000-0000E8260000}"/>
    <cellStyle name="20% - Accent4 2 2 2 2 2 2 4 2" xfId="37448" xr:uid="{00000000-0005-0000-0000-0000E9260000}"/>
    <cellStyle name="20% - Accent4 2 2 2 2 2 2 5" xfId="26147" xr:uid="{00000000-0005-0000-0000-0000EA260000}"/>
    <cellStyle name="20% - Accent4 2 2 2 2 2 3" xfId="5143" xr:uid="{00000000-0005-0000-0000-0000EB260000}"/>
    <cellStyle name="20% - Accent4 2 2 2 2 2 3 2" xfId="10793" xr:uid="{00000000-0005-0000-0000-0000EC260000}"/>
    <cellStyle name="20% - Accent4 2 2 2 2 2 3 2 2" xfId="22094" xr:uid="{00000000-0005-0000-0000-0000ED260000}"/>
    <cellStyle name="20% - Accent4 2 2 2 2 2 3 2 2 2" xfId="44696" xr:uid="{00000000-0005-0000-0000-0000EE260000}"/>
    <cellStyle name="20% - Accent4 2 2 2 2 2 3 2 3" xfId="33395" xr:uid="{00000000-0005-0000-0000-0000EF260000}"/>
    <cellStyle name="20% - Accent4 2 2 2 2 2 3 3" xfId="16444" xr:uid="{00000000-0005-0000-0000-0000F0260000}"/>
    <cellStyle name="20% - Accent4 2 2 2 2 2 3 3 2" xfId="39046" xr:uid="{00000000-0005-0000-0000-0000F1260000}"/>
    <cellStyle name="20% - Accent4 2 2 2 2 2 3 4" xfId="27745" xr:uid="{00000000-0005-0000-0000-0000F2260000}"/>
    <cellStyle name="20% - Accent4 2 2 2 2 2 4" xfId="7532" xr:uid="{00000000-0005-0000-0000-0000F3260000}"/>
    <cellStyle name="20% - Accent4 2 2 2 2 2 4 2" xfId="18833" xr:uid="{00000000-0005-0000-0000-0000F4260000}"/>
    <cellStyle name="20% - Accent4 2 2 2 2 2 4 2 2" xfId="41435" xr:uid="{00000000-0005-0000-0000-0000F5260000}"/>
    <cellStyle name="20% - Accent4 2 2 2 2 2 4 3" xfId="30134" xr:uid="{00000000-0005-0000-0000-0000F6260000}"/>
    <cellStyle name="20% - Accent4 2 2 2 2 2 5" xfId="13183" xr:uid="{00000000-0005-0000-0000-0000F7260000}"/>
    <cellStyle name="20% - Accent4 2 2 2 2 2 5 2" xfId="35785" xr:uid="{00000000-0005-0000-0000-0000F8260000}"/>
    <cellStyle name="20% - Accent4 2 2 2 2 2 6" xfId="24484" xr:uid="{00000000-0005-0000-0000-0000F9260000}"/>
    <cellStyle name="20% - Accent4 2 2 2 2 3" xfId="2734" xr:uid="{00000000-0005-0000-0000-0000FA260000}"/>
    <cellStyle name="20% - Accent4 2 2 2 2 3 2" xfId="5753" xr:uid="{00000000-0005-0000-0000-0000FB260000}"/>
    <cellStyle name="20% - Accent4 2 2 2 2 3 2 2" xfId="11403" xr:uid="{00000000-0005-0000-0000-0000FC260000}"/>
    <cellStyle name="20% - Accent4 2 2 2 2 3 2 2 2" xfId="22704" xr:uid="{00000000-0005-0000-0000-0000FD260000}"/>
    <cellStyle name="20% - Accent4 2 2 2 2 3 2 2 2 2" xfId="45306" xr:uid="{00000000-0005-0000-0000-0000FE260000}"/>
    <cellStyle name="20% - Accent4 2 2 2 2 3 2 2 3" xfId="34005" xr:uid="{00000000-0005-0000-0000-0000FF260000}"/>
    <cellStyle name="20% - Accent4 2 2 2 2 3 2 3" xfId="17054" xr:uid="{00000000-0005-0000-0000-000000270000}"/>
    <cellStyle name="20% - Accent4 2 2 2 2 3 2 3 2" xfId="39656" xr:uid="{00000000-0005-0000-0000-000001270000}"/>
    <cellStyle name="20% - Accent4 2 2 2 2 3 2 4" xfId="28355" xr:uid="{00000000-0005-0000-0000-000002270000}"/>
    <cellStyle name="20% - Accent4 2 2 2 2 3 3" xfId="8570" xr:uid="{00000000-0005-0000-0000-000003270000}"/>
    <cellStyle name="20% - Accent4 2 2 2 2 3 3 2" xfId="19871" xr:uid="{00000000-0005-0000-0000-000004270000}"/>
    <cellStyle name="20% - Accent4 2 2 2 2 3 3 2 2" xfId="42473" xr:uid="{00000000-0005-0000-0000-000005270000}"/>
    <cellStyle name="20% - Accent4 2 2 2 2 3 3 3" xfId="31172" xr:uid="{00000000-0005-0000-0000-000006270000}"/>
    <cellStyle name="20% - Accent4 2 2 2 2 3 4" xfId="14221" xr:uid="{00000000-0005-0000-0000-000007270000}"/>
    <cellStyle name="20% - Accent4 2 2 2 2 3 4 2" xfId="36823" xr:uid="{00000000-0005-0000-0000-000008270000}"/>
    <cellStyle name="20% - Accent4 2 2 2 2 3 5" xfId="25522" xr:uid="{00000000-0005-0000-0000-000009270000}"/>
    <cellStyle name="20% - Accent4 2 2 2 2 4" xfId="4519" xr:uid="{00000000-0005-0000-0000-00000A270000}"/>
    <cellStyle name="20% - Accent4 2 2 2 2 4 2" xfId="10169" xr:uid="{00000000-0005-0000-0000-00000B270000}"/>
    <cellStyle name="20% - Accent4 2 2 2 2 4 2 2" xfId="21470" xr:uid="{00000000-0005-0000-0000-00000C270000}"/>
    <cellStyle name="20% - Accent4 2 2 2 2 4 2 2 2" xfId="44072" xr:uid="{00000000-0005-0000-0000-00000D270000}"/>
    <cellStyle name="20% - Accent4 2 2 2 2 4 2 3" xfId="32771" xr:uid="{00000000-0005-0000-0000-00000E270000}"/>
    <cellStyle name="20% - Accent4 2 2 2 2 4 3" xfId="15820" xr:uid="{00000000-0005-0000-0000-00000F270000}"/>
    <cellStyle name="20% - Accent4 2 2 2 2 4 3 2" xfId="38422" xr:uid="{00000000-0005-0000-0000-000010270000}"/>
    <cellStyle name="20% - Accent4 2 2 2 2 4 4" xfId="27121" xr:uid="{00000000-0005-0000-0000-000011270000}"/>
    <cellStyle name="20% - Accent4 2 2 2 2 5" xfId="7315" xr:uid="{00000000-0005-0000-0000-000012270000}"/>
    <cellStyle name="20% - Accent4 2 2 2 2 5 2" xfId="18616" xr:uid="{00000000-0005-0000-0000-000013270000}"/>
    <cellStyle name="20% - Accent4 2 2 2 2 5 2 2" xfId="41218" xr:uid="{00000000-0005-0000-0000-000014270000}"/>
    <cellStyle name="20% - Accent4 2 2 2 2 5 3" xfId="29917" xr:uid="{00000000-0005-0000-0000-000015270000}"/>
    <cellStyle name="20% - Accent4 2 2 2 2 6" xfId="12966" xr:uid="{00000000-0005-0000-0000-000016270000}"/>
    <cellStyle name="20% - Accent4 2 2 2 2 6 2" xfId="35568" xr:uid="{00000000-0005-0000-0000-000017270000}"/>
    <cellStyle name="20% - Accent4 2 2 2 2 7" xfId="24267" xr:uid="{00000000-0005-0000-0000-000018270000}"/>
    <cellStyle name="20% - Accent4 2 2 2 3" xfId="1034" xr:uid="{00000000-0005-0000-0000-000019270000}"/>
    <cellStyle name="20% - Accent4 2 2 2 3 2" xfId="3097" xr:uid="{00000000-0005-0000-0000-00001A270000}"/>
    <cellStyle name="20% - Accent4 2 2 2 3 2 2" xfId="6069" xr:uid="{00000000-0005-0000-0000-00001B270000}"/>
    <cellStyle name="20% - Accent4 2 2 2 3 2 2 2" xfId="11719" xr:uid="{00000000-0005-0000-0000-00001C270000}"/>
    <cellStyle name="20% - Accent4 2 2 2 3 2 2 2 2" xfId="23020" xr:uid="{00000000-0005-0000-0000-00001D270000}"/>
    <cellStyle name="20% - Accent4 2 2 2 3 2 2 2 2 2" xfId="45622" xr:uid="{00000000-0005-0000-0000-00001E270000}"/>
    <cellStyle name="20% - Accent4 2 2 2 3 2 2 2 3" xfId="34321" xr:uid="{00000000-0005-0000-0000-00001F270000}"/>
    <cellStyle name="20% - Accent4 2 2 2 3 2 2 3" xfId="17370" xr:uid="{00000000-0005-0000-0000-000020270000}"/>
    <cellStyle name="20% - Accent4 2 2 2 3 2 2 3 2" xfId="39972" xr:uid="{00000000-0005-0000-0000-000021270000}"/>
    <cellStyle name="20% - Accent4 2 2 2 3 2 2 4" xfId="28671" xr:uid="{00000000-0005-0000-0000-000022270000}"/>
    <cellStyle name="20% - Accent4 2 2 2 3 2 3" xfId="8887" xr:uid="{00000000-0005-0000-0000-000023270000}"/>
    <cellStyle name="20% - Accent4 2 2 2 3 2 3 2" xfId="20188" xr:uid="{00000000-0005-0000-0000-000024270000}"/>
    <cellStyle name="20% - Accent4 2 2 2 3 2 3 2 2" xfId="42790" xr:uid="{00000000-0005-0000-0000-000025270000}"/>
    <cellStyle name="20% - Accent4 2 2 2 3 2 3 3" xfId="31489" xr:uid="{00000000-0005-0000-0000-000026270000}"/>
    <cellStyle name="20% - Accent4 2 2 2 3 2 4" xfId="14538" xr:uid="{00000000-0005-0000-0000-000027270000}"/>
    <cellStyle name="20% - Accent4 2 2 2 3 2 4 2" xfId="37140" xr:uid="{00000000-0005-0000-0000-000028270000}"/>
    <cellStyle name="20% - Accent4 2 2 2 3 2 5" xfId="25839" xr:uid="{00000000-0005-0000-0000-000029270000}"/>
    <cellStyle name="20% - Accent4 2 2 2 3 3" xfId="4835" xr:uid="{00000000-0005-0000-0000-00002A270000}"/>
    <cellStyle name="20% - Accent4 2 2 2 3 3 2" xfId="10485" xr:uid="{00000000-0005-0000-0000-00002B270000}"/>
    <cellStyle name="20% - Accent4 2 2 2 3 3 2 2" xfId="21786" xr:uid="{00000000-0005-0000-0000-00002C270000}"/>
    <cellStyle name="20% - Accent4 2 2 2 3 3 2 2 2" xfId="44388" xr:uid="{00000000-0005-0000-0000-00002D270000}"/>
    <cellStyle name="20% - Accent4 2 2 2 3 3 2 3" xfId="33087" xr:uid="{00000000-0005-0000-0000-00002E270000}"/>
    <cellStyle name="20% - Accent4 2 2 2 3 3 3" xfId="16136" xr:uid="{00000000-0005-0000-0000-00002F270000}"/>
    <cellStyle name="20% - Accent4 2 2 2 3 3 3 2" xfId="38738" xr:uid="{00000000-0005-0000-0000-000030270000}"/>
    <cellStyle name="20% - Accent4 2 2 2 3 3 4" xfId="27437" xr:uid="{00000000-0005-0000-0000-000031270000}"/>
    <cellStyle name="20% - Accent4 2 2 2 3 4" xfId="7022" xr:uid="{00000000-0005-0000-0000-000032270000}"/>
    <cellStyle name="20% - Accent4 2 2 2 3 4 2" xfId="18323" xr:uid="{00000000-0005-0000-0000-000033270000}"/>
    <cellStyle name="20% - Accent4 2 2 2 3 4 2 2" xfId="40925" xr:uid="{00000000-0005-0000-0000-000034270000}"/>
    <cellStyle name="20% - Accent4 2 2 2 3 4 3" xfId="29624" xr:uid="{00000000-0005-0000-0000-000035270000}"/>
    <cellStyle name="20% - Accent4 2 2 2 3 5" xfId="12673" xr:uid="{00000000-0005-0000-0000-000036270000}"/>
    <cellStyle name="20% - Accent4 2 2 2 3 5 2" xfId="35275" xr:uid="{00000000-0005-0000-0000-000037270000}"/>
    <cellStyle name="20% - Accent4 2 2 2 3 6" xfId="23974" xr:uid="{00000000-0005-0000-0000-000038270000}"/>
    <cellStyle name="20% - Accent4 2 2 2 4" xfId="1675" xr:uid="{00000000-0005-0000-0000-000039270000}"/>
    <cellStyle name="20% - Accent4 2 2 2 4 2" xfId="3631" xr:uid="{00000000-0005-0000-0000-00003A270000}"/>
    <cellStyle name="20% - Accent4 2 2 2 4 2 2" xfId="9344" xr:uid="{00000000-0005-0000-0000-00003B270000}"/>
    <cellStyle name="20% - Accent4 2 2 2 4 2 2 2" xfId="20645" xr:uid="{00000000-0005-0000-0000-00003C270000}"/>
    <cellStyle name="20% - Accent4 2 2 2 4 2 2 2 2" xfId="43247" xr:uid="{00000000-0005-0000-0000-00003D270000}"/>
    <cellStyle name="20% - Accent4 2 2 2 4 2 2 3" xfId="31946" xr:uid="{00000000-0005-0000-0000-00003E270000}"/>
    <cellStyle name="20% - Accent4 2 2 2 4 2 3" xfId="14995" xr:uid="{00000000-0005-0000-0000-00003F270000}"/>
    <cellStyle name="20% - Accent4 2 2 2 4 2 3 2" xfId="37597" xr:uid="{00000000-0005-0000-0000-000040270000}"/>
    <cellStyle name="20% - Accent4 2 2 2 4 2 4" xfId="26296" xr:uid="{00000000-0005-0000-0000-000041270000}"/>
    <cellStyle name="20% - Accent4 2 2 2 4 3" xfId="5445" xr:uid="{00000000-0005-0000-0000-000042270000}"/>
    <cellStyle name="20% - Accent4 2 2 2 4 3 2" xfId="11095" xr:uid="{00000000-0005-0000-0000-000043270000}"/>
    <cellStyle name="20% - Accent4 2 2 2 4 3 2 2" xfId="22396" xr:uid="{00000000-0005-0000-0000-000044270000}"/>
    <cellStyle name="20% - Accent4 2 2 2 4 3 2 2 2" xfId="44998" xr:uid="{00000000-0005-0000-0000-000045270000}"/>
    <cellStyle name="20% - Accent4 2 2 2 4 3 2 3" xfId="33697" xr:uid="{00000000-0005-0000-0000-000046270000}"/>
    <cellStyle name="20% - Accent4 2 2 2 4 3 3" xfId="16746" xr:uid="{00000000-0005-0000-0000-000047270000}"/>
    <cellStyle name="20% - Accent4 2 2 2 4 3 3 2" xfId="39348" xr:uid="{00000000-0005-0000-0000-000048270000}"/>
    <cellStyle name="20% - Accent4 2 2 2 4 3 4" xfId="28047" xr:uid="{00000000-0005-0000-0000-000049270000}"/>
    <cellStyle name="20% - Accent4 2 2 2 4 4" xfId="7531" xr:uid="{00000000-0005-0000-0000-00004A270000}"/>
    <cellStyle name="20% - Accent4 2 2 2 4 4 2" xfId="18832" xr:uid="{00000000-0005-0000-0000-00004B270000}"/>
    <cellStyle name="20% - Accent4 2 2 2 4 4 2 2" xfId="41434" xr:uid="{00000000-0005-0000-0000-00004C270000}"/>
    <cellStyle name="20% - Accent4 2 2 2 4 4 3" xfId="30133" xr:uid="{00000000-0005-0000-0000-00004D270000}"/>
    <cellStyle name="20% - Accent4 2 2 2 4 5" xfId="13182" xr:uid="{00000000-0005-0000-0000-00004E270000}"/>
    <cellStyle name="20% - Accent4 2 2 2 4 5 2" xfId="35784" xr:uid="{00000000-0005-0000-0000-00004F270000}"/>
    <cellStyle name="20% - Accent4 2 2 2 4 6" xfId="24483" xr:uid="{00000000-0005-0000-0000-000050270000}"/>
    <cellStyle name="20% - Accent4 2 2 2 5" xfId="2426" xr:uid="{00000000-0005-0000-0000-000051270000}"/>
    <cellStyle name="20% - Accent4 2 2 2 5 2" xfId="8262" xr:uid="{00000000-0005-0000-0000-000052270000}"/>
    <cellStyle name="20% - Accent4 2 2 2 5 2 2" xfId="19563" xr:uid="{00000000-0005-0000-0000-000053270000}"/>
    <cellStyle name="20% - Accent4 2 2 2 5 2 2 2" xfId="42165" xr:uid="{00000000-0005-0000-0000-000054270000}"/>
    <cellStyle name="20% - Accent4 2 2 2 5 2 3" xfId="30864" xr:uid="{00000000-0005-0000-0000-000055270000}"/>
    <cellStyle name="20% - Accent4 2 2 2 5 3" xfId="13913" xr:uid="{00000000-0005-0000-0000-000056270000}"/>
    <cellStyle name="20% - Accent4 2 2 2 5 3 2" xfId="36515" xr:uid="{00000000-0005-0000-0000-000057270000}"/>
    <cellStyle name="20% - Accent4 2 2 2 5 4" xfId="25214" xr:uid="{00000000-0005-0000-0000-000058270000}"/>
    <cellStyle name="20% - Accent4 2 2 2 6" xfId="4211" xr:uid="{00000000-0005-0000-0000-000059270000}"/>
    <cellStyle name="20% - Accent4 2 2 2 6 2" xfId="9861" xr:uid="{00000000-0005-0000-0000-00005A270000}"/>
    <cellStyle name="20% - Accent4 2 2 2 6 2 2" xfId="21162" xr:uid="{00000000-0005-0000-0000-00005B270000}"/>
    <cellStyle name="20% - Accent4 2 2 2 6 2 2 2" xfId="43764" xr:uid="{00000000-0005-0000-0000-00005C270000}"/>
    <cellStyle name="20% - Accent4 2 2 2 6 2 3" xfId="32463" xr:uid="{00000000-0005-0000-0000-00005D270000}"/>
    <cellStyle name="20% - Accent4 2 2 2 6 3" xfId="15512" xr:uid="{00000000-0005-0000-0000-00005E270000}"/>
    <cellStyle name="20% - Accent4 2 2 2 6 3 2" xfId="38114" xr:uid="{00000000-0005-0000-0000-00005F270000}"/>
    <cellStyle name="20% - Accent4 2 2 2 6 4" xfId="26813" xr:uid="{00000000-0005-0000-0000-000060270000}"/>
    <cellStyle name="20% - Accent4 2 2 2 7" xfId="6691" xr:uid="{00000000-0005-0000-0000-000061270000}"/>
    <cellStyle name="20% - Accent4 2 2 2 7 2" xfId="17992" xr:uid="{00000000-0005-0000-0000-000062270000}"/>
    <cellStyle name="20% - Accent4 2 2 2 7 2 2" xfId="40594" xr:uid="{00000000-0005-0000-0000-000063270000}"/>
    <cellStyle name="20% - Accent4 2 2 2 7 3" xfId="29293" xr:uid="{00000000-0005-0000-0000-000064270000}"/>
    <cellStyle name="20% - Accent4 2 2 2 8" xfId="12342" xr:uid="{00000000-0005-0000-0000-000065270000}"/>
    <cellStyle name="20% - Accent4 2 2 2 8 2" xfId="34944" xr:uid="{00000000-0005-0000-0000-000066270000}"/>
    <cellStyle name="20% - Accent4 2 2 2 9" xfId="23643" xr:uid="{00000000-0005-0000-0000-000067270000}"/>
    <cellStyle name="20% - Accent4 2 2 3" xfId="1198" xr:uid="{00000000-0005-0000-0000-000068270000}"/>
    <cellStyle name="20% - Accent4 2 2 3 2" xfId="1677" xr:uid="{00000000-0005-0000-0000-000069270000}"/>
    <cellStyle name="20% - Accent4 2 2 3 2 2" xfId="3266" xr:uid="{00000000-0005-0000-0000-00006A270000}"/>
    <cellStyle name="20% - Accent4 2 2 3 2 2 2" xfId="6238" xr:uid="{00000000-0005-0000-0000-00006B270000}"/>
    <cellStyle name="20% - Accent4 2 2 3 2 2 2 2" xfId="11888" xr:uid="{00000000-0005-0000-0000-00006C270000}"/>
    <cellStyle name="20% - Accent4 2 2 3 2 2 2 2 2" xfId="23189" xr:uid="{00000000-0005-0000-0000-00006D270000}"/>
    <cellStyle name="20% - Accent4 2 2 3 2 2 2 2 2 2" xfId="45791" xr:uid="{00000000-0005-0000-0000-00006E270000}"/>
    <cellStyle name="20% - Accent4 2 2 3 2 2 2 2 3" xfId="34490" xr:uid="{00000000-0005-0000-0000-00006F270000}"/>
    <cellStyle name="20% - Accent4 2 2 3 2 2 2 3" xfId="17539" xr:uid="{00000000-0005-0000-0000-000070270000}"/>
    <cellStyle name="20% - Accent4 2 2 3 2 2 2 3 2" xfId="40141" xr:uid="{00000000-0005-0000-0000-000071270000}"/>
    <cellStyle name="20% - Accent4 2 2 3 2 2 2 4" xfId="28840" xr:uid="{00000000-0005-0000-0000-000072270000}"/>
    <cellStyle name="20% - Accent4 2 2 3 2 2 3" xfId="9056" xr:uid="{00000000-0005-0000-0000-000073270000}"/>
    <cellStyle name="20% - Accent4 2 2 3 2 2 3 2" xfId="20357" xr:uid="{00000000-0005-0000-0000-000074270000}"/>
    <cellStyle name="20% - Accent4 2 2 3 2 2 3 2 2" xfId="42959" xr:uid="{00000000-0005-0000-0000-000075270000}"/>
    <cellStyle name="20% - Accent4 2 2 3 2 2 3 3" xfId="31658" xr:uid="{00000000-0005-0000-0000-000076270000}"/>
    <cellStyle name="20% - Accent4 2 2 3 2 2 4" xfId="14707" xr:uid="{00000000-0005-0000-0000-000077270000}"/>
    <cellStyle name="20% - Accent4 2 2 3 2 2 4 2" xfId="37309" xr:uid="{00000000-0005-0000-0000-000078270000}"/>
    <cellStyle name="20% - Accent4 2 2 3 2 2 5" xfId="26008" xr:uid="{00000000-0005-0000-0000-000079270000}"/>
    <cellStyle name="20% - Accent4 2 2 3 2 3" xfId="5004" xr:uid="{00000000-0005-0000-0000-00007A270000}"/>
    <cellStyle name="20% - Accent4 2 2 3 2 3 2" xfId="10654" xr:uid="{00000000-0005-0000-0000-00007B270000}"/>
    <cellStyle name="20% - Accent4 2 2 3 2 3 2 2" xfId="21955" xr:uid="{00000000-0005-0000-0000-00007C270000}"/>
    <cellStyle name="20% - Accent4 2 2 3 2 3 2 2 2" xfId="44557" xr:uid="{00000000-0005-0000-0000-00007D270000}"/>
    <cellStyle name="20% - Accent4 2 2 3 2 3 2 3" xfId="33256" xr:uid="{00000000-0005-0000-0000-00007E270000}"/>
    <cellStyle name="20% - Accent4 2 2 3 2 3 3" xfId="16305" xr:uid="{00000000-0005-0000-0000-00007F270000}"/>
    <cellStyle name="20% - Accent4 2 2 3 2 3 3 2" xfId="38907" xr:uid="{00000000-0005-0000-0000-000080270000}"/>
    <cellStyle name="20% - Accent4 2 2 3 2 3 4" xfId="27606" xr:uid="{00000000-0005-0000-0000-000081270000}"/>
    <cellStyle name="20% - Accent4 2 2 3 2 4" xfId="7533" xr:uid="{00000000-0005-0000-0000-000082270000}"/>
    <cellStyle name="20% - Accent4 2 2 3 2 4 2" xfId="18834" xr:uid="{00000000-0005-0000-0000-000083270000}"/>
    <cellStyle name="20% - Accent4 2 2 3 2 4 2 2" xfId="41436" xr:uid="{00000000-0005-0000-0000-000084270000}"/>
    <cellStyle name="20% - Accent4 2 2 3 2 4 3" xfId="30135" xr:uid="{00000000-0005-0000-0000-000085270000}"/>
    <cellStyle name="20% - Accent4 2 2 3 2 5" xfId="13184" xr:uid="{00000000-0005-0000-0000-000086270000}"/>
    <cellStyle name="20% - Accent4 2 2 3 2 5 2" xfId="35786" xr:uid="{00000000-0005-0000-0000-000087270000}"/>
    <cellStyle name="20% - Accent4 2 2 3 2 6" xfId="24485" xr:uid="{00000000-0005-0000-0000-000088270000}"/>
    <cellStyle name="20% - Accent4 2 2 3 3" xfId="2595" xr:uid="{00000000-0005-0000-0000-000089270000}"/>
    <cellStyle name="20% - Accent4 2 2 3 3 2" xfId="5614" xr:uid="{00000000-0005-0000-0000-00008A270000}"/>
    <cellStyle name="20% - Accent4 2 2 3 3 2 2" xfId="11264" xr:uid="{00000000-0005-0000-0000-00008B270000}"/>
    <cellStyle name="20% - Accent4 2 2 3 3 2 2 2" xfId="22565" xr:uid="{00000000-0005-0000-0000-00008C270000}"/>
    <cellStyle name="20% - Accent4 2 2 3 3 2 2 2 2" xfId="45167" xr:uid="{00000000-0005-0000-0000-00008D270000}"/>
    <cellStyle name="20% - Accent4 2 2 3 3 2 2 3" xfId="33866" xr:uid="{00000000-0005-0000-0000-00008E270000}"/>
    <cellStyle name="20% - Accent4 2 2 3 3 2 3" xfId="16915" xr:uid="{00000000-0005-0000-0000-00008F270000}"/>
    <cellStyle name="20% - Accent4 2 2 3 3 2 3 2" xfId="39517" xr:uid="{00000000-0005-0000-0000-000090270000}"/>
    <cellStyle name="20% - Accent4 2 2 3 3 2 4" xfId="28216" xr:uid="{00000000-0005-0000-0000-000091270000}"/>
    <cellStyle name="20% - Accent4 2 2 3 3 3" xfId="8431" xr:uid="{00000000-0005-0000-0000-000092270000}"/>
    <cellStyle name="20% - Accent4 2 2 3 3 3 2" xfId="19732" xr:uid="{00000000-0005-0000-0000-000093270000}"/>
    <cellStyle name="20% - Accent4 2 2 3 3 3 2 2" xfId="42334" xr:uid="{00000000-0005-0000-0000-000094270000}"/>
    <cellStyle name="20% - Accent4 2 2 3 3 3 3" xfId="31033" xr:uid="{00000000-0005-0000-0000-000095270000}"/>
    <cellStyle name="20% - Accent4 2 2 3 3 4" xfId="14082" xr:uid="{00000000-0005-0000-0000-000096270000}"/>
    <cellStyle name="20% - Accent4 2 2 3 3 4 2" xfId="36684" xr:uid="{00000000-0005-0000-0000-000097270000}"/>
    <cellStyle name="20% - Accent4 2 2 3 3 5" xfId="25383" xr:uid="{00000000-0005-0000-0000-000098270000}"/>
    <cellStyle name="20% - Accent4 2 2 3 4" xfId="4380" xr:uid="{00000000-0005-0000-0000-000099270000}"/>
    <cellStyle name="20% - Accent4 2 2 3 4 2" xfId="10030" xr:uid="{00000000-0005-0000-0000-00009A270000}"/>
    <cellStyle name="20% - Accent4 2 2 3 4 2 2" xfId="21331" xr:uid="{00000000-0005-0000-0000-00009B270000}"/>
    <cellStyle name="20% - Accent4 2 2 3 4 2 2 2" xfId="43933" xr:uid="{00000000-0005-0000-0000-00009C270000}"/>
    <cellStyle name="20% - Accent4 2 2 3 4 2 3" xfId="32632" xr:uid="{00000000-0005-0000-0000-00009D270000}"/>
    <cellStyle name="20% - Accent4 2 2 3 4 3" xfId="15681" xr:uid="{00000000-0005-0000-0000-00009E270000}"/>
    <cellStyle name="20% - Accent4 2 2 3 4 3 2" xfId="38283" xr:uid="{00000000-0005-0000-0000-00009F270000}"/>
    <cellStyle name="20% - Accent4 2 2 3 4 4" xfId="26982" xr:uid="{00000000-0005-0000-0000-0000A0270000}"/>
    <cellStyle name="20% - Accent4 2 2 3 5" xfId="7177" xr:uid="{00000000-0005-0000-0000-0000A1270000}"/>
    <cellStyle name="20% - Accent4 2 2 3 5 2" xfId="18478" xr:uid="{00000000-0005-0000-0000-0000A2270000}"/>
    <cellStyle name="20% - Accent4 2 2 3 5 2 2" xfId="41080" xr:uid="{00000000-0005-0000-0000-0000A3270000}"/>
    <cellStyle name="20% - Accent4 2 2 3 5 3" xfId="29779" xr:uid="{00000000-0005-0000-0000-0000A4270000}"/>
    <cellStyle name="20% - Accent4 2 2 3 6" xfId="12828" xr:uid="{00000000-0005-0000-0000-0000A5270000}"/>
    <cellStyle name="20% - Accent4 2 2 3 6 2" xfId="35430" xr:uid="{00000000-0005-0000-0000-0000A6270000}"/>
    <cellStyle name="20% - Accent4 2 2 3 7" xfId="24129" xr:uid="{00000000-0005-0000-0000-0000A7270000}"/>
    <cellStyle name="20% - Accent4 2 2 4" xfId="888" xr:uid="{00000000-0005-0000-0000-0000A8270000}"/>
    <cellStyle name="20% - Accent4 2 2 4 2" xfId="2959" xr:uid="{00000000-0005-0000-0000-0000A9270000}"/>
    <cellStyle name="20% - Accent4 2 2 4 2 2" xfId="5931" xr:uid="{00000000-0005-0000-0000-0000AA270000}"/>
    <cellStyle name="20% - Accent4 2 2 4 2 2 2" xfId="11581" xr:uid="{00000000-0005-0000-0000-0000AB270000}"/>
    <cellStyle name="20% - Accent4 2 2 4 2 2 2 2" xfId="22882" xr:uid="{00000000-0005-0000-0000-0000AC270000}"/>
    <cellStyle name="20% - Accent4 2 2 4 2 2 2 2 2" xfId="45484" xr:uid="{00000000-0005-0000-0000-0000AD270000}"/>
    <cellStyle name="20% - Accent4 2 2 4 2 2 2 3" xfId="34183" xr:uid="{00000000-0005-0000-0000-0000AE270000}"/>
    <cellStyle name="20% - Accent4 2 2 4 2 2 3" xfId="17232" xr:uid="{00000000-0005-0000-0000-0000AF270000}"/>
    <cellStyle name="20% - Accent4 2 2 4 2 2 3 2" xfId="39834" xr:uid="{00000000-0005-0000-0000-0000B0270000}"/>
    <cellStyle name="20% - Accent4 2 2 4 2 2 4" xfId="28533" xr:uid="{00000000-0005-0000-0000-0000B1270000}"/>
    <cellStyle name="20% - Accent4 2 2 4 2 3" xfId="8749" xr:uid="{00000000-0005-0000-0000-0000B2270000}"/>
    <cellStyle name="20% - Accent4 2 2 4 2 3 2" xfId="20050" xr:uid="{00000000-0005-0000-0000-0000B3270000}"/>
    <cellStyle name="20% - Accent4 2 2 4 2 3 2 2" xfId="42652" xr:uid="{00000000-0005-0000-0000-0000B4270000}"/>
    <cellStyle name="20% - Accent4 2 2 4 2 3 3" xfId="31351" xr:uid="{00000000-0005-0000-0000-0000B5270000}"/>
    <cellStyle name="20% - Accent4 2 2 4 2 4" xfId="14400" xr:uid="{00000000-0005-0000-0000-0000B6270000}"/>
    <cellStyle name="20% - Accent4 2 2 4 2 4 2" xfId="37002" xr:uid="{00000000-0005-0000-0000-0000B7270000}"/>
    <cellStyle name="20% - Accent4 2 2 4 2 5" xfId="25701" xr:uid="{00000000-0005-0000-0000-0000B8270000}"/>
    <cellStyle name="20% - Accent4 2 2 4 3" xfId="4697" xr:uid="{00000000-0005-0000-0000-0000B9270000}"/>
    <cellStyle name="20% - Accent4 2 2 4 3 2" xfId="10347" xr:uid="{00000000-0005-0000-0000-0000BA270000}"/>
    <cellStyle name="20% - Accent4 2 2 4 3 2 2" xfId="21648" xr:uid="{00000000-0005-0000-0000-0000BB270000}"/>
    <cellStyle name="20% - Accent4 2 2 4 3 2 2 2" xfId="44250" xr:uid="{00000000-0005-0000-0000-0000BC270000}"/>
    <cellStyle name="20% - Accent4 2 2 4 3 2 3" xfId="32949" xr:uid="{00000000-0005-0000-0000-0000BD270000}"/>
    <cellStyle name="20% - Accent4 2 2 4 3 3" xfId="15998" xr:uid="{00000000-0005-0000-0000-0000BE270000}"/>
    <cellStyle name="20% - Accent4 2 2 4 3 3 2" xfId="38600" xr:uid="{00000000-0005-0000-0000-0000BF270000}"/>
    <cellStyle name="20% - Accent4 2 2 4 3 4" xfId="27299" xr:uid="{00000000-0005-0000-0000-0000C0270000}"/>
    <cellStyle name="20% - Accent4 2 2 4 4" xfId="6884" xr:uid="{00000000-0005-0000-0000-0000C1270000}"/>
    <cellStyle name="20% - Accent4 2 2 4 4 2" xfId="18185" xr:uid="{00000000-0005-0000-0000-0000C2270000}"/>
    <cellStyle name="20% - Accent4 2 2 4 4 2 2" xfId="40787" xr:uid="{00000000-0005-0000-0000-0000C3270000}"/>
    <cellStyle name="20% - Accent4 2 2 4 4 3" xfId="29486" xr:uid="{00000000-0005-0000-0000-0000C4270000}"/>
    <cellStyle name="20% - Accent4 2 2 4 5" xfId="12535" xr:uid="{00000000-0005-0000-0000-0000C5270000}"/>
    <cellStyle name="20% - Accent4 2 2 4 5 2" xfId="35137" xr:uid="{00000000-0005-0000-0000-0000C6270000}"/>
    <cellStyle name="20% - Accent4 2 2 4 6" xfId="23836" xr:uid="{00000000-0005-0000-0000-0000C7270000}"/>
    <cellStyle name="20% - Accent4 2 2 5" xfId="1674" xr:uid="{00000000-0005-0000-0000-0000C8270000}"/>
    <cellStyle name="20% - Accent4 2 2 5 2" xfId="3630" xr:uid="{00000000-0005-0000-0000-0000C9270000}"/>
    <cellStyle name="20% - Accent4 2 2 5 2 2" xfId="9343" xr:uid="{00000000-0005-0000-0000-0000CA270000}"/>
    <cellStyle name="20% - Accent4 2 2 5 2 2 2" xfId="20644" xr:uid="{00000000-0005-0000-0000-0000CB270000}"/>
    <cellStyle name="20% - Accent4 2 2 5 2 2 2 2" xfId="43246" xr:uid="{00000000-0005-0000-0000-0000CC270000}"/>
    <cellStyle name="20% - Accent4 2 2 5 2 2 3" xfId="31945" xr:uid="{00000000-0005-0000-0000-0000CD270000}"/>
    <cellStyle name="20% - Accent4 2 2 5 2 3" xfId="14994" xr:uid="{00000000-0005-0000-0000-0000CE270000}"/>
    <cellStyle name="20% - Accent4 2 2 5 2 3 2" xfId="37596" xr:uid="{00000000-0005-0000-0000-0000CF270000}"/>
    <cellStyle name="20% - Accent4 2 2 5 2 4" xfId="26295" xr:uid="{00000000-0005-0000-0000-0000D0270000}"/>
    <cellStyle name="20% - Accent4 2 2 5 3" xfId="5307" xr:uid="{00000000-0005-0000-0000-0000D1270000}"/>
    <cellStyle name="20% - Accent4 2 2 5 3 2" xfId="10957" xr:uid="{00000000-0005-0000-0000-0000D2270000}"/>
    <cellStyle name="20% - Accent4 2 2 5 3 2 2" xfId="22258" xr:uid="{00000000-0005-0000-0000-0000D3270000}"/>
    <cellStyle name="20% - Accent4 2 2 5 3 2 2 2" xfId="44860" xr:uid="{00000000-0005-0000-0000-0000D4270000}"/>
    <cellStyle name="20% - Accent4 2 2 5 3 2 3" xfId="33559" xr:uid="{00000000-0005-0000-0000-0000D5270000}"/>
    <cellStyle name="20% - Accent4 2 2 5 3 3" xfId="16608" xr:uid="{00000000-0005-0000-0000-0000D6270000}"/>
    <cellStyle name="20% - Accent4 2 2 5 3 3 2" xfId="39210" xr:uid="{00000000-0005-0000-0000-0000D7270000}"/>
    <cellStyle name="20% - Accent4 2 2 5 3 4" xfId="27909" xr:uid="{00000000-0005-0000-0000-0000D8270000}"/>
    <cellStyle name="20% - Accent4 2 2 5 4" xfId="7530" xr:uid="{00000000-0005-0000-0000-0000D9270000}"/>
    <cellStyle name="20% - Accent4 2 2 5 4 2" xfId="18831" xr:uid="{00000000-0005-0000-0000-0000DA270000}"/>
    <cellStyle name="20% - Accent4 2 2 5 4 2 2" xfId="41433" xr:uid="{00000000-0005-0000-0000-0000DB270000}"/>
    <cellStyle name="20% - Accent4 2 2 5 4 3" xfId="30132" xr:uid="{00000000-0005-0000-0000-0000DC270000}"/>
    <cellStyle name="20% - Accent4 2 2 5 5" xfId="13181" xr:uid="{00000000-0005-0000-0000-0000DD270000}"/>
    <cellStyle name="20% - Accent4 2 2 5 5 2" xfId="35783" xr:uid="{00000000-0005-0000-0000-0000DE270000}"/>
    <cellStyle name="20% - Accent4 2 2 5 6" xfId="24482" xr:uid="{00000000-0005-0000-0000-0000DF270000}"/>
    <cellStyle name="20% - Accent4 2 2 6" xfId="2286" xr:uid="{00000000-0005-0000-0000-0000E0270000}"/>
    <cellStyle name="20% - Accent4 2 2 6 2" xfId="8122" xr:uid="{00000000-0005-0000-0000-0000E1270000}"/>
    <cellStyle name="20% - Accent4 2 2 6 2 2" xfId="19423" xr:uid="{00000000-0005-0000-0000-0000E2270000}"/>
    <cellStyle name="20% - Accent4 2 2 6 2 2 2" xfId="42025" xr:uid="{00000000-0005-0000-0000-0000E3270000}"/>
    <cellStyle name="20% - Accent4 2 2 6 2 3" xfId="30724" xr:uid="{00000000-0005-0000-0000-0000E4270000}"/>
    <cellStyle name="20% - Accent4 2 2 6 3" xfId="13773" xr:uid="{00000000-0005-0000-0000-0000E5270000}"/>
    <cellStyle name="20% - Accent4 2 2 6 3 2" xfId="36375" xr:uid="{00000000-0005-0000-0000-0000E6270000}"/>
    <cellStyle name="20% - Accent4 2 2 6 4" xfId="25074" xr:uid="{00000000-0005-0000-0000-0000E7270000}"/>
    <cellStyle name="20% - Accent4 2 2 7" xfId="4073" xr:uid="{00000000-0005-0000-0000-0000E8270000}"/>
    <cellStyle name="20% - Accent4 2 2 7 2" xfId="9723" xr:uid="{00000000-0005-0000-0000-0000E9270000}"/>
    <cellStyle name="20% - Accent4 2 2 7 2 2" xfId="21024" xr:uid="{00000000-0005-0000-0000-0000EA270000}"/>
    <cellStyle name="20% - Accent4 2 2 7 2 2 2" xfId="43626" xr:uid="{00000000-0005-0000-0000-0000EB270000}"/>
    <cellStyle name="20% - Accent4 2 2 7 2 3" xfId="32325" xr:uid="{00000000-0005-0000-0000-0000EC270000}"/>
    <cellStyle name="20% - Accent4 2 2 7 3" xfId="15374" xr:uid="{00000000-0005-0000-0000-0000ED270000}"/>
    <cellStyle name="20% - Accent4 2 2 7 3 2" xfId="37976" xr:uid="{00000000-0005-0000-0000-0000EE270000}"/>
    <cellStyle name="20% - Accent4 2 2 7 4" xfId="26675" xr:uid="{00000000-0005-0000-0000-0000EF270000}"/>
    <cellStyle name="20% - Accent4 2 2 8" xfId="6524" xr:uid="{00000000-0005-0000-0000-0000F0270000}"/>
    <cellStyle name="20% - Accent4 2 2 8 2" xfId="17825" xr:uid="{00000000-0005-0000-0000-0000F1270000}"/>
    <cellStyle name="20% - Accent4 2 2 8 2 2" xfId="40427" xr:uid="{00000000-0005-0000-0000-0000F2270000}"/>
    <cellStyle name="20% - Accent4 2 2 8 3" xfId="29126" xr:uid="{00000000-0005-0000-0000-0000F3270000}"/>
    <cellStyle name="20% - Accent4 2 2 9" xfId="12175" xr:uid="{00000000-0005-0000-0000-0000F4270000}"/>
    <cellStyle name="20% - Accent4 2 2 9 2" xfId="34777" xr:uid="{00000000-0005-0000-0000-0000F5270000}"/>
    <cellStyle name="20% - Accent4 2 3" xfId="2813" xr:uid="{00000000-0005-0000-0000-0000F6270000}"/>
    <cellStyle name="20% - Accent4 2 3 2" xfId="3570" xr:uid="{00000000-0005-0000-0000-0000F7270000}"/>
    <cellStyle name="20% - Accent4 2 3 2 2" xfId="5828" xr:uid="{00000000-0005-0000-0000-0000F8270000}"/>
    <cellStyle name="20% - Accent4 2 3 2 2 2" xfId="11478" xr:uid="{00000000-0005-0000-0000-0000F9270000}"/>
    <cellStyle name="20% - Accent4 2 3 2 2 2 2" xfId="22779" xr:uid="{00000000-0005-0000-0000-0000FA270000}"/>
    <cellStyle name="20% - Accent4 2 3 2 2 2 2 2" xfId="45381" xr:uid="{00000000-0005-0000-0000-0000FB270000}"/>
    <cellStyle name="20% - Accent4 2 3 2 2 2 3" xfId="34080" xr:uid="{00000000-0005-0000-0000-0000FC270000}"/>
    <cellStyle name="20% - Accent4 2 3 2 2 3" xfId="17129" xr:uid="{00000000-0005-0000-0000-0000FD270000}"/>
    <cellStyle name="20% - Accent4 2 3 2 2 3 2" xfId="39731" xr:uid="{00000000-0005-0000-0000-0000FE270000}"/>
    <cellStyle name="20% - Accent4 2 3 2 2 4" xfId="28430" xr:uid="{00000000-0005-0000-0000-0000FF270000}"/>
    <cellStyle name="20% - Accent4 2 3 2 3" xfId="9299" xr:uid="{00000000-0005-0000-0000-000000280000}"/>
    <cellStyle name="20% - Accent4 2 3 2 3 2" xfId="20600" xr:uid="{00000000-0005-0000-0000-000001280000}"/>
    <cellStyle name="20% - Accent4 2 3 2 3 2 2" xfId="43202" xr:uid="{00000000-0005-0000-0000-000002280000}"/>
    <cellStyle name="20% - Accent4 2 3 2 3 3" xfId="31901" xr:uid="{00000000-0005-0000-0000-000003280000}"/>
    <cellStyle name="20% - Accent4 2 3 2 4" xfId="14950" xr:uid="{00000000-0005-0000-0000-000004280000}"/>
    <cellStyle name="20% - Accent4 2 3 2 4 2" xfId="37552" xr:uid="{00000000-0005-0000-0000-000005280000}"/>
    <cellStyle name="20% - Accent4 2 3 2 5" xfId="26251" xr:uid="{00000000-0005-0000-0000-000006280000}"/>
    <cellStyle name="20% - Accent4 2 3 3" xfId="4594" xr:uid="{00000000-0005-0000-0000-000007280000}"/>
    <cellStyle name="20% - Accent4 2 3 3 2" xfId="10244" xr:uid="{00000000-0005-0000-0000-000008280000}"/>
    <cellStyle name="20% - Accent4 2 3 3 2 2" xfId="21545" xr:uid="{00000000-0005-0000-0000-000009280000}"/>
    <cellStyle name="20% - Accent4 2 3 3 2 2 2" xfId="44147" xr:uid="{00000000-0005-0000-0000-00000A280000}"/>
    <cellStyle name="20% - Accent4 2 3 3 2 3" xfId="32846" xr:uid="{00000000-0005-0000-0000-00000B280000}"/>
    <cellStyle name="20% - Accent4 2 3 3 3" xfId="15895" xr:uid="{00000000-0005-0000-0000-00000C280000}"/>
    <cellStyle name="20% - Accent4 2 3 3 3 2" xfId="38497" xr:uid="{00000000-0005-0000-0000-00000D280000}"/>
    <cellStyle name="20% - Accent4 2 3 3 4" xfId="27196" xr:uid="{00000000-0005-0000-0000-00000E280000}"/>
    <cellStyle name="20% - Accent4 2 3 4" xfId="8646" xr:uid="{00000000-0005-0000-0000-00000F280000}"/>
    <cellStyle name="20% - Accent4 2 3 4 2" xfId="19947" xr:uid="{00000000-0005-0000-0000-000010280000}"/>
    <cellStyle name="20% - Accent4 2 3 4 2 2" xfId="42549" xr:uid="{00000000-0005-0000-0000-000011280000}"/>
    <cellStyle name="20% - Accent4 2 3 4 3" xfId="31248" xr:uid="{00000000-0005-0000-0000-000012280000}"/>
    <cellStyle name="20% - Accent4 2 3 5" xfId="14297" xr:uid="{00000000-0005-0000-0000-000013280000}"/>
    <cellStyle name="20% - Accent4 2 3 5 2" xfId="36899" xr:uid="{00000000-0005-0000-0000-000014280000}"/>
    <cellStyle name="20% - Accent4 2 3 6" xfId="25598" xr:uid="{00000000-0005-0000-0000-000015280000}"/>
    <cellStyle name="20% - Accent4 2 4" xfId="2827" xr:uid="{00000000-0005-0000-0000-000016280000}"/>
    <cellStyle name="20% - Accent4 2 5" xfId="3486" xr:uid="{00000000-0005-0000-0000-000017280000}"/>
    <cellStyle name="20% - Accent4 2 5 2" xfId="9268" xr:uid="{00000000-0005-0000-0000-000018280000}"/>
    <cellStyle name="20% - Accent4 2 5 2 2" xfId="20569" xr:uid="{00000000-0005-0000-0000-000019280000}"/>
    <cellStyle name="20% - Accent4 2 5 2 2 2" xfId="43171" xr:uid="{00000000-0005-0000-0000-00001A280000}"/>
    <cellStyle name="20% - Accent4 2 5 2 3" xfId="31870" xr:uid="{00000000-0005-0000-0000-00001B280000}"/>
    <cellStyle name="20% - Accent4 2 5 3" xfId="14919" xr:uid="{00000000-0005-0000-0000-00001C280000}"/>
    <cellStyle name="20% - Accent4 2 5 3 2" xfId="37521" xr:uid="{00000000-0005-0000-0000-00001D280000}"/>
    <cellStyle name="20% - Accent4 2 5 4" xfId="26220" xr:uid="{00000000-0005-0000-0000-00001E280000}"/>
    <cellStyle name="20% - Accent4 2 6" xfId="3899" xr:uid="{00000000-0005-0000-0000-00001F280000}"/>
    <cellStyle name="20% - Accent4 2 7" xfId="147" xr:uid="{00000000-0005-0000-0000-000020280000}"/>
    <cellStyle name="20% - Accent4 3" xfId="219" xr:uid="{00000000-0005-0000-0000-000021280000}"/>
    <cellStyle name="20% - Accent4 3 2" xfId="346" xr:uid="{00000000-0005-0000-0000-000022280000}"/>
    <cellStyle name="20% - Accent4 3 2 10" xfId="23456" xr:uid="{00000000-0005-0000-0000-000023280000}"/>
    <cellStyle name="20% - Accent4 3 2 2" xfId="606" xr:uid="{00000000-0005-0000-0000-000024280000}"/>
    <cellStyle name="20% - Accent4 3 2 2 2" xfId="1316" xr:uid="{00000000-0005-0000-0000-000025280000}"/>
    <cellStyle name="20% - Accent4 3 2 2 2 2" xfId="1680" xr:uid="{00000000-0005-0000-0000-000026280000}"/>
    <cellStyle name="20% - Accent4 3 2 2 2 2 2" xfId="3385" xr:uid="{00000000-0005-0000-0000-000027280000}"/>
    <cellStyle name="20% - Accent4 3 2 2 2 2 2 2" xfId="6357" xr:uid="{00000000-0005-0000-0000-000028280000}"/>
    <cellStyle name="20% - Accent4 3 2 2 2 2 2 2 2" xfId="12007" xr:uid="{00000000-0005-0000-0000-000029280000}"/>
    <cellStyle name="20% - Accent4 3 2 2 2 2 2 2 2 2" xfId="23308" xr:uid="{00000000-0005-0000-0000-00002A280000}"/>
    <cellStyle name="20% - Accent4 3 2 2 2 2 2 2 2 2 2" xfId="45910" xr:uid="{00000000-0005-0000-0000-00002B280000}"/>
    <cellStyle name="20% - Accent4 3 2 2 2 2 2 2 2 3" xfId="34609" xr:uid="{00000000-0005-0000-0000-00002C280000}"/>
    <cellStyle name="20% - Accent4 3 2 2 2 2 2 2 3" xfId="17658" xr:uid="{00000000-0005-0000-0000-00002D280000}"/>
    <cellStyle name="20% - Accent4 3 2 2 2 2 2 2 3 2" xfId="40260" xr:uid="{00000000-0005-0000-0000-00002E280000}"/>
    <cellStyle name="20% - Accent4 3 2 2 2 2 2 2 4" xfId="28959" xr:uid="{00000000-0005-0000-0000-00002F280000}"/>
    <cellStyle name="20% - Accent4 3 2 2 2 2 2 3" xfId="9175" xr:uid="{00000000-0005-0000-0000-000030280000}"/>
    <cellStyle name="20% - Accent4 3 2 2 2 2 2 3 2" xfId="20476" xr:uid="{00000000-0005-0000-0000-000031280000}"/>
    <cellStyle name="20% - Accent4 3 2 2 2 2 2 3 2 2" xfId="43078" xr:uid="{00000000-0005-0000-0000-000032280000}"/>
    <cellStyle name="20% - Accent4 3 2 2 2 2 2 3 3" xfId="31777" xr:uid="{00000000-0005-0000-0000-000033280000}"/>
    <cellStyle name="20% - Accent4 3 2 2 2 2 2 4" xfId="14826" xr:uid="{00000000-0005-0000-0000-000034280000}"/>
    <cellStyle name="20% - Accent4 3 2 2 2 2 2 4 2" xfId="37428" xr:uid="{00000000-0005-0000-0000-000035280000}"/>
    <cellStyle name="20% - Accent4 3 2 2 2 2 2 5" xfId="26127" xr:uid="{00000000-0005-0000-0000-000036280000}"/>
    <cellStyle name="20% - Accent4 3 2 2 2 2 3" xfId="5123" xr:uid="{00000000-0005-0000-0000-000037280000}"/>
    <cellStyle name="20% - Accent4 3 2 2 2 2 3 2" xfId="10773" xr:uid="{00000000-0005-0000-0000-000038280000}"/>
    <cellStyle name="20% - Accent4 3 2 2 2 2 3 2 2" xfId="22074" xr:uid="{00000000-0005-0000-0000-000039280000}"/>
    <cellStyle name="20% - Accent4 3 2 2 2 2 3 2 2 2" xfId="44676" xr:uid="{00000000-0005-0000-0000-00003A280000}"/>
    <cellStyle name="20% - Accent4 3 2 2 2 2 3 2 3" xfId="33375" xr:uid="{00000000-0005-0000-0000-00003B280000}"/>
    <cellStyle name="20% - Accent4 3 2 2 2 2 3 3" xfId="16424" xr:uid="{00000000-0005-0000-0000-00003C280000}"/>
    <cellStyle name="20% - Accent4 3 2 2 2 2 3 3 2" xfId="39026" xr:uid="{00000000-0005-0000-0000-00003D280000}"/>
    <cellStyle name="20% - Accent4 3 2 2 2 2 3 4" xfId="27725" xr:uid="{00000000-0005-0000-0000-00003E280000}"/>
    <cellStyle name="20% - Accent4 3 2 2 2 2 4" xfId="7536" xr:uid="{00000000-0005-0000-0000-00003F280000}"/>
    <cellStyle name="20% - Accent4 3 2 2 2 2 4 2" xfId="18837" xr:uid="{00000000-0005-0000-0000-000040280000}"/>
    <cellStyle name="20% - Accent4 3 2 2 2 2 4 2 2" xfId="41439" xr:uid="{00000000-0005-0000-0000-000041280000}"/>
    <cellStyle name="20% - Accent4 3 2 2 2 2 4 3" xfId="30138" xr:uid="{00000000-0005-0000-0000-000042280000}"/>
    <cellStyle name="20% - Accent4 3 2 2 2 2 5" xfId="13187" xr:uid="{00000000-0005-0000-0000-000043280000}"/>
    <cellStyle name="20% - Accent4 3 2 2 2 2 5 2" xfId="35789" xr:uid="{00000000-0005-0000-0000-000044280000}"/>
    <cellStyle name="20% - Accent4 3 2 2 2 2 6" xfId="24488" xr:uid="{00000000-0005-0000-0000-000045280000}"/>
    <cellStyle name="20% - Accent4 3 2 2 2 3" xfId="2714" xr:uid="{00000000-0005-0000-0000-000046280000}"/>
    <cellStyle name="20% - Accent4 3 2 2 2 3 2" xfId="5733" xr:uid="{00000000-0005-0000-0000-000047280000}"/>
    <cellStyle name="20% - Accent4 3 2 2 2 3 2 2" xfId="11383" xr:uid="{00000000-0005-0000-0000-000048280000}"/>
    <cellStyle name="20% - Accent4 3 2 2 2 3 2 2 2" xfId="22684" xr:uid="{00000000-0005-0000-0000-000049280000}"/>
    <cellStyle name="20% - Accent4 3 2 2 2 3 2 2 2 2" xfId="45286" xr:uid="{00000000-0005-0000-0000-00004A280000}"/>
    <cellStyle name="20% - Accent4 3 2 2 2 3 2 2 3" xfId="33985" xr:uid="{00000000-0005-0000-0000-00004B280000}"/>
    <cellStyle name="20% - Accent4 3 2 2 2 3 2 3" xfId="17034" xr:uid="{00000000-0005-0000-0000-00004C280000}"/>
    <cellStyle name="20% - Accent4 3 2 2 2 3 2 3 2" xfId="39636" xr:uid="{00000000-0005-0000-0000-00004D280000}"/>
    <cellStyle name="20% - Accent4 3 2 2 2 3 2 4" xfId="28335" xr:uid="{00000000-0005-0000-0000-00004E280000}"/>
    <cellStyle name="20% - Accent4 3 2 2 2 3 3" xfId="8550" xr:uid="{00000000-0005-0000-0000-00004F280000}"/>
    <cellStyle name="20% - Accent4 3 2 2 2 3 3 2" xfId="19851" xr:uid="{00000000-0005-0000-0000-000050280000}"/>
    <cellStyle name="20% - Accent4 3 2 2 2 3 3 2 2" xfId="42453" xr:uid="{00000000-0005-0000-0000-000051280000}"/>
    <cellStyle name="20% - Accent4 3 2 2 2 3 3 3" xfId="31152" xr:uid="{00000000-0005-0000-0000-000052280000}"/>
    <cellStyle name="20% - Accent4 3 2 2 2 3 4" xfId="14201" xr:uid="{00000000-0005-0000-0000-000053280000}"/>
    <cellStyle name="20% - Accent4 3 2 2 2 3 4 2" xfId="36803" xr:uid="{00000000-0005-0000-0000-000054280000}"/>
    <cellStyle name="20% - Accent4 3 2 2 2 3 5" xfId="25502" xr:uid="{00000000-0005-0000-0000-000055280000}"/>
    <cellStyle name="20% - Accent4 3 2 2 2 4" xfId="4499" xr:uid="{00000000-0005-0000-0000-000056280000}"/>
    <cellStyle name="20% - Accent4 3 2 2 2 4 2" xfId="10149" xr:uid="{00000000-0005-0000-0000-000057280000}"/>
    <cellStyle name="20% - Accent4 3 2 2 2 4 2 2" xfId="21450" xr:uid="{00000000-0005-0000-0000-000058280000}"/>
    <cellStyle name="20% - Accent4 3 2 2 2 4 2 2 2" xfId="44052" xr:uid="{00000000-0005-0000-0000-000059280000}"/>
    <cellStyle name="20% - Accent4 3 2 2 2 4 2 3" xfId="32751" xr:uid="{00000000-0005-0000-0000-00005A280000}"/>
    <cellStyle name="20% - Accent4 3 2 2 2 4 3" xfId="15800" xr:uid="{00000000-0005-0000-0000-00005B280000}"/>
    <cellStyle name="20% - Accent4 3 2 2 2 4 3 2" xfId="38402" xr:uid="{00000000-0005-0000-0000-00005C280000}"/>
    <cellStyle name="20% - Accent4 3 2 2 2 4 4" xfId="27101" xr:uid="{00000000-0005-0000-0000-00005D280000}"/>
    <cellStyle name="20% - Accent4 3 2 2 2 5" xfId="7295" xr:uid="{00000000-0005-0000-0000-00005E280000}"/>
    <cellStyle name="20% - Accent4 3 2 2 2 5 2" xfId="18596" xr:uid="{00000000-0005-0000-0000-00005F280000}"/>
    <cellStyle name="20% - Accent4 3 2 2 2 5 2 2" xfId="41198" xr:uid="{00000000-0005-0000-0000-000060280000}"/>
    <cellStyle name="20% - Accent4 3 2 2 2 5 3" xfId="29897" xr:uid="{00000000-0005-0000-0000-000061280000}"/>
    <cellStyle name="20% - Accent4 3 2 2 2 6" xfId="12946" xr:uid="{00000000-0005-0000-0000-000062280000}"/>
    <cellStyle name="20% - Accent4 3 2 2 2 6 2" xfId="35548" xr:uid="{00000000-0005-0000-0000-000063280000}"/>
    <cellStyle name="20% - Accent4 3 2 2 2 7" xfId="24247" xr:uid="{00000000-0005-0000-0000-000064280000}"/>
    <cellStyle name="20% - Accent4 3 2 2 3" xfId="1014" xr:uid="{00000000-0005-0000-0000-000065280000}"/>
    <cellStyle name="20% - Accent4 3 2 2 3 2" xfId="3077" xr:uid="{00000000-0005-0000-0000-000066280000}"/>
    <cellStyle name="20% - Accent4 3 2 2 3 2 2" xfId="6049" xr:uid="{00000000-0005-0000-0000-000067280000}"/>
    <cellStyle name="20% - Accent4 3 2 2 3 2 2 2" xfId="11699" xr:uid="{00000000-0005-0000-0000-000068280000}"/>
    <cellStyle name="20% - Accent4 3 2 2 3 2 2 2 2" xfId="23000" xr:uid="{00000000-0005-0000-0000-000069280000}"/>
    <cellStyle name="20% - Accent4 3 2 2 3 2 2 2 2 2" xfId="45602" xr:uid="{00000000-0005-0000-0000-00006A280000}"/>
    <cellStyle name="20% - Accent4 3 2 2 3 2 2 2 3" xfId="34301" xr:uid="{00000000-0005-0000-0000-00006B280000}"/>
    <cellStyle name="20% - Accent4 3 2 2 3 2 2 3" xfId="17350" xr:uid="{00000000-0005-0000-0000-00006C280000}"/>
    <cellStyle name="20% - Accent4 3 2 2 3 2 2 3 2" xfId="39952" xr:uid="{00000000-0005-0000-0000-00006D280000}"/>
    <cellStyle name="20% - Accent4 3 2 2 3 2 2 4" xfId="28651" xr:uid="{00000000-0005-0000-0000-00006E280000}"/>
    <cellStyle name="20% - Accent4 3 2 2 3 2 3" xfId="8867" xr:uid="{00000000-0005-0000-0000-00006F280000}"/>
    <cellStyle name="20% - Accent4 3 2 2 3 2 3 2" xfId="20168" xr:uid="{00000000-0005-0000-0000-000070280000}"/>
    <cellStyle name="20% - Accent4 3 2 2 3 2 3 2 2" xfId="42770" xr:uid="{00000000-0005-0000-0000-000071280000}"/>
    <cellStyle name="20% - Accent4 3 2 2 3 2 3 3" xfId="31469" xr:uid="{00000000-0005-0000-0000-000072280000}"/>
    <cellStyle name="20% - Accent4 3 2 2 3 2 4" xfId="14518" xr:uid="{00000000-0005-0000-0000-000073280000}"/>
    <cellStyle name="20% - Accent4 3 2 2 3 2 4 2" xfId="37120" xr:uid="{00000000-0005-0000-0000-000074280000}"/>
    <cellStyle name="20% - Accent4 3 2 2 3 2 5" xfId="25819" xr:uid="{00000000-0005-0000-0000-000075280000}"/>
    <cellStyle name="20% - Accent4 3 2 2 3 3" xfId="4815" xr:uid="{00000000-0005-0000-0000-000076280000}"/>
    <cellStyle name="20% - Accent4 3 2 2 3 3 2" xfId="10465" xr:uid="{00000000-0005-0000-0000-000077280000}"/>
    <cellStyle name="20% - Accent4 3 2 2 3 3 2 2" xfId="21766" xr:uid="{00000000-0005-0000-0000-000078280000}"/>
    <cellStyle name="20% - Accent4 3 2 2 3 3 2 2 2" xfId="44368" xr:uid="{00000000-0005-0000-0000-000079280000}"/>
    <cellStyle name="20% - Accent4 3 2 2 3 3 2 3" xfId="33067" xr:uid="{00000000-0005-0000-0000-00007A280000}"/>
    <cellStyle name="20% - Accent4 3 2 2 3 3 3" xfId="16116" xr:uid="{00000000-0005-0000-0000-00007B280000}"/>
    <cellStyle name="20% - Accent4 3 2 2 3 3 3 2" xfId="38718" xr:uid="{00000000-0005-0000-0000-00007C280000}"/>
    <cellStyle name="20% - Accent4 3 2 2 3 3 4" xfId="27417" xr:uid="{00000000-0005-0000-0000-00007D280000}"/>
    <cellStyle name="20% - Accent4 3 2 2 3 4" xfId="7002" xr:uid="{00000000-0005-0000-0000-00007E280000}"/>
    <cellStyle name="20% - Accent4 3 2 2 3 4 2" xfId="18303" xr:uid="{00000000-0005-0000-0000-00007F280000}"/>
    <cellStyle name="20% - Accent4 3 2 2 3 4 2 2" xfId="40905" xr:uid="{00000000-0005-0000-0000-000080280000}"/>
    <cellStyle name="20% - Accent4 3 2 2 3 4 3" xfId="29604" xr:uid="{00000000-0005-0000-0000-000081280000}"/>
    <cellStyle name="20% - Accent4 3 2 2 3 5" xfId="12653" xr:uid="{00000000-0005-0000-0000-000082280000}"/>
    <cellStyle name="20% - Accent4 3 2 2 3 5 2" xfId="35255" xr:uid="{00000000-0005-0000-0000-000083280000}"/>
    <cellStyle name="20% - Accent4 3 2 2 3 6" xfId="23954" xr:uid="{00000000-0005-0000-0000-000084280000}"/>
    <cellStyle name="20% - Accent4 3 2 2 4" xfId="1679" xr:uid="{00000000-0005-0000-0000-000085280000}"/>
    <cellStyle name="20% - Accent4 3 2 2 4 2" xfId="3634" xr:uid="{00000000-0005-0000-0000-000086280000}"/>
    <cellStyle name="20% - Accent4 3 2 2 4 2 2" xfId="9346" xr:uid="{00000000-0005-0000-0000-000087280000}"/>
    <cellStyle name="20% - Accent4 3 2 2 4 2 2 2" xfId="20647" xr:uid="{00000000-0005-0000-0000-000088280000}"/>
    <cellStyle name="20% - Accent4 3 2 2 4 2 2 2 2" xfId="43249" xr:uid="{00000000-0005-0000-0000-000089280000}"/>
    <cellStyle name="20% - Accent4 3 2 2 4 2 2 3" xfId="31948" xr:uid="{00000000-0005-0000-0000-00008A280000}"/>
    <cellStyle name="20% - Accent4 3 2 2 4 2 3" xfId="14997" xr:uid="{00000000-0005-0000-0000-00008B280000}"/>
    <cellStyle name="20% - Accent4 3 2 2 4 2 3 2" xfId="37599" xr:uid="{00000000-0005-0000-0000-00008C280000}"/>
    <cellStyle name="20% - Accent4 3 2 2 4 2 4" xfId="26298" xr:uid="{00000000-0005-0000-0000-00008D280000}"/>
    <cellStyle name="20% - Accent4 3 2 2 4 3" xfId="5425" xr:uid="{00000000-0005-0000-0000-00008E280000}"/>
    <cellStyle name="20% - Accent4 3 2 2 4 3 2" xfId="11075" xr:uid="{00000000-0005-0000-0000-00008F280000}"/>
    <cellStyle name="20% - Accent4 3 2 2 4 3 2 2" xfId="22376" xr:uid="{00000000-0005-0000-0000-000090280000}"/>
    <cellStyle name="20% - Accent4 3 2 2 4 3 2 2 2" xfId="44978" xr:uid="{00000000-0005-0000-0000-000091280000}"/>
    <cellStyle name="20% - Accent4 3 2 2 4 3 2 3" xfId="33677" xr:uid="{00000000-0005-0000-0000-000092280000}"/>
    <cellStyle name="20% - Accent4 3 2 2 4 3 3" xfId="16726" xr:uid="{00000000-0005-0000-0000-000093280000}"/>
    <cellStyle name="20% - Accent4 3 2 2 4 3 3 2" xfId="39328" xr:uid="{00000000-0005-0000-0000-000094280000}"/>
    <cellStyle name="20% - Accent4 3 2 2 4 3 4" xfId="28027" xr:uid="{00000000-0005-0000-0000-000095280000}"/>
    <cellStyle name="20% - Accent4 3 2 2 4 4" xfId="7535" xr:uid="{00000000-0005-0000-0000-000096280000}"/>
    <cellStyle name="20% - Accent4 3 2 2 4 4 2" xfId="18836" xr:uid="{00000000-0005-0000-0000-000097280000}"/>
    <cellStyle name="20% - Accent4 3 2 2 4 4 2 2" xfId="41438" xr:uid="{00000000-0005-0000-0000-000098280000}"/>
    <cellStyle name="20% - Accent4 3 2 2 4 4 3" xfId="30137" xr:uid="{00000000-0005-0000-0000-000099280000}"/>
    <cellStyle name="20% - Accent4 3 2 2 4 5" xfId="13186" xr:uid="{00000000-0005-0000-0000-00009A280000}"/>
    <cellStyle name="20% - Accent4 3 2 2 4 5 2" xfId="35788" xr:uid="{00000000-0005-0000-0000-00009B280000}"/>
    <cellStyle name="20% - Accent4 3 2 2 4 6" xfId="24487" xr:uid="{00000000-0005-0000-0000-00009C280000}"/>
    <cellStyle name="20% - Accent4 3 2 2 5" xfId="2406" xr:uid="{00000000-0005-0000-0000-00009D280000}"/>
    <cellStyle name="20% - Accent4 3 2 2 5 2" xfId="8242" xr:uid="{00000000-0005-0000-0000-00009E280000}"/>
    <cellStyle name="20% - Accent4 3 2 2 5 2 2" xfId="19543" xr:uid="{00000000-0005-0000-0000-00009F280000}"/>
    <cellStyle name="20% - Accent4 3 2 2 5 2 2 2" xfId="42145" xr:uid="{00000000-0005-0000-0000-0000A0280000}"/>
    <cellStyle name="20% - Accent4 3 2 2 5 2 3" xfId="30844" xr:uid="{00000000-0005-0000-0000-0000A1280000}"/>
    <cellStyle name="20% - Accent4 3 2 2 5 3" xfId="13893" xr:uid="{00000000-0005-0000-0000-0000A2280000}"/>
    <cellStyle name="20% - Accent4 3 2 2 5 3 2" xfId="36495" xr:uid="{00000000-0005-0000-0000-0000A3280000}"/>
    <cellStyle name="20% - Accent4 3 2 2 5 4" xfId="25194" xr:uid="{00000000-0005-0000-0000-0000A4280000}"/>
    <cellStyle name="20% - Accent4 3 2 2 6" xfId="4191" xr:uid="{00000000-0005-0000-0000-0000A5280000}"/>
    <cellStyle name="20% - Accent4 3 2 2 6 2" xfId="9841" xr:uid="{00000000-0005-0000-0000-0000A6280000}"/>
    <cellStyle name="20% - Accent4 3 2 2 6 2 2" xfId="21142" xr:uid="{00000000-0005-0000-0000-0000A7280000}"/>
    <cellStyle name="20% - Accent4 3 2 2 6 2 2 2" xfId="43744" xr:uid="{00000000-0005-0000-0000-0000A8280000}"/>
    <cellStyle name="20% - Accent4 3 2 2 6 2 3" xfId="32443" xr:uid="{00000000-0005-0000-0000-0000A9280000}"/>
    <cellStyle name="20% - Accent4 3 2 2 6 3" xfId="15492" xr:uid="{00000000-0005-0000-0000-0000AA280000}"/>
    <cellStyle name="20% - Accent4 3 2 2 6 3 2" xfId="38094" xr:uid="{00000000-0005-0000-0000-0000AB280000}"/>
    <cellStyle name="20% - Accent4 3 2 2 6 4" xfId="26793" xr:uid="{00000000-0005-0000-0000-0000AC280000}"/>
    <cellStyle name="20% - Accent4 3 2 2 7" xfId="6671" xr:uid="{00000000-0005-0000-0000-0000AD280000}"/>
    <cellStyle name="20% - Accent4 3 2 2 7 2" xfId="17972" xr:uid="{00000000-0005-0000-0000-0000AE280000}"/>
    <cellStyle name="20% - Accent4 3 2 2 7 2 2" xfId="40574" xr:uid="{00000000-0005-0000-0000-0000AF280000}"/>
    <cellStyle name="20% - Accent4 3 2 2 7 3" xfId="29273" xr:uid="{00000000-0005-0000-0000-0000B0280000}"/>
    <cellStyle name="20% - Accent4 3 2 2 8" xfId="12322" xr:uid="{00000000-0005-0000-0000-0000B1280000}"/>
    <cellStyle name="20% - Accent4 3 2 2 8 2" xfId="34924" xr:uid="{00000000-0005-0000-0000-0000B2280000}"/>
    <cellStyle name="20% - Accent4 3 2 2 9" xfId="23623" xr:uid="{00000000-0005-0000-0000-0000B3280000}"/>
    <cellStyle name="20% - Accent4 3 2 3" xfId="1178" xr:uid="{00000000-0005-0000-0000-0000B4280000}"/>
    <cellStyle name="20% - Accent4 3 2 3 2" xfId="1681" xr:uid="{00000000-0005-0000-0000-0000B5280000}"/>
    <cellStyle name="20% - Accent4 3 2 3 2 2" xfId="3246" xr:uid="{00000000-0005-0000-0000-0000B6280000}"/>
    <cellStyle name="20% - Accent4 3 2 3 2 2 2" xfId="6218" xr:uid="{00000000-0005-0000-0000-0000B7280000}"/>
    <cellStyle name="20% - Accent4 3 2 3 2 2 2 2" xfId="11868" xr:uid="{00000000-0005-0000-0000-0000B8280000}"/>
    <cellStyle name="20% - Accent4 3 2 3 2 2 2 2 2" xfId="23169" xr:uid="{00000000-0005-0000-0000-0000B9280000}"/>
    <cellStyle name="20% - Accent4 3 2 3 2 2 2 2 2 2" xfId="45771" xr:uid="{00000000-0005-0000-0000-0000BA280000}"/>
    <cellStyle name="20% - Accent4 3 2 3 2 2 2 2 3" xfId="34470" xr:uid="{00000000-0005-0000-0000-0000BB280000}"/>
    <cellStyle name="20% - Accent4 3 2 3 2 2 2 3" xfId="17519" xr:uid="{00000000-0005-0000-0000-0000BC280000}"/>
    <cellStyle name="20% - Accent4 3 2 3 2 2 2 3 2" xfId="40121" xr:uid="{00000000-0005-0000-0000-0000BD280000}"/>
    <cellStyle name="20% - Accent4 3 2 3 2 2 2 4" xfId="28820" xr:uid="{00000000-0005-0000-0000-0000BE280000}"/>
    <cellStyle name="20% - Accent4 3 2 3 2 2 3" xfId="9036" xr:uid="{00000000-0005-0000-0000-0000BF280000}"/>
    <cellStyle name="20% - Accent4 3 2 3 2 2 3 2" xfId="20337" xr:uid="{00000000-0005-0000-0000-0000C0280000}"/>
    <cellStyle name="20% - Accent4 3 2 3 2 2 3 2 2" xfId="42939" xr:uid="{00000000-0005-0000-0000-0000C1280000}"/>
    <cellStyle name="20% - Accent4 3 2 3 2 2 3 3" xfId="31638" xr:uid="{00000000-0005-0000-0000-0000C2280000}"/>
    <cellStyle name="20% - Accent4 3 2 3 2 2 4" xfId="14687" xr:uid="{00000000-0005-0000-0000-0000C3280000}"/>
    <cellStyle name="20% - Accent4 3 2 3 2 2 4 2" xfId="37289" xr:uid="{00000000-0005-0000-0000-0000C4280000}"/>
    <cellStyle name="20% - Accent4 3 2 3 2 2 5" xfId="25988" xr:uid="{00000000-0005-0000-0000-0000C5280000}"/>
    <cellStyle name="20% - Accent4 3 2 3 2 3" xfId="4984" xr:uid="{00000000-0005-0000-0000-0000C6280000}"/>
    <cellStyle name="20% - Accent4 3 2 3 2 3 2" xfId="10634" xr:uid="{00000000-0005-0000-0000-0000C7280000}"/>
    <cellStyle name="20% - Accent4 3 2 3 2 3 2 2" xfId="21935" xr:uid="{00000000-0005-0000-0000-0000C8280000}"/>
    <cellStyle name="20% - Accent4 3 2 3 2 3 2 2 2" xfId="44537" xr:uid="{00000000-0005-0000-0000-0000C9280000}"/>
    <cellStyle name="20% - Accent4 3 2 3 2 3 2 3" xfId="33236" xr:uid="{00000000-0005-0000-0000-0000CA280000}"/>
    <cellStyle name="20% - Accent4 3 2 3 2 3 3" xfId="16285" xr:uid="{00000000-0005-0000-0000-0000CB280000}"/>
    <cellStyle name="20% - Accent4 3 2 3 2 3 3 2" xfId="38887" xr:uid="{00000000-0005-0000-0000-0000CC280000}"/>
    <cellStyle name="20% - Accent4 3 2 3 2 3 4" xfId="27586" xr:uid="{00000000-0005-0000-0000-0000CD280000}"/>
    <cellStyle name="20% - Accent4 3 2 3 2 4" xfId="7537" xr:uid="{00000000-0005-0000-0000-0000CE280000}"/>
    <cellStyle name="20% - Accent4 3 2 3 2 4 2" xfId="18838" xr:uid="{00000000-0005-0000-0000-0000CF280000}"/>
    <cellStyle name="20% - Accent4 3 2 3 2 4 2 2" xfId="41440" xr:uid="{00000000-0005-0000-0000-0000D0280000}"/>
    <cellStyle name="20% - Accent4 3 2 3 2 4 3" xfId="30139" xr:uid="{00000000-0005-0000-0000-0000D1280000}"/>
    <cellStyle name="20% - Accent4 3 2 3 2 5" xfId="13188" xr:uid="{00000000-0005-0000-0000-0000D2280000}"/>
    <cellStyle name="20% - Accent4 3 2 3 2 5 2" xfId="35790" xr:uid="{00000000-0005-0000-0000-0000D3280000}"/>
    <cellStyle name="20% - Accent4 3 2 3 2 6" xfId="24489" xr:uid="{00000000-0005-0000-0000-0000D4280000}"/>
    <cellStyle name="20% - Accent4 3 2 3 3" xfId="2575" xr:uid="{00000000-0005-0000-0000-0000D5280000}"/>
    <cellStyle name="20% - Accent4 3 2 3 3 2" xfId="5594" xr:uid="{00000000-0005-0000-0000-0000D6280000}"/>
    <cellStyle name="20% - Accent4 3 2 3 3 2 2" xfId="11244" xr:uid="{00000000-0005-0000-0000-0000D7280000}"/>
    <cellStyle name="20% - Accent4 3 2 3 3 2 2 2" xfId="22545" xr:uid="{00000000-0005-0000-0000-0000D8280000}"/>
    <cellStyle name="20% - Accent4 3 2 3 3 2 2 2 2" xfId="45147" xr:uid="{00000000-0005-0000-0000-0000D9280000}"/>
    <cellStyle name="20% - Accent4 3 2 3 3 2 2 3" xfId="33846" xr:uid="{00000000-0005-0000-0000-0000DA280000}"/>
    <cellStyle name="20% - Accent4 3 2 3 3 2 3" xfId="16895" xr:uid="{00000000-0005-0000-0000-0000DB280000}"/>
    <cellStyle name="20% - Accent4 3 2 3 3 2 3 2" xfId="39497" xr:uid="{00000000-0005-0000-0000-0000DC280000}"/>
    <cellStyle name="20% - Accent4 3 2 3 3 2 4" xfId="28196" xr:uid="{00000000-0005-0000-0000-0000DD280000}"/>
    <cellStyle name="20% - Accent4 3 2 3 3 3" xfId="8411" xr:uid="{00000000-0005-0000-0000-0000DE280000}"/>
    <cellStyle name="20% - Accent4 3 2 3 3 3 2" xfId="19712" xr:uid="{00000000-0005-0000-0000-0000DF280000}"/>
    <cellStyle name="20% - Accent4 3 2 3 3 3 2 2" xfId="42314" xr:uid="{00000000-0005-0000-0000-0000E0280000}"/>
    <cellStyle name="20% - Accent4 3 2 3 3 3 3" xfId="31013" xr:uid="{00000000-0005-0000-0000-0000E1280000}"/>
    <cellStyle name="20% - Accent4 3 2 3 3 4" xfId="14062" xr:uid="{00000000-0005-0000-0000-0000E2280000}"/>
    <cellStyle name="20% - Accent4 3 2 3 3 4 2" xfId="36664" xr:uid="{00000000-0005-0000-0000-0000E3280000}"/>
    <cellStyle name="20% - Accent4 3 2 3 3 5" xfId="25363" xr:uid="{00000000-0005-0000-0000-0000E4280000}"/>
    <cellStyle name="20% - Accent4 3 2 3 4" xfId="4360" xr:uid="{00000000-0005-0000-0000-0000E5280000}"/>
    <cellStyle name="20% - Accent4 3 2 3 4 2" xfId="10010" xr:uid="{00000000-0005-0000-0000-0000E6280000}"/>
    <cellStyle name="20% - Accent4 3 2 3 4 2 2" xfId="21311" xr:uid="{00000000-0005-0000-0000-0000E7280000}"/>
    <cellStyle name="20% - Accent4 3 2 3 4 2 2 2" xfId="43913" xr:uid="{00000000-0005-0000-0000-0000E8280000}"/>
    <cellStyle name="20% - Accent4 3 2 3 4 2 3" xfId="32612" xr:uid="{00000000-0005-0000-0000-0000E9280000}"/>
    <cellStyle name="20% - Accent4 3 2 3 4 3" xfId="15661" xr:uid="{00000000-0005-0000-0000-0000EA280000}"/>
    <cellStyle name="20% - Accent4 3 2 3 4 3 2" xfId="38263" xr:uid="{00000000-0005-0000-0000-0000EB280000}"/>
    <cellStyle name="20% - Accent4 3 2 3 4 4" xfId="26962" xr:uid="{00000000-0005-0000-0000-0000EC280000}"/>
    <cellStyle name="20% - Accent4 3 2 3 5" xfId="7157" xr:uid="{00000000-0005-0000-0000-0000ED280000}"/>
    <cellStyle name="20% - Accent4 3 2 3 5 2" xfId="18458" xr:uid="{00000000-0005-0000-0000-0000EE280000}"/>
    <cellStyle name="20% - Accent4 3 2 3 5 2 2" xfId="41060" xr:uid="{00000000-0005-0000-0000-0000EF280000}"/>
    <cellStyle name="20% - Accent4 3 2 3 5 3" xfId="29759" xr:uid="{00000000-0005-0000-0000-0000F0280000}"/>
    <cellStyle name="20% - Accent4 3 2 3 6" xfId="12808" xr:uid="{00000000-0005-0000-0000-0000F1280000}"/>
    <cellStyle name="20% - Accent4 3 2 3 6 2" xfId="35410" xr:uid="{00000000-0005-0000-0000-0000F2280000}"/>
    <cellStyle name="20% - Accent4 3 2 3 7" xfId="24109" xr:uid="{00000000-0005-0000-0000-0000F3280000}"/>
    <cellStyle name="20% - Accent4 3 2 4" xfId="867" xr:uid="{00000000-0005-0000-0000-0000F4280000}"/>
    <cellStyle name="20% - Accent4 3 2 4 2" xfId="2939" xr:uid="{00000000-0005-0000-0000-0000F5280000}"/>
    <cellStyle name="20% - Accent4 3 2 4 2 2" xfId="5911" xr:uid="{00000000-0005-0000-0000-0000F6280000}"/>
    <cellStyle name="20% - Accent4 3 2 4 2 2 2" xfId="11561" xr:uid="{00000000-0005-0000-0000-0000F7280000}"/>
    <cellStyle name="20% - Accent4 3 2 4 2 2 2 2" xfId="22862" xr:uid="{00000000-0005-0000-0000-0000F8280000}"/>
    <cellStyle name="20% - Accent4 3 2 4 2 2 2 2 2" xfId="45464" xr:uid="{00000000-0005-0000-0000-0000F9280000}"/>
    <cellStyle name="20% - Accent4 3 2 4 2 2 2 3" xfId="34163" xr:uid="{00000000-0005-0000-0000-0000FA280000}"/>
    <cellStyle name="20% - Accent4 3 2 4 2 2 3" xfId="17212" xr:uid="{00000000-0005-0000-0000-0000FB280000}"/>
    <cellStyle name="20% - Accent4 3 2 4 2 2 3 2" xfId="39814" xr:uid="{00000000-0005-0000-0000-0000FC280000}"/>
    <cellStyle name="20% - Accent4 3 2 4 2 2 4" xfId="28513" xr:uid="{00000000-0005-0000-0000-0000FD280000}"/>
    <cellStyle name="20% - Accent4 3 2 4 2 3" xfId="8729" xr:uid="{00000000-0005-0000-0000-0000FE280000}"/>
    <cellStyle name="20% - Accent4 3 2 4 2 3 2" xfId="20030" xr:uid="{00000000-0005-0000-0000-0000FF280000}"/>
    <cellStyle name="20% - Accent4 3 2 4 2 3 2 2" xfId="42632" xr:uid="{00000000-0005-0000-0000-000000290000}"/>
    <cellStyle name="20% - Accent4 3 2 4 2 3 3" xfId="31331" xr:uid="{00000000-0005-0000-0000-000001290000}"/>
    <cellStyle name="20% - Accent4 3 2 4 2 4" xfId="14380" xr:uid="{00000000-0005-0000-0000-000002290000}"/>
    <cellStyle name="20% - Accent4 3 2 4 2 4 2" xfId="36982" xr:uid="{00000000-0005-0000-0000-000003290000}"/>
    <cellStyle name="20% - Accent4 3 2 4 2 5" xfId="25681" xr:uid="{00000000-0005-0000-0000-000004290000}"/>
    <cellStyle name="20% - Accent4 3 2 4 3" xfId="4677" xr:uid="{00000000-0005-0000-0000-000005290000}"/>
    <cellStyle name="20% - Accent4 3 2 4 3 2" xfId="10327" xr:uid="{00000000-0005-0000-0000-000006290000}"/>
    <cellStyle name="20% - Accent4 3 2 4 3 2 2" xfId="21628" xr:uid="{00000000-0005-0000-0000-000007290000}"/>
    <cellStyle name="20% - Accent4 3 2 4 3 2 2 2" xfId="44230" xr:uid="{00000000-0005-0000-0000-000008290000}"/>
    <cellStyle name="20% - Accent4 3 2 4 3 2 3" xfId="32929" xr:uid="{00000000-0005-0000-0000-000009290000}"/>
    <cellStyle name="20% - Accent4 3 2 4 3 3" xfId="15978" xr:uid="{00000000-0005-0000-0000-00000A290000}"/>
    <cellStyle name="20% - Accent4 3 2 4 3 3 2" xfId="38580" xr:uid="{00000000-0005-0000-0000-00000B290000}"/>
    <cellStyle name="20% - Accent4 3 2 4 3 4" xfId="27279" xr:uid="{00000000-0005-0000-0000-00000C290000}"/>
    <cellStyle name="20% - Accent4 3 2 4 4" xfId="6864" xr:uid="{00000000-0005-0000-0000-00000D290000}"/>
    <cellStyle name="20% - Accent4 3 2 4 4 2" xfId="18165" xr:uid="{00000000-0005-0000-0000-00000E290000}"/>
    <cellStyle name="20% - Accent4 3 2 4 4 2 2" xfId="40767" xr:uid="{00000000-0005-0000-0000-00000F290000}"/>
    <cellStyle name="20% - Accent4 3 2 4 4 3" xfId="29466" xr:uid="{00000000-0005-0000-0000-000010290000}"/>
    <cellStyle name="20% - Accent4 3 2 4 5" xfId="12515" xr:uid="{00000000-0005-0000-0000-000011290000}"/>
    <cellStyle name="20% - Accent4 3 2 4 5 2" xfId="35117" xr:uid="{00000000-0005-0000-0000-000012290000}"/>
    <cellStyle name="20% - Accent4 3 2 4 6" xfId="23816" xr:uid="{00000000-0005-0000-0000-000013290000}"/>
    <cellStyle name="20% - Accent4 3 2 5" xfId="1678" xr:uid="{00000000-0005-0000-0000-000014290000}"/>
    <cellStyle name="20% - Accent4 3 2 5 2" xfId="3633" xr:uid="{00000000-0005-0000-0000-000015290000}"/>
    <cellStyle name="20% - Accent4 3 2 5 2 2" xfId="9345" xr:uid="{00000000-0005-0000-0000-000016290000}"/>
    <cellStyle name="20% - Accent4 3 2 5 2 2 2" xfId="20646" xr:uid="{00000000-0005-0000-0000-000017290000}"/>
    <cellStyle name="20% - Accent4 3 2 5 2 2 2 2" xfId="43248" xr:uid="{00000000-0005-0000-0000-000018290000}"/>
    <cellStyle name="20% - Accent4 3 2 5 2 2 3" xfId="31947" xr:uid="{00000000-0005-0000-0000-000019290000}"/>
    <cellStyle name="20% - Accent4 3 2 5 2 3" xfId="14996" xr:uid="{00000000-0005-0000-0000-00001A290000}"/>
    <cellStyle name="20% - Accent4 3 2 5 2 3 2" xfId="37598" xr:uid="{00000000-0005-0000-0000-00001B290000}"/>
    <cellStyle name="20% - Accent4 3 2 5 2 4" xfId="26297" xr:uid="{00000000-0005-0000-0000-00001C290000}"/>
    <cellStyle name="20% - Accent4 3 2 5 3" xfId="5287" xr:uid="{00000000-0005-0000-0000-00001D290000}"/>
    <cellStyle name="20% - Accent4 3 2 5 3 2" xfId="10937" xr:uid="{00000000-0005-0000-0000-00001E290000}"/>
    <cellStyle name="20% - Accent4 3 2 5 3 2 2" xfId="22238" xr:uid="{00000000-0005-0000-0000-00001F290000}"/>
    <cellStyle name="20% - Accent4 3 2 5 3 2 2 2" xfId="44840" xr:uid="{00000000-0005-0000-0000-000020290000}"/>
    <cellStyle name="20% - Accent4 3 2 5 3 2 3" xfId="33539" xr:uid="{00000000-0005-0000-0000-000021290000}"/>
    <cellStyle name="20% - Accent4 3 2 5 3 3" xfId="16588" xr:uid="{00000000-0005-0000-0000-000022290000}"/>
    <cellStyle name="20% - Accent4 3 2 5 3 3 2" xfId="39190" xr:uid="{00000000-0005-0000-0000-000023290000}"/>
    <cellStyle name="20% - Accent4 3 2 5 3 4" xfId="27889" xr:uid="{00000000-0005-0000-0000-000024290000}"/>
    <cellStyle name="20% - Accent4 3 2 5 4" xfId="7534" xr:uid="{00000000-0005-0000-0000-000025290000}"/>
    <cellStyle name="20% - Accent4 3 2 5 4 2" xfId="18835" xr:uid="{00000000-0005-0000-0000-000026290000}"/>
    <cellStyle name="20% - Accent4 3 2 5 4 2 2" xfId="41437" xr:uid="{00000000-0005-0000-0000-000027290000}"/>
    <cellStyle name="20% - Accent4 3 2 5 4 3" xfId="30136" xr:uid="{00000000-0005-0000-0000-000028290000}"/>
    <cellStyle name="20% - Accent4 3 2 5 5" xfId="13185" xr:uid="{00000000-0005-0000-0000-000029290000}"/>
    <cellStyle name="20% - Accent4 3 2 5 5 2" xfId="35787" xr:uid="{00000000-0005-0000-0000-00002A290000}"/>
    <cellStyle name="20% - Accent4 3 2 5 6" xfId="24486" xr:uid="{00000000-0005-0000-0000-00002B290000}"/>
    <cellStyle name="20% - Accent4 3 2 6" xfId="2265" xr:uid="{00000000-0005-0000-0000-00002C290000}"/>
    <cellStyle name="20% - Accent4 3 2 6 2" xfId="8101" xr:uid="{00000000-0005-0000-0000-00002D290000}"/>
    <cellStyle name="20% - Accent4 3 2 6 2 2" xfId="19402" xr:uid="{00000000-0005-0000-0000-00002E290000}"/>
    <cellStyle name="20% - Accent4 3 2 6 2 2 2" xfId="42004" xr:uid="{00000000-0005-0000-0000-00002F290000}"/>
    <cellStyle name="20% - Accent4 3 2 6 2 3" xfId="30703" xr:uid="{00000000-0005-0000-0000-000030290000}"/>
    <cellStyle name="20% - Accent4 3 2 6 3" xfId="13752" xr:uid="{00000000-0005-0000-0000-000031290000}"/>
    <cellStyle name="20% - Accent4 3 2 6 3 2" xfId="36354" xr:uid="{00000000-0005-0000-0000-000032290000}"/>
    <cellStyle name="20% - Accent4 3 2 6 4" xfId="25053" xr:uid="{00000000-0005-0000-0000-000033290000}"/>
    <cellStyle name="20% - Accent4 3 2 7" xfId="4053" xr:uid="{00000000-0005-0000-0000-000034290000}"/>
    <cellStyle name="20% - Accent4 3 2 7 2" xfId="9703" xr:uid="{00000000-0005-0000-0000-000035290000}"/>
    <cellStyle name="20% - Accent4 3 2 7 2 2" xfId="21004" xr:uid="{00000000-0005-0000-0000-000036290000}"/>
    <cellStyle name="20% - Accent4 3 2 7 2 2 2" xfId="43606" xr:uid="{00000000-0005-0000-0000-000037290000}"/>
    <cellStyle name="20% - Accent4 3 2 7 2 3" xfId="32305" xr:uid="{00000000-0005-0000-0000-000038290000}"/>
    <cellStyle name="20% - Accent4 3 2 7 3" xfId="15354" xr:uid="{00000000-0005-0000-0000-000039290000}"/>
    <cellStyle name="20% - Accent4 3 2 7 3 2" xfId="37956" xr:uid="{00000000-0005-0000-0000-00003A290000}"/>
    <cellStyle name="20% - Accent4 3 2 7 4" xfId="26655" xr:uid="{00000000-0005-0000-0000-00003B290000}"/>
    <cellStyle name="20% - Accent4 3 2 8" xfId="6504" xr:uid="{00000000-0005-0000-0000-00003C290000}"/>
    <cellStyle name="20% - Accent4 3 2 8 2" xfId="17805" xr:uid="{00000000-0005-0000-0000-00003D290000}"/>
    <cellStyle name="20% - Accent4 3 2 8 2 2" xfId="40407" xr:uid="{00000000-0005-0000-0000-00003E290000}"/>
    <cellStyle name="20% - Accent4 3 2 8 3" xfId="29106" xr:uid="{00000000-0005-0000-0000-00003F290000}"/>
    <cellStyle name="20% - Accent4 3 2 9" xfId="12155" xr:uid="{00000000-0005-0000-0000-000040290000}"/>
    <cellStyle name="20% - Accent4 3 2 9 2" xfId="34757" xr:uid="{00000000-0005-0000-0000-000041290000}"/>
    <cellStyle name="20% - Accent4 3 3" xfId="410" xr:uid="{00000000-0005-0000-0000-000042290000}"/>
    <cellStyle name="20% - Accent4 3 3 10" xfId="23505" xr:uid="{00000000-0005-0000-0000-000043290000}"/>
    <cellStyle name="20% - Accent4 3 3 2" xfId="655" xr:uid="{00000000-0005-0000-0000-000044290000}"/>
    <cellStyle name="20% - Accent4 3 3 2 2" xfId="1365" xr:uid="{00000000-0005-0000-0000-000045290000}"/>
    <cellStyle name="20% - Accent4 3 3 2 2 2" xfId="1684" xr:uid="{00000000-0005-0000-0000-000046290000}"/>
    <cellStyle name="20% - Accent4 3 3 2 2 2 2" xfId="3434" xr:uid="{00000000-0005-0000-0000-000047290000}"/>
    <cellStyle name="20% - Accent4 3 3 2 2 2 2 2" xfId="6406" xr:uid="{00000000-0005-0000-0000-000048290000}"/>
    <cellStyle name="20% - Accent4 3 3 2 2 2 2 2 2" xfId="12056" xr:uid="{00000000-0005-0000-0000-000049290000}"/>
    <cellStyle name="20% - Accent4 3 3 2 2 2 2 2 2 2" xfId="23357" xr:uid="{00000000-0005-0000-0000-00004A290000}"/>
    <cellStyle name="20% - Accent4 3 3 2 2 2 2 2 2 2 2" xfId="45959" xr:uid="{00000000-0005-0000-0000-00004B290000}"/>
    <cellStyle name="20% - Accent4 3 3 2 2 2 2 2 2 3" xfId="34658" xr:uid="{00000000-0005-0000-0000-00004C290000}"/>
    <cellStyle name="20% - Accent4 3 3 2 2 2 2 2 3" xfId="17707" xr:uid="{00000000-0005-0000-0000-00004D290000}"/>
    <cellStyle name="20% - Accent4 3 3 2 2 2 2 2 3 2" xfId="40309" xr:uid="{00000000-0005-0000-0000-00004E290000}"/>
    <cellStyle name="20% - Accent4 3 3 2 2 2 2 2 4" xfId="29008" xr:uid="{00000000-0005-0000-0000-00004F290000}"/>
    <cellStyle name="20% - Accent4 3 3 2 2 2 2 3" xfId="9224" xr:uid="{00000000-0005-0000-0000-000050290000}"/>
    <cellStyle name="20% - Accent4 3 3 2 2 2 2 3 2" xfId="20525" xr:uid="{00000000-0005-0000-0000-000051290000}"/>
    <cellStyle name="20% - Accent4 3 3 2 2 2 2 3 2 2" xfId="43127" xr:uid="{00000000-0005-0000-0000-000052290000}"/>
    <cellStyle name="20% - Accent4 3 3 2 2 2 2 3 3" xfId="31826" xr:uid="{00000000-0005-0000-0000-000053290000}"/>
    <cellStyle name="20% - Accent4 3 3 2 2 2 2 4" xfId="14875" xr:uid="{00000000-0005-0000-0000-000054290000}"/>
    <cellStyle name="20% - Accent4 3 3 2 2 2 2 4 2" xfId="37477" xr:uid="{00000000-0005-0000-0000-000055290000}"/>
    <cellStyle name="20% - Accent4 3 3 2 2 2 2 5" xfId="26176" xr:uid="{00000000-0005-0000-0000-000056290000}"/>
    <cellStyle name="20% - Accent4 3 3 2 2 2 3" xfId="5172" xr:uid="{00000000-0005-0000-0000-000057290000}"/>
    <cellStyle name="20% - Accent4 3 3 2 2 2 3 2" xfId="10822" xr:uid="{00000000-0005-0000-0000-000058290000}"/>
    <cellStyle name="20% - Accent4 3 3 2 2 2 3 2 2" xfId="22123" xr:uid="{00000000-0005-0000-0000-000059290000}"/>
    <cellStyle name="20% - Accent4 3 3 2 2 2 3 2 2 2" xfId="44725" xr:uid="{00000000-0005-0000-0000-00005A290000}"/>
    <cellStyle name="20% - Accent4 3 3 2 2 2 3 2 3" xfId="33424" xr:uid="{00000000-0005-0000-0000-00005B290000}"/>
    <cellStyle name="20% - Accent4 3 3 2 2 2 3 3" xfId="16473" xr:uid="{00000000-0005-0000-0000-00005C290000}"/>
    <cellStyle name="20% - Accent4 3 3 2 2 2 3 3 2" xfId="39075" xr:uid="{00000000-0005-0000-0000-00005D290000}"/>
    <cellStyle name="20% - Accent4 3 3 2 2 2 3 4" xfId="27774" xr:uid="{00000000-0005-0000-0000-00005E290000}"/>
    <cellStyle name="20% - Accent4 3 3 2 2 2 4" xfId="7540" xr:uid="{00000000-0005-0000-0000-00005F290000}"/>
    <cellStyle name="20% - Accent4 3 3 2 2 2 4 2" xfId="18841" xr:uid="{00000000-0005-0000-0000-000060290000}"/>
    <cellStyle name="20% - Accent4 3 3 2 2 2 4 2 2" xfId="41443" xr:uid="{00000000-0005-0000-0000-000061290000}"/>
    <cellStyle name="20% - Accent4 3 3 2 2 2 4 3" xfId="30142" xr:uid="{00000000-0005-0000-0000-000062290000}"/>
    <cellStyle name="20% - Accent4 3 3 2 2 2 5" xfId="13191" xr:uid="{00000000-0005-0000-0000-000063290000}"/>
    <cellStyle name="20% - Accent4 3 3 2 2 2 5 2" xfId="35793" xr:uid="{00000000-0005-0000-0000-000064290000}"/>
    <cellStyle name="20% - Accent4 3 3 2 2 2 6" xfId="24492" xr:uid="{00000000-0005-0000-0000-000065290000}"/>
    <cellStyle name="20% - Accent4 3 3 2 2 3" xfId="2763" xr:uid="{00000000-0005-0000-0000-000066290000}"/>
    <cellStyle name="20% - Accent4 3 3 2 2 3 2" xfId="5782" xr:uid="{00000000-0005-0000-0000-000067290000}"/>
    <cellStyle name="20% - Accent4 3 3 2 2 3 2 2" xfId="11432" xr:uid="{00000000-0005-0000-0000-000068290000}"/>
    <cellStyle name="20% - Accent4 3 3 2 2 3 2 2 2" xfId="22733" xr:uid="{00000000-0005-0000-0000-000069290000}"/>
    <cellStyle name="20% - Accent4 3 3 2 2 3 2 2 2 2" xfId="45335" xr:uid="{00000000-0005-0000-0000-00006A290000}"/>
    <cellStyle name="20% - Accent4 3 3 2 2 3 2 2 3" xfId="34034" xr:uid="{00000000-0005-0000-0000-00006B290000}"/>
    <cellStyle name="20% - Accent4 3 3 2 2 3 2 3" xfId="17083" xr:uid="{00000000-0005-0000-0000-00006C290000}"/>
    <cellStyle name="20% - Accent4 3 3 2 2 3 2 3 2" xfId="39685" xr:uid="{00000000-0005-0000-0000-00006D290000}"/>
    <cellStyle name="20% - Accent4 3 3 2 2 3 2 4" xfId="28384" xr:uid="{00000000-0005-0000-0000-00006E290000}"/>
    <cellStyle name="20% - Accent4 3 3 2 2 3 3" xfId="8599" xr:uid="{00000000-0005-0000-0000-00006F290000}"/>
    <cellStyle name="20% - Accent4 3 3 2 2 3 3 2" xfId="19900" xr:uid="{00000000-0005-0000-0000-000070290000}"/>
    <cellStyle name="20% - Accent4 3 3 2 2 3 3 2 2" xfId="42502" xr:uid="{00000000-0005-0000-0000-000071290000}"/>
    <cellStyle name="20% - Accent4 3 3 2 2 3 3 3" xfId="31201" xr:uid="{00000000-0005-0000-0000-000072290000}"/>
    <cellStyle name="20% - Accent4 3 3 2 2 3 4" xfId="14250" xr:uid="{00000000-0005-0000-0000-000073290000}"/>
    <cellStyle name="20% - Accent4 3 3 2 2 3 4 2" xfId="36852" xr:uid="{00000000-0005-0000-0000-000074290000}"/>
    <cellStyle name="20% - Accent4 3 3 2 2 3 5" xfId="25551" xr:uid="{00000000-0005-0000-0000-000075290000}"/>
    <cellStyle name="20% - Accent4 3 3 2 2 4" xfId="4548" xr:uid="{00000000-0005-0000-0000-000076290000}"/>
    <cellStyle name="20% - Accent4 3 3 2 2 4 2" xfId="10198" xr:uid="{00000000-0005-0000-0000-000077290000}"/>
    <cellStyle name="20% - Accent4 3 3 2 2 4 2 2" xfId="21499" xr:uid="{00000000-0005-0000-0000-000078290000}"/>
    <cellStyle name="20% - Accent4 3 3 2 2 4 2 2 2" xfId="44101" xr:uid="{00000000-0005-0000-0000-000079290000}"/>
    <cellStyle name="20% - Accent4 3 3 2 2 4 2 3" xfId="32800" xr:uid="{00000000-0005-0000-0000-00007A290000}"/>
    <cellStyle name="20% - Accent4 3 3 2 2 4 3" xfId="15849" xr:uid="{00000000-0005-0000-0000-00007B290000}"/>
    <cellStyle name="20% - Accent4 3 3 2 2 4 3 2" xfId="38451" xr:uid="{00000000-0005-0000-0000-00007C290000}"/>
    <cellStyle name="20% - Accent4 3 3 2 2 4 4" xfId="27150" xr:uid="{00000000-0005-0000-0000-00007D290000}"/>
    <cellStyle name="20% - Accent4 3 3 2 2 5" xfId="7344" xr:uid="{00000000-0005-0000-0000-00007E290000}"/>
    <cellStyle name="20% - Accent4 3 3 2 2 5 2" xfId="18645" xr:uid="{00000000-0005-0000-0000-00007F290000}"/>
    <cellStyle name="20% - Accent4 3 3 2 2 5 2 2" xfId="41247" xr:uid="{00000000-0005-0000-0000-000080290000}"/>
    <cellStyle name="20% - Accent4 3 3 2 2 5 3" xfId="29946" xr:uid="{00000000-0005-0000-0000-000081290000}"/>
    <cellStyle name="20% - Accent4 3 3 2 2 6" xfId="12995" xr:uid="{00000000-0005-0000-0000-000082290000}"/>
    <cellStyle name="20% - Accent4 3 3 2 2 6 2" xfId="35597" xr:uid="{00000000-0005-0000-0000-000083290000}"/>
    <cellStyle name="20% - Accent4 3 3 2 2 7" xfId="24296" xr:uid="{00000000-0005-0000-0000-000084290000}"/>
    <cellStyle name="20% - Accent4 3 3 2 3" xfId="1063" xr:uid="{00000000-0005-0000-0000-000085290000}"/>
    <cellStyle name="20% - Accent4 3 3 2 3 2" xfId="3126" xr:uid="{00000000-0005-0000-0000-000086290000}"/>
    <cellStyle name="20% - Accent4 3 3 2 3 2 2" xfId="6098" xr:uid="{00000000-0005-0000-0000-000087290000}"/>
    <cellStyle name="20% - Accent4 3 3 2 3 2 2 2" xfId="11748" xr:uid="{00000000-0005-0000-0000-000088290000}"/>
    <cellStyle name="20% - Accent4 3 3 2 3 2 2 2 2" xfId="23049" xr:uid="{00000000-0005-0000-0000-000089290000}"/>
    <cellStyle name="20% - Accent4 3 3 2 3 2 2 2 2 2" xfId="45651" xr:uid="{00000000-0005-0000-0000-00008A290000}"/>
    <cellStyle name="20% - Accent4 3 3 2 3 2 2 2 3" xfId="34350" xr:uid="{00000000-0005-0000-0000-00008B290000}"/>
    <cellStyle name="20% - Accent4 3 3 2 3 2 2 3" xfId="17399" xr:uid="{00000000-0005-0000-0000-00008C290000}"/>
    <cellStyle name="20% - Accent4 3 3 2 3 2 2 3 2" xfId="40001" xr:uid="{00000000-0005-0000-0000-00008D290000}"/>
    <cellStyle name="20% - Accent4 3 3 2 3 2 2 4" xfId="28700" xr:uid="{00000000-0005-0000-0000-00008E290000}"/>
    <cellStyle name="20% - Accent4 3 3 2 3 2 3" xfId="8916" xr:uid="{00000000-0005-0000-0000-00008F290000}"/>
    <cellStyle name="20% - Accent4 3 3 2 3 2 3 2" xfId="20217" xr:uid="{00000000-0005-0000-0000-000090290000}"/>
    <cellStyle name="20% - Accent4 3 3 2 3 2 3 2 2" xfId="42819" xr:uid="{00000000-0005-0000-0000-000091290000}"/>
    <cellStyle name="20% - Accent4 3 3 2 3 2 3 3" xfId="31518" xr:uid="{00000000-0005-0000-0000-000092290000}"/>
    <cellStyle name="20% - Accent4 3 3 2 3 2 4" xfId="14567" xr:uid="{00000000-0005-0000-0000-000093290000}"/>
    <cellStyle name="20% - Accent4 3 3 2 3 2 4 2" xfId="37169" xr:uid="{00000000-0005-0000-0000-000094290000}"/>
    <cellStyle name="20% - Accent4 3 3 2 3 2 5" xfId="25868" xr:uid="{00000000-0005-0000-0000-000095290000}"/>
    <cellStyle name="20% - Accent4 3 3 2 3 3" xfId="4864" xr:uid="{00000000-0005-0000-0000-000096290000}"/>
    <cellStyle name="20% - Accent4 3 3 2 3 3 2" xfId="10514" xr:uid="{00000000-0005-0000-0000-000097290000}"/>
    <cellStyle name="20% - Accent4 3 3 2 3 3 2 2" xfId="21815" xr:uid="{00000000-0005-0000-0000-000098290000}"/>
    <cellStyle name="20% - Accent4 3 3 2 3 3 2 2 2" xfId="44417" xr:uid="{00000000-0005-0000-0000-000099290000}"/>
    <cellStyle name="20% - Accent4 3 3 2 3 3 2 3" xfId="33116" xr:uid="{00000000-0005-0000-0000-00009A290000}"/>
    <cellStyle name="20% - Accent4 3 3 2 3 3 3" xfId="16165" xr:uid="{00000000-0005-0000-0000-00009B290000}"/>
    <cellStyle name="20% - Accent4 3 3 2 3 3 3 2" xfId="38767" xr:uid="{00000000-0005-0000-0000-00009C290000}"/>
    <cellStyle name="20% - Accent4 3 3 2 3 3 4" xfId="27466" xr:uid="{00000000-0005-0000-0000-00009D290000}"/>
    <cellStyle name="20% - Accent4 3 3 2 3 4" xfId="7051" xr:uid="{00000000-0005-0000-0000-00009E290000}"/>
    <cellStyle name="20% - Accent4 3 3 2 3 4 2" xfId="18352" xr:uid="{00000000-0005-0000-0000-00009F290000}"/>
    <cellStyle name="20% - Accent4 3 3 2 3 4 2 2" xfId="40954" xr:uid="{00000000-0005-0000-0000-0000A0290000}"/>
    <cellStyle name="20% - Accent4 3 3 2 3 4 3" xfId="29653" xr:uid="{00000000-0005-0000-0000-0000A1290000}"/>
    <cellStyle name="20% - Accent4 3 3 2 3 5" xfId="12702" xr:uid="{00000000-0005-0000-0000-0000A2290000}"/>
    <cellStyle name="20% - Accent4 3 3 2 3 5 2" xfId="35304" xr:uid="{00000000-0005-0000-0000-0000A3290000}"/>
    <cellStyle name="20% - Accent4 3 3 2 3 6" xfId="24003" xr:uid="{00000000-0005-0000-0000-0000A4290000}"/>
    <cellStyle name="20% - Accent4 3 3 2 4" xfId="1683" xr:uid="{00000000-0005-0000-0000-0000A5290000}"/>
    <cellStyle name="20% - Accent4 3 3 2 4 2" xfId="3636" xr:uid="{00000000-0005-0000-0000-0000A6290000}"/>
    <cellStyle name="20% - Accent4 3 3 2 4 2 2" xfId="9348" xr:uid="{00000000-0005-0000-0000-0000A7290000}"/>
    <cellStyle name="20% - Accent4 3 3 2 4 2 2 2" xfId="20649" xr:uid="{00000000-0005-0000-0000-0000A8290000}"/>
    <cellStyle name="20% - Accent4 3 3 2 4 2 2 2 2" xfId="43251" xr:uid="{00000000-0005-0000-0000-0000A9290000}"/>
    <cellStyle name="20% - Accent4 3 3 2 4 2 2 3" xfId="31950" xr:uid="{00000000-0005-0000-0000-0000AA290000}"/>
    <cellStyle name="20% - Accent4 3 3 2 4 2 3" xfId="14999" xr:uid="{00000000-0005-0000-0000-0000AB290000}"/>
    <cellStyle name="20% - Accent4 3 3 2 4 2 3 2" xfId="37601" xr:uid="{00000000-0005-0000-0000-0000AC290000}"/>
    <cellStyle name="20% - Accent4 3 3 2 4 2 4" xfId="26300" xr:uid="{00000000-0005-0000-0000-0000AD290000}"/>
    <cellStyle name="20% - Accent4 3 3 2 4 3" xfId="5474" xr:uid="{00000000-0005-0000-0000-0000AE290000}"/>
    <cellStyle name="20% - Accent4 3 3 2 4 3 2" xfId="11124" xr:uid="{00000000-0005-0000-0000-0000AF290000}"/>
    <cellStyle name="20% - Accent4 3 3 2 4 3 2 2" xfId="22425" xr:uid="{00000000-0005-0000-0000-0000B0290000}"/>
    <cellStyle name="20% - Accent4 3 3 2 4 3 2 2 2" xfId="45027" xr:uid="{00000000-0005-0000-0000-0000B1290000}"/>
    <cellStyle name="20% - Accent4 3 3 2 4 3 2 3" xfId="33726" xr:uid="{00000000-0005-0000-0000-0000B2290000}"/>
    <cellStyle name="20% - Accent4 3 3 2 4 3 3" xfId="16775" xr:uid="{00000000-0005-0000-0000-0000B3290000}"/>
    <cellStyle name="20% - Accent4 3 3 2 4 3 3 2" xfId="39377" xr:uid="{00000000-0005-0000-0000-0000B4290000}"/>
    <cellStyle name="20% - Accent4 3 3 2 4 3 4" xfId="28076" xr:uid="{00000000-0005-0000-0000-0000B5290000}"/>
    <cellStyle name="20% - Accent4 3 3 2 4 4" xfId="7539" xr:uid="{00000000-0005-0000-0000-0000B6290000}"/>
    <cellStyle name="20% - Accent4 3 3 2 4 4 2" xfId="18840" xr:uid="{00000000-0005-0000-0000-0000B7290000}"/>
    <cellStyle name="20% - Accent4 3 3 2 4 4 2 2" xfId="41442" xr:uid="{00000000-0005-0000-0000-0000B8290000}"/>
    <cellStyle name="20% - Accent4 3 3 2 4 4 3" xfId="30141" xr:uid="{00000000-0005-0000-0000-0000B9290000}"/>
    <cellStyle name="20% - Accent4 3 3 2 4 5" xfId="13190" xr:uid="{00000000-0005-0000-0000-0000BA290000}"/>
    <cellStyle name="20% - Accent4 3 3 2 4 5 2" xfId="35792" xr:uid="{00000000-0005-0000-0000-0000BB290000}"/>
    <cellStyle name="20% - Accent4 3 3 2 4 6" xfId="24491" xr:uid="{00000000-0005-0000-0000-0000BC290000}"/>
    <cellStyle name="20% - Accent4 3 3 2 5" xfId="2455" xr:uid="{00000000-0005-0000-0000-0000BD290000}"/>
    <cellStyle name="20% - Accent4 3 3 2 5 2" xfId="8291" xr:uid="{00000000-0005-0000-0000-0000BE290000}"/>
    <cellStyle name="20% - Accent4 3 3 2 5 2 2" xfId="19592" xr:uid="{00000000-0005-0000-0000-0000BF290000}"/>
    <cellStyle name="20% - Accent4 3 3 2 5 2 2 2" xfId="42194" xr:uid="{00000000-0005-0000-0000-0000C0290000}"/>
    <cellStyle name="20% - Accent4 3 3 2 5 2 3" xfId="30893" xr:uid="{00000000-0005-0000-0000-0000C1290000}"/>
    <cellStyle name="20% - Accent4 3 3 2 5 3" xfId="13942" xr:uid="{00000000-0005-0000-0000-0000C2290000}"/>
    <cellStyle name="20% - Accent4 3 3 2 5 3 2" xfId="36544" xr:uid="{00000000-0005-0000-0000-0000C3290000}"/>
    <cellStyle name="20% - Accent4 3 3 2 5 4" xfId="25243" xr:uid="{00000000-0005-0000-0000-0000C4290000}"/>
    <cellStyle name="20% - Accent4 3 3 2 6" xfId="4240" xr:uid="{00000000-0005-0000-0000-0000C5290000}"/>
    <cellStyle name="20% - Accent4 3 3 2 6 2" xfId="9890" xr:uid="{00000000-0005-0000-0000-0000C6290000}"/>
    <cellStyle name="20% - Accent4 3 3 2 6 2 2" xfId="21191" xr:uid="{00000000-0005-0000-0000-0000C7290000}"/>
    <cellStyle name="20% - Accent4 3 3 2 6 2 2 2" xfId="43793" xr:uid="{00000000-0005-0000-0000-0000C8290000}"/>
    <cellStyle name="20% - Accent4 3 3 2 6 2 3" xfId="32492" xr:uid="{00000000-0005-0000-0000-0000C9290000}"/>
    <cellStyle name="20% - Accent4 3 3 2 6 3" xfId="15541" xr:uid="{00000000-0005-0000-0000-0000CA290000}"/>
    <cellStyle name="20% - Accent4 3 3 2 6 3 2" xfId="38143" xr:uid="{00000000-0005-0000-0000-0000CB290000}"/>
    <cellStyle name="20% - Accent4 3 3 2 6 4" xfId="26842" xr:uid="{00000000-0005-0000-0000-0000CC290000}"/>
    <cellStyle name="20% - Accent4 3 3 2 7" xfId="6720" xr:uid="{00000000-0005-0000-0000-0000CD290000}"/>
    <cellStyle name="20% - Accent4 3 3 2 7 2" xfId="18021" xr:uid="{00000000-0005-0000-0000-0000CE290000}"/>
    <cellStyle name="20% - Accent4 3 3 2 7 2 2" xfId="40623" xr:uid="{00000000-0005-0000-0000-0000CF290000}"/>
    <cellStyle name="20% - Accent4 3 3 2 7 3" xfId="29322" xr:uid="{00000000-0005-0000-0000-0000D0290000}"/>
    <cellStyle name="20% - Accent4 3 3 2 8" xfId="12371" xr:uid="{00000000-0005-0000-0000-0000D1290000}"/>
    <cellStyle name="20% - Accent4 3 3 2 8 2" xfId="34973" xr:uid="{00000000-0005-0000-0000-0000D2290000}"/>
    <cellStyle name="20% - Accent4 3 3 2 9" xfId="23672" xr:uid="{00000000-0005-0000-0000-0000D3290000}"/>
    <cellStyle name="20% - Accent4 3 3 3" xfId="1227" xr:uid="{00000000-0005-0000-0000-0000D4290000}"/>
    <cellStyle name="20% - Accent4 3 3 3 2" xfId="1685" xr:uid="{00000000-0005-0000-0000-0000D5290000}"/>
    <cellStyle name="20% - Accent4 3 3 3 2 2" xfId="3295" xr:uid="{00000000-0005-0000-0000-0000D6290000}"/>
    <cellStyle name="20% - Accent4 3 3 3 2 2 2" xfId="6267" xr:uid="{00000000-0005-0000-0000-0000D7290000}"/>
    <cellStyle name="20% - Accent4 3 3 3 2 2 2 2" xfId="11917" xr:uid="{00000000-0005-0000-0000-0000D8290000}"/>
    <cellStyle name="20% - Accent4 3 3 3 2 2 2 2 2" xfId="23218" xr:uid="{00000000-0005-0000-0000-0000D9290000}"/>
    <cellStyle name="20% - Accent4 3 3 3 2 2 2 2 2 2" xfId="45820" xr:uid="{00000000-0005-0000-0000-0000DA290000}"/>
    <cellStyle name="20% - Accent4 3 3 3 2 2 2 2 3" xfId="34519" xr:uid="{00000000-0005-0000-0000-0000DB290000}"/>
    <cellStyle name="20% - Accent4 3 3 3 2 2 2 3" xfId="17568" xr:uid="{00000000-0005-0000-0000-0000DC290000}"/>
    <cellStyle name="20% - Accent4 3 3 3 2 2 2 3 2" xfId="40170" xr:uid="{00000000-0005-0000-0000-0000DD290000}"/>
    <cellStyle name="20% - Accent4 3 3 3 2 2 2 4" xfId="28869" xr:uid="{00000000-0005-0000-0000-0000DE290000}"/>
    <cellStyle name="20% - Accent4 3 3 3 2 2 3" xfId="9085" xr:uid="{00000000-0005-0000-0000-0000DF290000}"/>
    <cellStyle name="20% - Accent4 3 3 3 2 2 3 2" xfId="20386" xr:uid="{00000000-0005-0000-0000-0000E0290000}"/>
    <cellStyle name="20% - Accent4 3 3 3 2 2 3 2 2" xfId="42988" xr:uid="{00000000-0005-0000-0000-0000E1290000}"/>
    <cellStyle name="20% - Accent4 3 3 3 2 2 3 3" xfId="31687" xr:uid="{00000000-0005-0000-0000-0000E2290000}"/>
    <cellStyle name="20% - Accent4 3 3 3 2 2 4" xfId="14736" xr:uid="{00000000-0005-0000-0000-0000E3290000}"/>
    <cellStyle name="20% - Accent4 3 3 3 2 2 4 2" xfId="37338" xr:uid="{00000000-0005-0000-0000-0000E4290000}"/>
    <cellStyle name="20% - Accent4 3 3 3 2 2 5" xfId="26037" xr:uid="{00000000-0005-0000-0000-0000E5290000}"/>
    <cellStyle name="20% - Accent4 3 3 3 2 3" xfId="5033" xr:uid="{00000000-0005-0000-0000-0000E6290000}"/>
    <cellStyle name="20% - Accent4 3 3 3 2 3 2" xfId="10683" xr:uid="{00000000-0005-0000-0000-0000E7290000}"/>
    <cellStyle name="20% - Accent4 3 3 3 2 3 2 2" xfId="21984" xr:uid="{00000000-0005-0000-0000-0000E8290000}"/>
    <cellStyle name="20% - Accent4 3 3 3 2 3 2 2 2" xfId="44586" xr:uid="{00000000-0005-0000-0000-0000E9290000}"/>
    <cellStyle name="20% - Accent4 3 3 3 2 3 2 3" xfId="33285" xr:uid="{00000000-0005-0000-0000-0000EA290000}"/>
    <cellStyle name="20% - Accent4 3 3 3 2 3 3" xfId="16334" xr:uid="{00000000-0005-0000-0000-0000EB290000}"/>
    <cellStyle name="20% - Accent4 3 3 3 2 3 3 2" xfId="38936" xr:uid="{00000000-0005-0000-0000-0000EC290000}"/>
    <cellStyle name="20% - Accent4 3 3 3 2 3 4" xfId="27635" xr:uid="{00000000-0005-0000-0000-0000ED290000}"/>
    <cellStyle name="20% - Accent4 3 3 3 2 4" xfId="7541" xr:uid="{00000000-0005-0000-0000-0000EE290000}"/>
    <cellStyle name="20% - Accent4 3 3 3 2 4 2" xfId="18842" xr:uid="{00000000-0005-0000-0000-0000EF290000}"/>
    <cellStyle name="20% - Accent4 3 3 3 2 4 2 2" xfId="41444" xr:uid="{00000000-0005-0000-0000-0000F0290000}"/>
    <cellStyle name="20% - Accent4 3 3 3 2 4 3" xfId="30143" xr:uid="{00000000-0005-0000-0000-0000F1290000}"/>
    <cellStyle name="20% - Accent4 3 3 3 2 5" xfId="13192" xr:uid="{00000000-0005-0000-0000-0000F2290000}"/>
    <cellStyle name="20% - Accent4 3 3 3 2 5 2" xfId="35794" xr:uid="{00000000-0005-0000-0000-0000F3290000}"/>
    <cellStyle name="20% - Accent4 3 3 3 2 6" xfId="24493" xr:uid="{00000000-0005-0000-0000-0000F4290000}"/>
    <cellStyle name="20% - Accent4 3 3 3 3" xfId="2624" xr:uid="{00000000-0005-0000-0000-0000F5290000}"/>
    <cellStyle name="20% - Accent4 3 3 3 3 2" xfId="5643" xr:uid="{00000000-0005-0000-0000-0000F6290000}"/>
    <cellStyle name="20% - Accent4 3 3 3 3 2 2" xfId="11293" xr:uid="{00000000-0005-0000-0000-0000F7290000}"/>
    <cellStyle name="20% - Accent4 3 3 3 3 2 2 2" xfId="22594" xr:uid="{00000000-0005-0000-0000-0000F8290000}"/>
    <cellStyle name="20% - Accent4 3 3 3 3 2 2 2 2" xfId="45196" xr:uid="{00000000-0005-0000-0000-0000F9290000}"/>
    <cellStyle name="20% - Accent4 3 3 3 3 2 2 3" xfId="33895" xr:uid="{00000000-0005-0000-0000-0000FA290000}"/>
    <cellStyle name="20% - Accent4 3 3 3 3 2 3" xfId="16944" xr:uid="{00000000-0005-0000-0000-0000FB290000}"/>
    <cellStyle name="20% - Accent4 3 3 3 3 2 3 2" xfId="39546" xr:uid="{00000000-0005-0000-0000-0000FC290000}"/>
    <cellStyle name="20% - Accent4 3 3 3 3 2 4" xfId="28245" xr:uid="{00000000-0005-0000-0000-0000FD290000}"/>
    <cellStyle name="20% - Accent4 3 3 3 3 3" xfId="8460" xr:uid="{00000000-0005-0000-0000-0000FE290000}"/>
    <cellStyle name="20% - Accent4 3 3 3 3 3 2" xfId="19761" xr:uid="{00000000-0005-0000-0000-0000FF290000}"/>
    <cellStyle name="20% - Accent4 3 3 3 3 3 2 2" xfId="42363" xr:uid="{00000000-0005-0000-0000-0000002A0000}"/>
    <cellStyle name="20% - Accent4 3 3 3 3 3 3" xfId="31062" xr:uid="{00000000-0005-0000-0000-0000012A0000}"/>
    <cellStyle name="20% - Accent4 3 3 3 3 4" xfId="14111" xr:uid="{00000000-0005-0000-0000-0000022A0000}"/>
    <cellStyle name="20% - Accent4 3 3 3 3 4 2" xfId="36713" xr:uid="{00000000-0005-0000-0000-0000032A0000}"/>
    <cellStyle name="20% - Accent4 3 3 3 3 5" xfId="25412" xr:uid="{00000000-0005-0000-0000-0000042A0000}"/>
    <cellStyle name="20% - Accent4 3 3 3 4" xfId="4409" xr:uid="{00000000-0005-0000-0000-0000052A0000}"/>
    <cellStyle name="20% - Accent4 3 3 3 4 2" xfId="10059" xr:uid="{00000000-0005-0000-0000-0000062A0000}"/>
    <cellStyle name="20% - Accent4 3 3 3 4 2 2" xfId="21360" xr:uid="{00000000-0005-0000-0000-0000072A0000}"/>
    <cellStyle name="20% - Accent4 3 3 3 4 2 2 2" xfId="43962" xr:uid="{00000000-0005-0000-0000-0000082A0000}"/>
    <cellStyle name="20% - Accent4 3 3 3 4 2 3" xfId="32661" xr:uid="{00000000-0005-0000-0000-0000092A0000}"/>
    <cellStyle name="20% - Accent4 3 3 3 4 3" xfId="15710" xr:uid="{00000000-0005-0000-0000-00000A2A0000}"/>
    <cellStyle name="20% - Accent4 3 3 3 4 3 2" xfId="38312" xr:uid="{00000000-0005-0000-0000-00000B2A0000}"/>
    <cellStyle name="20% - Accent4 3 3 3 4 4" xfId="27011" xr:uid="{00000000-0005-0000-0000-00000C2A0000}"/>
    <cellStyle name="20% - Accent4 3 3 3 5" xfId="7206" xr:uid="{00000000-0005-0000-0000-00000D2A0000}"/>
    <cellStyle name="20% - Accent4 3 3 3 5 2" xfId="18507" xr:uid="{00000000-0005-0000-0000-00000E2A0000}"/>
    <cellStyle name="20% - Accent4 3 3 3 5 2 2" xfId="41109" xr:uid="{00000000-0005-0000-0000-00000F2A0000}"/>
    <cellStyle name="20% - Accent4 3 3 3 5 3" xfId="29808" xr:uid="{00000000-0005-0000-0000-0000102A0000}"/>
    <cellStyle name="20% - Accent4 3 3 3 6" xfId="12857" xr:uid="{00000000-0005-0000-0000-0000112A0000}"/>
    <cellStyle name="20% - Accent4 3 3 3 6 2" xfId="35459" xr:uid="{00000000-0005-0000-0000-0000122A0000}"/>
    <cellStyle name="20% - Accent4 3 3 3 7" xfId="24158" xr:uid="{00000000-0005-0000-0000-0000132A0000}"/>
    <cellStyle name="20% - Accent4 3 3 4" xfId="918" xr:uid="{00000000-0005-0000-0000-0000142A0000}"/>
    <cellStyle name="20% - Accent4 3 3 4 2" xfId="2988" xr:uid="{00000000-0005-0000-0000-0000152A0000}"/>
    <cellStyle name="20% - Accent4 3 3 4 2 2" xfId="5960" xr:uid="{00000000-0005-0000-0000-0000162A0000}"/>
    <cellStyle name="20% - Accent4 3 3 4 2 2 2" xfId="11610" xr:uid="{00000000-0005-0000-0000-0000172A0000}"/>
    <cellStyle name="20% - Accent4 3 3 4 2 2 2 2" xfId="22911" xr:uid="{00000000-0005-0000-0000-0000182A0000}"/>
    <cellStyle name="20% - Accent4 3 3 4 2 2 2 2 2" xfId="45513" xr:uid="{00000000-0005-0000-0000-0000192A0000}"/>
    <cellStyle name="20% - Accent4 3 3 4 2 2 2 3" xfId="34212" xr:uid="{00000000-0005-0000-0000-00001A2A0000}"/>
    <cellStyle name="20% - Accent4 3 3 4 2 2 3" xfId="17261" xr:uid="{00000000-0005-0000-0000-00001B2A0000}"/>
    <cellStyle name="20% - Accent4 3 3 4 2 2 3 2" xfId="39863" xr:uid="{00000000-0005-0000-0000-00001C2A0000}"/>
    <cellStyle name="20% - Accent4 3 3 4 2 2 4" xfId="28562" xr:uid="{00000000-0005-0000-0000-00001D2A0000}"/>
    <cellStyle name="20% - Accent4 3 3 4 2 3" xfId="8778" xr:uid="{00000000-0005-0000-0000-00001E2A0000}"/>
    <cellStyle name="20% - Accent4 3 3 4 2 3 2" xfId="20079" xr:uid="{00000000-0005-0000-0000-00001F2A0000}"/>
    <cellStyle name="20% - Accent4 3 3 4 2 3 2 2" xfId="42681" xr:uid="{00000000-0005-0000-0000-0000202A0000}"/>
    <cellStyle name="20% - Accent4 3 3 4 2 3 3" xfId="31380" xr:uid="{00000000-0005-0000-0000-0000212A0000}"/>
    <cellStyle name="20% - Accent4 3 3 4 2 4" xfId="14429" xr:uid="{00000000-0005-0000-0000-0000222A0000}"/>
    <cellStyle name="20% - Accent4 3 3 4 2 4 2" xfId="37031" xr:uid="{00000000-0005-0000-0000-0000232A0000}"/>
    <cellStyle name="20% - Accent4 3 3 4 2 5" xfId="25730" xr:uid="{00000000-0005-0000-0000-0000242A0000}"/>
    <cellStyle name="20% - Accent4 3 3 4 3" xfId="4726" xr:uid="{00000000-0005-0000-0000-0000252A0000}"/>
    <cellStyle name="20% - Accent4 3 3 4 3 2" xfId="10376" xr:uid="{00000000-0005-0000-0000-0000262A0000}"/>
    <cellStyle name="20% - Accent4 3 3 4 3 2 2" xfId="21677" xr:uid="{00000000-0005-0000-0000-0000272A0000}"/>
    <cellStyle name="20% - Accent4 3 3 4 3 2 2 2" xfId="44279" xr:uid="{00000000-0005-0000-0000-0000282A0000}"/>
    <cellStyle name="20% - Accent4 3 3 4 3 2 3" xfId="32978" xr:uid="{00000000-0005-0000-0000-0000292A0000}"/>
    <cellStyle name="20% - Accent4 3 3 4 3 3" xfId="16027" xr:uid="{00000000-0005-0000-0000-00002A2A0000}"/>
    <cellStyle name="20% - Accent4 3 3 4 3 3 2" xfId="38629" xr:uid="{00000000-0005-0000-0000-00002B2A0000}"/>
    <cellStyle name="20% - Accent4 3 3 4 3 4" xfId="27328" xr:uid="{00000000-0005-0000-0000-00002C2A0000}"/>
    <cellStyle name="20% - Accent4 3 3 4 4" xfId="6913" xr:uid="{00000000-0005-0000-0000-00002D2A0000}"/>
    <cellStyle name="20% - Accent4 3 3 4 4 2" xfId="18214" xr:uid="{00000000-0005-0000-0000-00002E2A0000}"/>
    <cellStyle name="20% - Accent4 3 3 4 4 2 2" xfId="40816" xr:uid="{00000000-0005-0000-0000-00002F2A0000}"/>
    <cellStyle name="20% - Accent4 3 3 4 4 3" xfId="29515" xr:uid="{00000000-0005-0000-0000-0000302A0000}"/>
    <cellStyle name="20% - Accent4 3 3 4 5" xfId="12564" xr:uid="{00000000-0005-0000-0000-0000312A0000}"/>
    <cellStyle name="20% - Accent4 3 3 4 5 2" xfId="35166" xr:uid="{00000000-0005-0000-0000-0000322A0000}"/>
    <cellStyle name="20% - Accent4 3 3 4 6" xfId="23865" xr:uid="{00000000-0005-0000-0000-0000332A0000}"/>
    <cellStyle name="20% - Accent4 3 3 5" xfId="1682" xr:uid="{00000000-0005-0000-0000-0000342A0000}"/>
    <cellStyle name="20% - Accent4 3 3 5 2" xfId="3635" xr:uid="{00000000-0005-0000-0000-0000352A0000}"/>
    <cellStyle name="20% - Accent4 3 3 5 2 2" xfId="9347" xr:uid="{00000000-0005-0000-0000-0000362A0000}"/>
    <cellStyle name="20% - Accent4 3 3 5 2 2 2" xfId="20648" xr:uid="{00000000-0005-0000-0000-0000372A0000}"/>
    <cellStyle name="20% - Accent4 3 3 5 2 2 2 2" xfId="43250" xr:uid="{00000000-0005-0000-0000-0000382A0000}"/>
    <cellStyle name="20% - Accent4 3 3 5 2 2 3" xfId="31949" xr:uid="{00000000-0005-0000-0000-0000392A0000}"/>
    <cellStyle name="20% - Accent4 3 3 5 2 3" xfId="14998" xr:uid="{00000000-0005-0000-0000-00003A2A0000}"/>
    <cellStyle name="20% - Accent4 3 3 5 2 3 2" xfId="37600" xr:uid="{00000000-0005-0000-0000-00003B2A0000}"/>
    <cellStyle name="20% - Accent4 3 3 5 2 4" xfId="26299" xr:uid="{00000000-0005-0000-0000-00003C2A0000}"/>
    <cellStyle name="20% - Accent4 3 3 5 3" xfId="5336" xr:uid="{00000000-0005-0000-0000-00003D2A0000}"/>
    <cellStyle name="20% - Accent4 3 3 5 3 2" xfId="10986" xr:uid="{00000000-0005-0000-0000-00003E2A0000}"/>
    <cellStyle name="20% - Accent4 3 3 5 3 2 2" xfId="22287" xr:uid="{00000000-0005-0000-0000-00003F2A0000}"/>
    <cellStyle name="20% - Accent4 3 3 5 3 2 2 2" xfId="44889" xr:uid="{00000000-0005-0000-0000-0000402A0000}"/>
    <cellStyle name="20% - Accent4 3 3 5 3 2 3" xfId="33588" xr:uid="{00000000-0005-0000-0000-0000412A0000}"/>
    <cellStyle name="20% - Accent4 3 3 5 3 3" xfId="16637" xr:uid="{00000000-0005-0000-0000-0000422A0000}"/>
    <cellStyle name="20% - Accent4 3 3 5 3 3 2" xfId="39239" xr:uid="{00000000-0005-0000-0000-0000432A0000}"/>
    <cellStyle name="20% - Accent4 3 3 5 3 4" xfId="27938" xr:uid="{00000000-0005-0000-0000-0000442A0000}"/>
    <cellStyle name="20% - Accent4 3 3 5 4" xfId="7538" xr:uid="{00000000-0005-0000-0000-0000452A0000}"/>
    <cellStyle name="20% - Accent4 3 3 5 4 2" xfId="18839" xr:uid="{00000000-0005-0000-0000-0000462A0000}"/>
    <cellStyle name="20% - Accent4 3 3 5 4 2 2" xfId="41441" xr:uid="{00000000-0005-0000-0000-0000472A0000}"/>
    <cellStyle name="20% - Accent4 3 3 5 4 3" xfId="30140" xr:uid="{00000000-0005-0000-0000-0000482A0000}"/>
    <cellStyle name="20% - Accent4 3 3 5 5" xfId="13189" xr:uid="{00000000-0005-0000-0000-0000492A0000}"/>
    <cellStyle name="20% - Accent4 3 3 5 5 2" xfId="35791" xr:uid="{00000000-0005-0000-0000-00004A2A0000}"/>
    <cellStyle name="20% - Accent4 3 3 5 6" xfId="24490" xr:uid="{00000000-0005-0000-0000-00004B2A0000}"/>
    <cellStyle name="20% - Accent4 3 3 6" xfId="2315" xr:uid="{00000000-0005-0000-0000-00004C2A0000}"/>
    <cellStyle name="20% - Accent4 3 3 6 2" xfId="8151" xr:uid="{00000000-0005-0000-0000-00004D2A0000}"/>
    <cellStyle name="20% - Accent4 3 3 6 2 2" xfId="19452" xr:uid="{00000000-0005-0000-0000-00004E2A0000}"/>
    <cellStyle name="20% - Accent4 3 3 6 2 2 2" xfId="42054" xr:uid="{00000000-0005-0000-0000-00004F2A0000}"/>
    <cellStyle name="20% - Accent4 3 3 6 2 3" xfId="30753" xr:uid="{00000000-0005-0000-0000-0000502A0000}"/>
    <cellStyle name="20% - Accent4 3 3 6 3" xfId="13802" xr:uid="{00000000-0005-0000-0000-0000512A0000}"/>
    <cellStyle name="20% - Accent4 3 3 6 3 2" xfId="36404" xr:uid="{00000000-0005-0000-0000-0000522A0000}"/>
    <cellStyle name="20% - Accent4 3 3 6 4" xfId="25103" xr:uid="{00000000-0005-0000-0000-0000532A0000}"/>
    <cellStyle name="20% - Accent4 3 3 7" xfId="4102" xr:uid="{00000000-0005-0000-0000-0000542A0000}"/>
    <cellStyle name="20% - Accent4 3 3 7 2" xfId="9752" xr:uid="{00000000-0005-0000-0000-0000552A0000}"/>
    <cellStyle name="20% - Accent4 3 3 7 2 2" xfId="21053" xr:uid="{00000000-0005-0000-0000-0000562A0000}"/>
    <cellStyle name="20% - Accent4 3 3 7 2 2 2" xfId="43655" xr:uid="{00000000-0005-0000-0000-0000572A0000}"/>
    <cellStyle name="20% - Accent4 3 3 7 2 3" xfId="32354" xr:uid="{00000000-0005-0000-0000-0000582A0000}"/>
    <cellStyle name="20% - Accent4 3 3 7 3" xfId="15403" xr:uid="{00000000-0005-0000-0000-0000592A0000}"/>
    <cellStyle name="20% - Accent4 3 3 7 3 2" xfId="38005" xr:uid="{00000000-0005-0000-0000-00005A2A0000}"/>
    <cellStyle name="20% - Accent4 3 3 7 4" xfId="26704" xr:uid="{00000000-0005-0000-0000-00005B2A0000}"/>
    <cellStyle name="20% - Accent4 3 3 8" xfId="6553" xr:uid="{00000000-0005-0000-0000-00005C2A0000}"/>
    <cellStyle name="20% - Accent4 3 3 8 2" xfId="17854" xr:uid="{00000000-0005-0000-0000-00005D2A0000}"/>
    <cellStyle name="20% - Accent4 3 3 8 2 2" xfId="40456" xr:uid="{00000000-0005-0000-0000-00005E2A0000}"/>
    <cellStyle name="20% - Accent4 3 3 8 3" xfId="29155" xr:uid="{00000000-0005-0000-0000-00005F2A0000}"/>
    <cellStyle name="20% - Accent4 3 3 9" xfId="12204" xr:uid="{00000000-0005-0000-0000-0000602A0000}"/>
    <cellStyle name="20% - Accent4 3 3 9 2" xfId="34806" xr:uid="{00000000-0005-0000-0000-0000612A0000}"/>
    <cellStyle name="20% - Accent4 3 4" xfId="552" xr:uid="{00000000-0005-0000-0000-0000622A0000}"/>
    <cellStyle name="20% - Accent4 3 4 2" xfId="1131" xr:uid="{00000000-0005-0000-0000-0000632A0000}"/>
    <cellStyle name="20% - Accent4 3 4 2 2" xfId="1687" xr:uid="{00000000-0005-0000-0000-0000642A0000}"/>
    <cellStyle name="20% - Accent4 3 4 2 2 2" xfId="3198" xr:uid="{00000000-0005-0000-0000-0000652A0000}"/>
    <cellStyle name="20% - Accent4 3 4 2 2 2 2" xfId="6170" xr:uid="{00000000-0005-0000-0000-0000662A0000}"/>
    <cellStyle name="20% - Accent4 3 4 2 2 2 2 2" xfId="11820" xr:uid="{00000000-0005-0000-0000-0000672A0000}"/>
    <cellStyle name="20% - Accent4 3 4 2 2 2 2 2 2" xfId="23121" xr:uid="{00000000-0005-0000-0000-0000682A0000}"/>
    <cellStyle name="20% - Accent4 3 4 2 2 2 2 2 2 2" xfId="45723" xr:uid="{00000000-0005-0000-0000-0000692A0000}"/>
    <cellStyle name="20% - Accent4 3 4 2 2 2 2 2 3" xfId="34422" xr:uid="{00000000-0005-0000-0000-00006A2A0000}"/>
    <cellStyle name="20% - Accent4 3 4 2 2 2 2 3" xfId="17471" xr:uid="{00000000-0005-0000-0000-00006B2A0000}"/>
    <cellStyle name="20% - Accent4 3 4 2 2 2 2 3 2" xfId="40073" xr:uid="{00000000-0005-0000-0000-00006C2A0000}"/>
    <cellStyle name="20% - Accent4 3 4 2 2 2 2 4" xfId="28772" xr:uid="{00000000-0005-0000-0000-00006D2A0000}"/>
    <cellStyle name="20% - Accent4 3 4 2 2 2 3" xfId="8988" xr:uid="{00000000-0005-0000-0000-00006E2A0000}"/>
    <cellStyle name="20% - Accent4 3 4 2 2 2 3 2" xfId="20289" xr:uid="{00000000-0005-0000-0000-00006F2A0000}"/>
    <cellStyle name="20% - Accent4 3 4 2 2 2 3 2 2" xfId="42891" xr:uid="{00000000-0005-0000-0000-0000702A0000}"/>
    <cellStyle name="20% - Accent4 3 4 2 2 2 3 3" xfId="31590" xr:uid="{00000000-0005-0000-0000-0000712A0000}"/>
    <cellStyle name="20% - Accent4 3 4 2 2 2 4" xfId="14639" xr:uid="{00000000-0005-0000-0000-0000722A0000}"/>
    <cellStyle name="20% - Accent4 3 4 2 2 2 4 2" xfId="37241" xr:uid="{00000000-0005-0000-0000-0000732A0000}"/>
    <cellStyle name="20% - Accent4 3 4 2 2 2 5" xfId="25940" xr:uid="{00000000-0005-0000-0000-0000742A0000}"/>
    <cellStyle name="20% - Accent4 3 4 2 2 3" xfId="4936" xr:uid="{00000000-0005-0000-0000-0000752A0000}"/>
    <cellStyle name="20% - Accent4 3 4 2 2 3 2" xfId="10586" xr:uid="{00000000-0005-0000-0000-0000762A0000}"/>
    <cellStyle name="20% - Accent4 3 4 2 2 3 2 2" xfId="21887" xr:uid="{00000000-0005-0000-0000-0000772A0000}"/>
    <cellStyle name="20% - Accent4 3 4 2 2 3 2 2 2" xfId="44489" xr:uid="{00000000-0005-0000-0000-0000782A0000}"/>
    <cellStyle name="20% - Accent4 3 4 2 2 3 2 3" xfId="33188" xr:uid="{00000000-0005-0000-0000-0000792A0000}"/>
    <cellStyle name="20% - Accent4 3 4 2 2 3 3" xfId="16237" xr:uid="{00000000-0005-0000-0000-00007A2A0000}"/>
    <cellStyle name="20% - Accent4 3 4 2 2 3 3 2" xfId="38839" xr:uid="{00000000-0005-0000-0000-00007B2A0000}"/>
    <cellStyle name="20% - Accent4 3 4 2 2 3 4" xfId="27538" xr:uid="{00000000-0005-0000-0000-00007C2A0000}"/>
    <cellStyle name="20% - Accent4 3 4 2 2 4" xfId="7543" xr:uid="{00000000-0005-0000-0000-00007D2A0000}"/>
    <cellStyle name="20% - Accent4 3 4 2 2 4 2" xfId="18844" xr:uid="{00000000-0005-0000-0000-00007E2A0000}"/>
    <cellStyle name="20% - Accent4 3 4 2 2 4 2 2" xfId="41446" xr:uid="{00000000-0005-0000-0000-00007F2A0000}"/>
    <cellStyle name="20% - Accent4 3 4 2 2 4 3" xfId="30145" xr:uid="{00000000-0005-0000-0000-0000802A0000}"/>
    <cellStyle name="20% - Accent4 3 4 2 2 5" xfId="13194" xr:uid="{00000000-0005-0000-0000-0000812A0000}"/>
    <cellStyle name="20% - Accent4 3 4 2 2 5 2" xfId="35796" xr:uid="{00000000-0005-0000-0000-0000822A0000}"/>
    <cellStyle name="20% - Accent4 3 4 2 2 6" xfId="24495" xr:uid="{00000000-0005-0000-0000-0000832A0000}"/>
    <cellStyle name="20% - Accent4 3 4 2 3" xfId="2527" xr:uid="{00000000-0005-0000-0000-0000842A0000}"/>
    <cellStyle name="20% - Accent4 3 4 2 3 2" xfId="5546" xr:uid="{00000000-0005-0000-0000-0000852A0000}"/>
    <cellStyle name="20% - Accent4 3 4 2 3 2 2" xfId="11196" xr:uid="{00000000-0005-0000-0000-0000862A0000}"/>
    <cellStyle name="20% - Accent4 3 4 2 3 2 2 2" xfId="22497" xr:uid="{00000000-0005-0000-0000-0000872A0000}"/>
    <cellStyle name="20% - Accent4 3 4 2 3 2 2 2 2" xfId="45099" xr:uid="{00000000-0005-0000-0000-0000882A0000}"/>
    <cellStyle name="20% - Accent4 3 4 2 3 2 2 3" xfId="33798" xr:uid="{00000000-0005-0000-0000-0000892A0000}"/>
    <cellStyle name="20% - Accent4 3 4 2 3 2 3" xfId="16847" xr:uid="{00000000-0005-0000-0000-00008A2A0000}"/>
    <cellStyle name="20% - Accent4 3 4 2 3 2 3 2" xfId="39449" xr:uid="{00000000-0005-0000-0000-00008B2A0000}"/>
    <cellStyle name="20% - Accent4 3 4 2 3 2 4" xfId="28148" xr:uid="{00000000-0005-0000-0000-00008C2A0000}"/>
    <cellStyle name="20% - Accent4 3 4 2 3 3" xfId="8363" xr:uid="{00000000-0005-0000-0000-00008D2A0000}"/>
    <cellStyle name="20% - Accent4 3 4 2 3 3 2" xfId="19664" xr:uid="{00000000-0005-0000-0000-00008E2A0000}"/>
    <cellStyle name="20% - Accent4 3 4 2 3 3 2 2" xfId="42266" xr:uid="{00000000-0005-0000-0000-00008F2A0000}"/>
    <cellStyle name="20% - Accent4 3 4 2 3 3 3" xfId="30965" xr:uid="{00000000-0005-0000-0000-0000902A0000}"/>
    <cellStyle name="20% - Accent4 3 4 2 3 4" xfId="14014" xr:uid="{00000000-0005-0000-0000-0000912A0000}"/>
    <cellStyle name="20% - Accent4 3 4 2 3 4 2" xfId="36616" xr:uid="{00000000-0005-0000-0000-0000922A0000}"/>
    <cellStyle name="20% - Accent4 3 4 2 3 5" xfId="25315" xr:uid="{00000000-0005-0000-0000-0000932A0000}"/>
    <cellStyle name="20% - Accent4 3 4 2 4" xfId="4312" xr:uid="{00000000-0005-0000-0000-0000942A0000}"/>
    <cellStyle name="20% - Accent4 3 4 2 4 2" xfId="9962" xr:uid="{00000000-0005-0000-0000-0000952A0000}"/>
    <cellStyle name="20% - Accent4 3 4 2 4 2 2" xfId="21263" xr:uid="{00000000-0005-0000-0000-0000962A0000}"/>
    <cellStyle name="20% - Accent4 3 4 2 4 2 2 2" xfId="43865" xr:uid="{00000000-0005-0000-0000-0000972A0000}"/>
    <cellStyle name="20% - Accent4 3 4 2 4 2 3" xfId="32564" xr:uid="{00000000-0005-0000-0000-0000982A0000}"/>
    <cellStyle name="20% - Accent4 3 4 2 4 3" xfId="15613" xr:uid="{00000000-0005-0000-0000-0000992A0000}"/>
    <cellStyle name="20% - Accent4 3 4 2 4 3 2" xfId="38215" xr:uid="{00000000-0005-0000-0000-00009A2A0000}"/>
    <cellStyle name="20% - Accent4 3 4 2 4 4" xfId="26914" xr:uid="{00000000-0005-0000-0000-00009B2A0000}"/>
    <cellStyle name="20% - Accent4 3 4 2 5" xfId="7110" xr:uid="{00000000-0005-0000-0000-00009C2A0000}"/>
    <cellStyle name="20% - Accent4 3 4 2 5 2" xfId="18411" xr:uid="{00000000-0005-0000-0000-00009D2A0000}"/>
    <cellStyle name="20% - Accent4 3 4 2 5 2 2" xfId="41013" xr:uid="{00000000-0005-0000-0000-00009E2A0000}"/>
    <cellStyle name="20% - Accent4 3 4 2 5 3" xfId="29712" xr:uid="{00000000-0005-0000-0000-00009F2A0000}"/>
    <cellStyle name="20% - Accent4 3 4 2 6" xfId="12761" xr:uid="{00000000-0005-0000-0000-0000A02A0000}"/>
    <cellStyle name="20% - Accent4 3 4 2 6 2" xfId="35363" xr:uid="{00000000-0005-0000-0000-0000A12A0000}"/>
    <cellStyle name="20% - Accent4 3 4 2 7" xfId="24062" xr:uid="{00000000-0005-0000-0000-0000A22A0000}"/>
    <cellStyle name="20% - Accent4 3 4 3" xfId="804" xr:uid="{00000000-0005-0000-0000-0000A32A0000}"/>
    <cellStyle name="20% - Accent4 3 4 3 2" xfId="2892" xr:uid="{00000000-0005-0000-0000-0000A42A0000}"/>
    <cellStyle name="20% - Accent4 3 4 3 2 2" xfId="5864" xr:uid="{00000000-0005-0000-0000-0000A52A0000}"/>
    <cellStyle name="20% - Accent4 3 4 3 2 2 2" xfId="11514" xr:uid="{00000000-0005-0000-0000-0000A62A0000}"/>
    <cellStyle name="20% - Accent4 3 4 3 2 2 2 2" xfId="22815" xr:uid="{00000000-0005-0000-0000-0000A72A0000}"/>
    <cellStyle name="20% - Accent4 3 4 3 2 2 2 2 2" xfId="45417" xr:uid="{00000000-0005-0000-0000-0000A82A0000}"/>
    <cellStyle name="20% - Accent4 3 4 3 2 2 2 3" xfId="34116" xr:uid="{00000000-0005-0000-0000-0000A92A0000}"/>
    <cellStyle name="20% - Accent4 3 4 3 2 2 3" xfId="17165" xr:uid="{00000000-0005-0000-0000-0000AA2A0000}"/>
    <cellStyle name="20% - Accent4 3 4 3 2 2 3 2" xfId="39767" xr:uid="{00000000-0005-0000-0000-0000AB2A0000}"/>
    <cellStyle name="20% - Accent4 3 4 3 2 2 4" xfId="28466" xr:uid="{00000000-0005-0000-0000-0000AC2A0000}"/>
    <cellStyle name="20% - Accent4 3 4 3 2 3" xfId="8682" xr:uid="{00000000-0005-0000-0000-0000AD2A0000}"/>
    <cellStyle name="20% - Accent4 3 4 3 2 3 2" xfId="19983" xr:uid="{00000000-0005-0000-0000-0000AE2A0000}"/>
    <cellStyle name="20% - Accent4 3 4 3 2 3 2 2" xfId="42585" xr:uid="{00000000-0005-0000-0000-0000AF2A0000}"/>
    <cellStyle name="20% - Accent4 3 4 3 2 3 3" xfId="31284" xr:uid="{00000000-0005-0000-0000-0000B02A0000}"/>
    <cellStyle name="20% - Accent4 3 4 3 2 4" xfId="14333" xr:uid="{00000000-0005-0000-0000-0000B12A0000}"/>
    <cellStyle name="20% - Accent4 3 4 3 2 4 2" xfId="36935" xr:uid="{00000000-0005-0000-0000-0000B22A0000}"/>
    <cellStyle name="20% - Accent4 3 4 3 2 5" xfId="25634" xr:uid="{00000000-0005-0000-0000-0000B32A0000}"/>
    <cellStyle name="20% - Accent4 3 4 3 3" xfId="4630" xr:uid="{00000000-0005-0000-0000-0000B42A0000}"/>
    <cellStyle name="20% - Accent4 3 4 3 3 2" xfId="10280" xr:uid="{00000000-0005-0000-0000-0000B52A0000}"/>
    <cellStyle name="20% - Accent4 3 4 3 3 2 2" xfId="21581" xr:uid="{00000000-0005-0000-0000-0000B62A0000}"/>
    <cellStyle name="20% - Accent4 3 4 3 3 2 2 2" xfId="44183" xr:uid="{00000000-0005-0000-0000-0000B72A0000}"/>
    <cellStyle name="20% - Accent4 3 4 3 3 2 3" xfId="32882" xr:uid="{00000000-0005-0000-0000-0000B82A0000}"/>
    <cellStyle name="20% - Accent4 3 4 3 3 3" xfId="15931" xr:uid="{00000000-0005-0000-0000-0000B92A0000}"/>
    <cellStyle name="20% - Accent4 3 4 3 3 3 2" xfId="38533" xr:uid="{00000000-0005-0000-0000-0000BA2A0000}"/>
    <cellStyle name="20% - Accent4 3 4 3 3 4" xfId="27232" xr:uid="{00000000-0005-0000-0000-0000BB2A0000}"/>
    <cellStyle name="20% - Accent4 3 4 3 4" xfId="6813" xr:uid="{00000000-0005-0000-0000-0000BC2A0000}"/>
    <cellStyle name="20% - Accent4 3 4 3 4 2" xfId="18114" xr:uid="{00000000-0005-0000-0000-0000BD2A0000}"/>
    <cellStyle name="20% - Accent4 3 4 3 4 2 2" xfId="40716" xr:uid="{00000000-0005-0000-0000-0000BE2A0000}"/>
    <cellStyle name="20% - Accent4 3 4 3 4 3" xfId="29415" xr:uid="{00000000-0005-0000-0000-0000BF2A0000}"/>
    <cellStyle name="20% - Accent4 3 4 3 5" xfId="12464" xr:uid="{00000000-0005-0000-0000-0000C02A0000}"/>
    <cellStyle name="20% - Accent4 3 4 3 5 2" xfId="35066" xr:uid="{00000000-0005-0000-0000-0000C12A0000}"/>
    <cellStyle name="20% - Accent4 3 4 3 6" xfId="23765" xr:uid="{00000000-0005-0000-0000-0000C22A0000}"/>
    <cellStyle name="20% - Accent4 3 4 4" xfId="1686" xr:uid="{00000000-0005-0000-0000-0000C32A0000}"/>
    <cellStyle name="20% - Accent4 3 4 4 2" xfId="3637" xr:uid="{00000000-0005-0000-0000-0000C42A0000}"/>
    <cellStyle name="20% - Accent4 3 4 4 2 2" xfId="9349" xr:uid="{00000000-0005-0000-0000-0000C52A0000}"/>
    <cellStyle name="20% - Accent4 3 4 4 2 2 2" xfId="20650" xr:uid="{00000000-0005-0000-0000-0000C62A0000}"/>
    <cellStyle name="20% - Accent4 3 4 4 2 2 2 2" xfId="43252" xr:uid="{00000000-0005-0000-0000-0000C72A0000}"/>
    <cellStyle name="20% - Accent4 3 4 4 2 2 3" xfId="31951" xr:uid="{00000000-0005-0000-0000-0000C82A0000}"/>
    <cellStyle name="20% - Accent4 3 4 4 2 3" xfId="15000" xr:uid="{00000000-0005-0000-0000-0000C92A0000}"/>
    <cellStyle name="20% - Accent4 3 4 4 2 3 2" xfId="37602" xr:uid="{00000000-0005-0000-0000-0000CA2A0000}"/>
    <cellStyle name="20% - Accent4 3 4 4 2 4" xfId="26301" xr:uid="{00000000-0005-0000-0000-0000CB2A0000}"/>
    <cellStyle name="20% - Accent4 3 4 4 3" xfId="5240" xr:uid="{00000000-0005-0000-0000-0000CC2A0000}"/>
    <cellStyle name="20% - Accent4 3 4 4 3 2" xfId="10890" xr:uid="{00000000-0005-0000-0000-0000CD2A0000}"/>
    <cellStyle name="20% - Accent4 3 4 4 3 2 2" xfId="22191" xr:uid="{00000000-0005-0000-0000-0000CE2A0000}"/>
    <cellStyle name="20% - Accent4 3 4 4 3 2 2 2" xfId="44793" xr:uid="{00000000-0005-0000-0000-0000CF2A0000}"/>
    <cellStyle name="20% - Accent4 3 4 4 3 2 3" xfId="33492" xr:uid="{00000000-0005-0000-0000-0000D02A0000}"/>
    <cellStyle name="20% - Accent4 3 4 4 3 3" xfId="16541" xr:uid="{00000000-0005-0000-0000-0000D12A0000}"/>
    <cellStyle name="20% - Accent4 3 4 4 3 3 2" xfId="39143" xr:uid="{00000000-0005-0000-0000-0000D22A0000}"/>
    <cellStyle name="20% - Accent4 3 4 4 3 4" xfId="27842" xr:uid="{00000000-0005-0000-0000-0000D32A0000}"/>
    <cellStyle name="20% - Accent4 3 4 4 4" xfId="7542" xr:uid="{00000000-0005-0000-0000-0000D42A0000}"/>
    <cellStyle name="20% - Accent4 3 4 4 4 2" xfId="18843" xr:uid="{00000000-0005-0000-0000-0000D52A0000}"/>
    <cellStyle name="20% - Accent4 3 4 4 4 2 2" xfId="41445" xr:uid="{00000000-0005-0000-0000-0000D62A0000}"/>
    <cellStyle name="20% - Accent4 3 4 4 4 3" xfId="30144" xr:uid="{00000000-0005-0000-0000-0000D72A0000}"/>
    <cellStyle name="20% - Accent4 3 4 4 5" xfId="13193" xr:uid="{00000000-0005-0000-0000-0000D82A0000}"/>
    <cellStyle name="20% - Accent4 3 4 4 5 2" xfId="35795" xr:uid="{00000000-0005-0000-0000-0000D92A0000}"/>
    <cellStyle name="20% - Accent4 3 4 4 6" xfId="24494" xr:uid="{00000000-0005-0000-0000-0000DA2A0000}"/>
    <cellStyle name="20% - Accent4 3 4 5" xfId="2212" xr:uid="{00000000-0005-0000-0000-0000DB2A0000}"/>
    <cellStyle name="20% - Accent4 3 4 5 2" xfId="8054" xr:uid="{00000000-0005-0000-0000-0000DC2A0000}"/>
    <cellStyle name="20% - Accent4 3 4 5 2 2" xfId="19355" xr:uid="{00000000-0005-0000-0000-0000DD2A0000}"/>
    <cellStyle name="20% - Accent4 3 4 5 2 2 2" xfId="41957" xr:uid="{00000000-0005-0000-0000-0000DE2A0000}"/>
    <cellStyle name="20% - Accent4 3 4 5 2 3" xfId="30656" xr:uid="{00000000-0005-0000-0000-0000DF2A0000}"/>
    <cellStyle name="20% - Accent4 3 4 5 3" xfId="13705" xr:uid="{00000000-0005-0000-0000-0000E02A0000}"/>
    <cellStyle name="20% - Accent4 3 4 5 3 2" xfId="36307" xr:uid="{00000000-0005-0000-0000-0000E12A0000}"/>
    <cellStyle name="20% - Accent4 3 4 5 4" xfId="25006" xr:uid="{00000000-0005-0000-0000-0000E22A0000}"/>
    <cellStyle name="20% - Accent4 3 4 6" xfId="4006" xr:uid="{00000000-0005-0000-0000-0000E32A0000}"/>
    <cellStyle name="20% - Accent4 3 4 6 2" xfId="9656" xr:uid="{00000000-0005-0000-0000-0000E42A0000}"/>
    <cellStyle name="20% - Accent4 3 4 6 2 2" xfId="20957" xr:uid="{00000000-0005-0000-0000-0000E52A0000}"/>
    <cellStyle name="20% - Accent4 3 4 6 2 2 2" xfId="43559" xr:uid="{00000000-0005-0000-0000-0000E62A0000}"/>
    <cellStyle name="20% - Accent4 3 4 6 2 3" xfId="32258" xr:uid="{00000000-0005-0000-0000-0000E72A0000}"/>
    <cellStyle name="20% - Accent4 3 4 6 3" xfId="15307" xr:uid="{00000000-0005-0000-0000-0000E82A0000}"/>
    <cellStyle name="20% - Accent4 3 4 6 3 2" xfId="37909" xr:uid="{00000000-0005-0000-0000-0000E92A0000}"/>
    <cellStyle name="20% - Accent4 3 4 6 4" xfId="26608" xr:uid="{00000000-0005-0000-0000-0000EA2A0000}"/>
    <cellStyle name="20% - Accent4 3 4 7" xfId="6624" xr:uid="{00000000-0005-0000-0000-0000EB2A0000}"/>
    <cellStyle name="20% - Accent4 3 4 7 2" xfId="17925" xr:uid="{00000000-0005-0000-0000-0000EC2A0000}"/>
    <cellStyle name="20% - Accent4 3 4 7 2 2" xfId="40527" xr:uid="{00000000-0005-0000-0000-0000ED2A0000}"/>
    <cellStyle name="20% - Accent4 3 4 7 3" xfId="29226" xr:uid="{00000000-0005-0000-0000-0000EE2A0000}"/>
    <cellStyle name="20% - Accent4 3 4 8" xfId="12275" xr:uid="{00000000-0005-0000-0000-0000EF2A0000}"/>
    <cellStyle name="20% - Accent4 3 4 8 2" xfId="34877" xr:uid="{00000000-0005-0000-0000-0000F02A0000}"/>
    <cellStyle name="20% - Accent4 3 4 9" xfId="23576" xr:uid="{00000000-0005-0000-0000-0000F12A0000}"/>
    <cellStyle name="20% - Accent4 3 5" xfId="449" xr:uid="{00000000-0005-0000-0000-0000F22A0000}"/>
    <cellStyle name="20% - Accent4 3 6" xfId="1503" xr:uid="{00000000-0005-0000-0000-0000F32A0000}"/>
    <cellStyle name="20% - Accent4 3 7" xfId="6457" xr:uid="{00000000-0005-0000-0000-0000F42A0000}"/>
    <cellStyle name="20% - Accent4 3 7 2" xfId="17758" xr:uid="{00000000-0005-0000-0000-0000F52A0000}"/>
    <cellStyle name="20% - Accent4 3 7 2 2" xfId="40360" xr:uid="{00000000-0005-0000-0000-0000F62A0000}"/>
    <cellStyle name="20% - Accent4 3 7 3" xfId="29059" xr:uid="{00000000-0005-0000-0000-0000F72A0000}"/>
    <cellStyle name="20% - Accent4 3 8" xfId="12108" xr:uid="{00000000-0005-0000-0000-0000F82A0000}"/>
    <cellStyle name="20% - Accent4 3 8 2" xfId="34710" xr:uid="{00000000-0005-0000-0000-0000F92A0000}"/>
    <cellStyle name="20% - Accent4 3 9" xfId="23409" xr:uid="{00000000-0005-0000-0000-0000FA2A0000}"/>
    <cellStyle name="20% - Accent4 4" xfId="239" xr:uid="{00000000-0005-0000-0000-0000FB2A0000}"/>
    <cellStyle name="20% - Accent4 4 10" xfId="3992" xr:uid="{00000000-0005-0000-0000-0000FC2A0000}"/>
    <cellStyle name="20% - Accent4 4 10 2" xfId="9642" xr:uid="{00000000-0005-0000-0000-0000FD2A0000}"/>
    <cellStyle name="20% - Accent4 4 10 2 2" xfId="20943" xr:uid="{00000000-0005-0000-0000-0000FE2A0000}"/>
    <cellStyle name="20% - Accent4 4 10 2 2 2" xfId="43545" xr:uid="{00000000-0005-0000-0000-0000FF2A0000}"/>
    <cellStyle name="20% - Accent4 4 10 2 3" xfId="32244" xr:uid="{00000000-0005-0000-0000-0000002B0000}"/>
    <cellStyle name="20% - Accent4 4 10 3" xfId="15293" xr:uid="{00000000-0005-0000-0000-0000012B0000}"/>
    <cellStyle name="20% - Accent4 4 10 3 2" xfId="37895" xr:uid="{00000000-0005-0000-0000-0000022B0000}"/>
    <cellStyle name="20% - Accent4 4 10 4" xfId="26594" xr:uid="{00000000-0005-0000-0000-0000032B0000}"/>
    <cellStyle name="20% - Accent4 4 11" xfId="6471" xr:uid="{00000000-0005-0000-0000-0000042B0000}"/>
    <cellStyle name="20% - Accent4 4 11 2" xfId="17772" xr:uid="{00000000-0005-0000-0000-0000052B0000}"/>
    <cellStyle name="20% - Accent4 4 11 2 2" xfId="40374" xr:uid="{00000000-0005-0000-0000-0000062B0000}"/>
    <cellStyle name="20% - Accent4 4 11 3" xfId="29073" xr:uid="{00000000-0005-0000-0000-0000072B0000}"/>
    <cellStyle name="20% - Accent4 4 12" xfId="12122" xr:uid="{00000000-0005-0000-0000-0000082B0000}"/>
    <cellStyle name="20% - Accent4 4 12 2" xfId="34724" xr:uid="{00000000-0005-0000-0000-0000092B0000}"/>
    <cellStyle name="20% - Accent4 4 13" xfId="23423" xr:uid="{00000000-0005-0000-0000-00000A2B0000}"/>
    <cellStyle name="20% - Accent4 4 2" xfId="362" xr:uid="{00000000-0005-0000-0000-00000B2B0000}"/>
    <cellStyle name="20% - Accent4 4 2 10" xfId="23470" xr:uid="{00000000-0005-0000-0000-00000C2B0000}"/>
    <cellStyle name="20% - Accent4 4 2 2" xfId="620" xr:uid="{00000000-0005-0000-0000-00000D2B0000}"/>
    <cellStyle name="20% - Accent4 4 2 2 2" xfId="1330" xr:uid="{00000000-0005-0000-0000-00000E2B0000}"/>
    <cellStyle name="20% - Accent4 4 2 2 2 2" xfId="1691" xr:uid="{00000000-0005-0000-0000-00000F2B0000}"/>
    <cellStyle name="20% - Accent4 4 2 2 2 2 2" xfId="3399" xr:uid="{00000000-0005-0000-0000-0000102B0000}"/>
    <cellStyle name="20% - Accent4 4 2 2 2 2 2 2" xfId="6371" xr:uid="{00000000-0005-0000-0000-0000112B0000}"/>
    <cellStyle name="20% - Accent4 4 2 2 2 2 2 2 2" xfId="12021" xr:uid="{00000000-0005-0000-0000-0000122B0000}"/>
    <cellStyle name="20% - Accent4 4 2 2 2 2 2 2 2 2" xfId="23322" xr:uid="{00000000-0005-0000-0000-0000132B0000}"/>
    <cellStyle name="20% - Accent4 4 2 2 2 2 2 2 2 2 2" xfId="45924" xr:uid="{00000000-0005-0000-0000-0000142B0000}"/>
    <cellStyle name="20% - Accent4 4 2 2 2 2 2 2 2 3" xfId="34623" xr:uid="{00000000-0005-0000-0000-0000152B0000}"/>
    <cellStyle name="20% - Accent4 4 2 2 2 2 2 2 3" xfId="17672" xr:uid="{00000000-0005-0000-0000-0000162B0000}"/>
    <cellStyle name="20% - Accent4 4 2 2 2 2 2 2 3 2" xfId="40274" xr:uid="{00000000-0005-0000-0000-0000172B0000}"/>
    <cellStyle name="20% - Accent4 4 2 2 2 2 2 2 4" xfId="28973" xr:uid="{00000000-0005-0000-0000-0000182B0000}"/>
    <cellStyle name="20% - Accent4 4 2 2 2 2 2 3" xfId="9189" xr:uid="{00000000-0005-0000-0000-0000192B0000}"/>
    <cellStyle name="20% - Accent4 4 2 2 2 2 2 3 2" xfId="20490" xr:uid="{00000000-0005-0000-0000-00001A2B0000}"/>
    <cellStyle name="20% - Accent4 4 2 2 2 2 2 3 2 2" xfId="43092" xr:uid="{00000000-0005-0000-0000-00001B2B0000}"/>
    <cellStyle name="20% - Accent4 4 2 2 2 2 2 3 3" xfId="31791" xr:uid="{00000000-0005-0000-0000-00001C2B0000}"/>
    <cellStyle name="20% - Accent4 4 2 2 2 2 2 4" xfId="14840" xr:uid="{00000000-0005-0000-0000-00001D2B0000}"/>
    <cellStyle name="20% - Accent4 4 2 2 2 2 2 4 2" xfId="37442" xr:uid="{00000000-0005-0000-0000-00001E2B0000}"/>
    <cellStyle name="20% - Accent4 4 2 2 2 2 2 5" xfId="26141" xr:uid="{00000000-0005-0000-0000-00001F2B0000}"/>
    <cellStyle name="20% - Accent4 4 2 2 2 2 3" xfId="5137" xr:uid="{00000000-0005-0000-0000-0000202B0000}"/>
    <cellStyle name="20% - Accent4 4 2 2 2 2 3 2" xfId="10787" xr:uid="{00000000-0005-0000-0000-0000212B0000}"/>
    <cellStyle name="20% - Accent4 4 2 2 2 2 3 2 2" xfId="22088" xr:uid="{00000000-0005-0000-0000-0000222B0000}"/>
    <cellStyle name="20% - Accent4 4 2 2 2 2 3 2 2 2" xfId="44690" xr:uid="{00000000-0005-0000-0000-0000232B0000}"/>
    <cellStyle name="20% - Accent4 4 2 2 2 2 3 2 3" xfId="33389" xr:uid="{00000000-0005-0000-0000-0000242B0000}"/>
    <cellStyle name="20% - Accent4 4 2 2 2 2 3 3" xfId="16438" xr:uid="{00000000-0005-0000-0000-0000252B0000}"/>
    <cellStyle name="20% - Accent4 4 2 2 2 2 3 3 2" xfId="39040" xr:uid="{00000000-0005-0000-0000-0000262B0000}"/>
    <cellStyle name="20% - Accent4 4 2 2 2 2 3 4" xfId="27739" xr:uid="{00000000-0005-0000-0000-0000272B0000}"/>
    <cellStyle name="20% - Accent4 4 2 2 2 2 4" xfId="7547" xr:uid="{00000000-0005-0000-0000-0000282B0000}"/>
    <cellStyle name="20% - Accent4 4 2 2 2 2 4 2" xfId="18848" xr:uid="{00000000-0005-0000-0000-0000292B0000}"/>
    <cellStyle name="20% - Accent4 4 2 2 2 2 4 2 2" xfId="41450" xr:uid="{00000000-0005-0000-0000-00002A2B0000}"/>
    <cellStyle name="20% - Accent4 4 2 2 2 2 4 3" xfId="30149" xr:uid="{00000000-0005-0000-0000-00002B2B0000}"/>
    <cellStyle name="20% - Accent4 4 2 2 2 2 5" xfId="13198" xr:uid="{00000000-0005-0000-0000-00002C2B0000}"/>
    <cellStyle name="20% - Accent4 4 2 2 2 2 5 2" xfId="35800" xr:uid="{00000000-0005-0000-0000-00002D2B0000}"/>
    <cellStyle name="20% - Accent4 4 2 2 2 2 6" xfId="24499" xr:uid="{00000000-0005-0000-0000-00002E2B0000}"/>
    <cellStyle name="20% - Accent4 4 2 2 2 3" xfId="2728" xr:uid="{00000000-0005-0000-0000-00002F2B0000}"/>
    <cellStyle name="20% - Accent4 4 2 2 2 3 2" xfId="5747" xr:uid="{00000000-0005-0000-0000-0000302B0000}"/>
    <cellStyle name="20% - Accent4 4 2 2 2 3 2 2" xfId="11397" xr:uid="{00000000-0005-0000-0000-0000312B0000}"/>
    <cellStyle name="20% - Accent4 4 2 2 2 3 2 2 2" xfId="22698" xr:uid="{00000000-0005-0000-0000-0000322B0000}"/>
    <cellStyle name="20% - Accent4 4 2 2 2 3 2 2 2 2" xfId="45300" xr:uid="{00000000-0005-0000-0000-0000332B0000}"/>
    <cellStyle name="20% - Accent4 4 2 2 2 3 2 2 3" xfId="33999" xr:uid="{00000000-0005-0000-0000-0000342B0000}"/>
    <cellStyle name="20% - Accent4 4 2 2 2 3 2 3" xfId="17048" xr:uid="{00000000-0005-0000-0000-0000352B0000}"/>
    <cellStyle name="20% - Accent4 4 2 2 2 3 2 3 2" xfId="39650" xr:uid="{00000000-0005-0000-0000-0000362B0000}"/>
    <cellStyle name="20% - Accent4 4 2 2 2 3 2 4" xfId="28349" xr:uid="{00000000-0005-0000-0000-0000372B0000}"/>
    <cellStyle name="20% - Accent4 4 2 2 2 3 3" xfId="8564" xr:uid="{00000000-0005-0000-0000-0000382B0000}"/>
    <cellStyle name="20% - Accent4 4 2 2 2 3 3 2" xfId="19865" xr:uid="{00000000-0005-0000-0000-0000392B0000}"/>
    <cellStyle name="20% - Accent4 4 2 2 2 3 3 2 2" xfId="42467" xr:uid="{00000000-0005-0000-0000-00003A2B0000}"/>
    <cellStyle name="20% - Accent4 4 2 2 2 3 3 3" xfId="31166" xr:uid="{00000000-0005-0000-0000-00003B2B0000}"/>
    <cellStyle name="20% - Accent4 4 2 2 2 3 4" xfId="14215" xr:uid="{00000000-0005-0000-0000-00003C2B0000}"/>
    <cellStyle name="20% - Accent4 4 2 2 2 3 4 2" xfId="36817" xr:uid="{00000000-0005-0000-0000-00003D2B0000}"/>
    <cellStyle name="20% - Accent4 4 2 2 2 3 5" xfId="25516" xr:uid="{00000000-0005-0000-0000-00003E2B0000}"/>
    <cellStyle name="20% - Accent4 4 2 2 2 4" xfId="4513" xr:uid="{00000000-0005-0000-0000-00003F2B0000}"/>
    <cellStyle name="20% - Accent4 4 2 2 2 4 2" xfId="10163" xr:uid="{00000000-0005-0000-0000-0000402B0000}"/>
    <cellStyle name="20% - Accent4 4 2 2 2 4 2 2" xfId="21464" xr:uid="{00000000-0005-0000-0000-0000412B0000}"/>
    <cellStyle name="20% - Accent4 4 2 2 2 4 2 2 2" xfId="44066" xr:uid="{00000000-0005-0000-0000-0000422B0000}"/>
    <cellStyle name="20% - Accent4 4 2 2 2 4 2 3" xfId="32765" xr:uid="{00000000-0005-0000-0000-0000432B0000}"/>
    <cellStyle name="20% - Accent4 4 2 2 2 4 3" xfId="15814" xr:uid="{00000000-0005-0000-0000-0000442B0000}"/>
    <cellStyle name="20% - Accent4 4 2 2 2 4 3 2" xfId="38416" xr:uid="{00000000-0005-0000-0000-0000452B0000}"/>
    <cellStyle name="20% - Accent4 4 2 2 2 4 4" xfId="27115" xr:uid="{00000000-0005-0000-0000-0000462B0000}"/>
    <cellStyle name="20% - Accent4 4 2 2 2 5" xfId="7309" xr:uid="{00000000-0005-0000-0000-0000472B0000}"/>
    <cellStyle name="20% - Accent4 4 2 2 2 5 2" xfId="18610" xr:uid="{00000000-0005-0000-0000-0000482B0000}"/>
    <cellStyle name="20% - Accent4 4 2 2 2 5 2 2" xfId="41212" xr:uid="{00000000-0005-0000-0000-0000492B0000}"/>
    <cellStyle name="20% - Accent4 4 2 2 2 5 3" xfId="29911" xr:uid="{00000000-0005-0000-0000-00004A2B0000}"/>
    <cellStyle name="20% - Accent4 4 2 2 2 6" xfId="12960" xr:uid="{00000000-0005-0000-0000-00004B2B0000}"/>
    <cellStyle name="20% - Accent4 4 2 2 2 6 2" xfId="35562" xr:uid="{00000000-0005-0000-0000-00004C2B0000}"/>
    <cellStyle name="20% - Accent4 4 2 2 2 7" xfId="24261" xr:uid="{00000000-0005-0000-0000-00004D2B0000}"/>
    <cellStyle name="20% - Accent4 4 2 2 3" xfId="1028" xr:uid="{00000000-0005-0000-0000-00004E2B0000}"/>
    <cellStyle name="20% - Accent4 4 2 2 3 2" xfId="3091" xr:uid="{00000000-0005-0000-0000-00004F2B0000}"/>
    <cellStyle name="20% - Accent4 4 2 2 3 2 2" xfId="6063" xr:uid="{00000000-0005-0000-0000-0000502B0000}"/>
    <cellStyle name="20% - Accent4 4 2 2 3 2 2 2" xfId="11713" xr:uid="{00000000-0005-0000-0000-0000512B0000}"/>
    <cellStyle name="20% - Accent4 4 2 2 3 2 2 2 2" xfId="23014" xr:uid="{00000000-0005-0000-0000-0000522B0000}"/>
    <cellStyle name="20% - Accent4 4 2 2 3 2 2 2 2 2" xfId="45616" xr:uid="{00000000-0005-0000-0000-0000532B0000}"/>
    <cellStyle name="20% - Accent4 4 2 2 3 2 2 2 3" xfId="34315" xr:uid="{00000000-0005-0000-0000-0000542B0000}"/>
    <cellStyle name="20% - Accent4 4 2 2 3 2 2 3" xfId="17364" xr:uid="{00000000-0005-0000-0000-0000552B0000}"/>
    <cellStyle name="20% - Accent4 4 2 2 3 2 2 3 2" xfId="39966" xr:uid="{00000000-0005-0000-0000-0000562B0000}"/>
    <cellStyle name="20% - Accent4 4 2 2 3 2 2 4" xfId="28665" xr:uid="{00000000-0005-0000-0000-0000572B0000}"/>
    <cellStyle name="20% - Accent4 4 2 2 3 2 3" xfId="8881" xr:uid="{00000000-0005-0000-0000-0000582B0000}"/>
    <cellStyle name="20% - Accent4 4 2 2 3 2 3 2" xfId="20182" xr:uid="{00000000-0005-0000-0000-0000592B0000}"/>
    <cellStyle name="20% - Accent4 4 2 2 3 2 3 2 2" xfId="42784" xr:uid="{00000000-0005-0000-0000-00005A2B0000}"/>
    <cellStyle name="20% - Accent4 4 2 2 3 2 3 3" xfId="31483" xr:uid="{00000000-0005-0000-0000-00005B2B0000}"/>
    <cellStyle name="20% - Accent4 4 2 2 3 2 4" xfId="14532" xr:uid="{00000000-0005-0000-0000-00005C2B0000}"/>
    <cellStyle name="20% - Accent4 4 2 2 3 2 4 2" xfId="37134" xr:uid="{00000000-0005-0000-0000-00005D2B0000}"/>
    <cellStyle name="20% - Accent4 4 2 2 3 2 5" xfId="25833" xr:uid="{00000000-0005-0000-0000-00005E2B0000}"/>
    <cellStyle name="20% - Accent4 4 2 2 3 3" xfId="4829" xr:uid="{00000000-0005-0000-0000-00005F2B0000}"/>
    <cellStyle name="20% - Accent4 4 2 2 3 3 2" xfId="10479" xr:uid="{00000000-0005-0000-0000-0000602B0000}"/>
    <cellStyle name="20% - Accent4 4 2 2 3 3 2 2" xfId="21780" xr:uid="{00000000-0005-0000-0000-0000612B0000}"/>
    <cellStyle name="20% - Accent4 4 2 2 3 3 2 2 2" xfId="44382" xr:uid="{00000000-0005-0000-0000-0000622B0000}"/>
    <cellStyle name="20% - Accent4 4 2 2 3 3 2 3" xfId="33081" xr:uid="{00000000-0005-0000-0000-0000632B0000}"/>
    <cellStyle name="20% - Accent4 4 2 2 3 3 3" xfId="16130" xr:uid="{00000000-0005-0000-0000-0000642B0000}"/>
    <cellStyle name="20% - Accent4 4 2 2 3 3 3 2" xfId="38732" xr:uid="{00000000-0005-0000-0000-0000652B0000}"/>
    <cellStyle name="20% - Accent4 4 2 2 3 3 4" xfId="27431" xr:uid="{00000000-0005-0000-0000-0000662B0000}"/>
    <cellStyle name="20% - Accent4 4 2 2 3 4" xfId="7016" xr:uid="{00000000-0005-0000-0000-0000672B0000}"/>
    <cellStyle name="20% - Accent4 4 2 2 3 4 2" xfId="18317" xr:uid="{00000000-0005-0000-0000-0000682B0000}"/>
    <cellStyle name="20% - Accent4 4 2 2 3 4 2 2" xfId="40919" xr:uid="{00000000-0005-0000-0000-0000692B0000}"/>
    <cellStyle name="20% - Accent4 4 2 2 3 4 3" xfId="29618" xr:uid="{00000000-0005-0000-0000-00006A2B0000}"/>
    <cellStyle name="20% - Accent4 4 2 2 3 5" xfId="12667" xr:uid="{00000000-0005-0000-0000-00006B2B0000}"/>
    <cellStyle name="20% - Accent4 4 2 2 3 5 2" xfId="35269" xr:uid="{00000000-0005-0000-0000-00006C2B0000}"/>
    <cellStyle name="20% - Accent4 4 2 2 3 6" xfId="23968" xr:uid="{00000000-0005-0000-0000-00006D2B0000}"/>
    <cellStyle name="20% - Accent4 4 2 2 4" xfId="1690" xr:uid="{00000000-0005-0000-0000-00006E2B0000}"/>
    <cellStyle name="20% - Accent4 4 2 2 4 2" xfId="3640" xr:uid="{00000000-0005-0000-0000-00006F2B0000}"/>
    <cellStyle name="20% - Accent4 4 2 2 4 2 2" xfId="9352" xr:uid="{00000000-0005-0000-0000-0000702B0000}"/>
    <cellStyle name="20% - Accent4 4 2 2 4 2 2 2" xfId="20653" xr:uid="{00000000-0005-0000-0000-0000712B0000}"/>
    <cellStyle name="20% - Accent4 4 2 2 4 2 2 2 2" xfId="43255" xr:uid="{00000000-0005-0000-0000-0000722B0000}"/>
    <cellStyle name="20% - Accent4 4 2 2 4 2 2 3" xfId="31954" xr:uid="{00000000-0005-0000-0000-0000732B0000}"/>
    <cellStyle name="20% - Accent4 4 2 2 4 2 3" xfId="15003" xr:uid="{00000000-0005-0000-0000-0000742B0000}"/>
    <cellStyle name="20% - Accent4 4 2 2 4 2 3 2" xfId="37605" xr:uid="{00000000-0005-0000-0000-0000752B0000}"/>
    <cellStyle name="20% - Accent4 4 2 2 4 2 4" xfId="26304" xr:uid="{00000000-0005-0000-0000-0000762B0000}"/>
    <cellStyle name="20% - Accent4 4 2 2 4 3" xfId="5439" xr:uid="{00000000-0005-0000-0000-0000772B0000}"/>
    <cellStyle name="20% - Accent4 4 2 2 4 3 2" xfId="11089" xr:uid="{00000000-0005-0000-0000-0000782B0000}"/>
    <cellStyle name="20% - Accent4 4 2 2 4 3 2 2" xfId="22390" xr:uid="{00000000-0005-0000-0000-0000792B0000}"/>
    <cellStyle name="20% - Accent4 4 2 2 4 3 2 2 2" xfId="44992" xr:uid="{00000000-0005-0000-0000-00007A2B0000}"/>
    <cellStyle name="20% - Accent4 4 2 2 4 3 2 3" xfId="33691" xr:uid="{00000000-0005-0000-0000-00007B2B0000}"/>
    <cellStyle name="20% - Accent4 4 2 2 4 3 3" xfId="16740" xr:uid="{00000000-0005-0000-0000-00007C2B0000}"/>
    <cellStyle name="20% - Accent4 4 2 2 4 3 3 2" xfId="39342" xr:uid="{00000000-0005-0000-0000-00007D2B0000}"/>
    <cellStyle name="20% - Accent4 4 2 2 4 3 4" xfId="28041" xr:uid="{00000000-0005-0000-0000-00007E2B0000}"/>
    <cellStyle name="20% - Accent4 4 2 2 4 4" xfId="7546" xr:uid="{00000000-0005-0000-0000-00007F2B0000}"/>
    <cellStyle name="20% - Accent4 4 2 2 4 4 2" xfId="18847" xr:uid="{00000000-0005-0000-0000-0000802B0000}"/>
    <cellStyle name="20% - Accent4 4 2 2 4 4 2 2" xfId="41449" xr:uid="{00000000-0005-0000-0000-0000812B0000}"/>
    <cellStyle name="20% - Accent4 4 2 2 4 4 3" xfId="30148" xr:uid="{00000000-0005-0000-0000-0000822B0000}"/>
    <cellStyle name="20% - Accent4 4 2 2 4 5" xfId="13197" xr:uid="{00000000-0005-0000-0000-0000832B0000}"/>
    <cellStyle name="20% - Accent4 4 2 2 4 5 2" xfId="35799" xr:uid="{00000000-0005-0000-0000-0000842B0000}"/>
    <cellStyle name="20% - Accent4 4 2 2 4 6" xfId="24498" xr:uid="{00000000-0005-0000-0000-0000852B0000}"/>
    <cellStyle name="20% - Accent4 4 2 2 5" xfId="2420" xr:uid="{00000000-0005-0000-0000-0000862B0000}"/>
    <cellStyle name="20% - Accent4 4 2 2 5 2" xfId="8256" xr:uid="{00000000-0005-0000-0000-0000872B0000}"/>
    <cellStyle name="20% - Accent4 4 2 2 5 2 2" xfId="19557" xr:uid="{00000000-0005-0000-0000-0000882B0000}"/>
    <cellStyle name="20% - Accent4 4 2 2 5 2 2 2" xfId="42159" xr:uid="{00000000-0005-0000-0000-0000892B0000}"/>
    <cellStyle name="20% - Accent4 4 2 2 5 2 3" xfId="30858" xr:uid="{00000000-0005-0000-0000-00008A2B0000}"/>
    <cellStyle name="20% - Accent4 4 2 2 5 3" xfId="13907" xr:uid="{00000000-0005-0000-0000-00008B2B0000}"/>
    <cellStyle name="20% - Accent4 4 2 2 5 3 2" xfId="36509" xr:uid="{00000000-0005-0000-0000-00008C2B0000}"/>
    <cellStyle name="20% - Accent4 4 2 2 5 4" xfId="25208" xr:uid="{00000000-0005-0000-0000-00008D2B0000}"/>
    <cellStyle name="20% - Accent4 4 2 2 6" xfId="4205" xr:uid="{00000000-0005-0000-0000-00008E2B0000}"/>
    <cellStyle name="20% - Accent4 4 2 2 6 2" xfId="9855" xr:uid="{00000000-0005-0000-0000-00008F2B0000}"/>
    <cellStyle name="20% - Accent4 4 2 2 6 2 2" xfId="21156" xr:uid="{00000000-0005-0000-0000-0000902B0000}"/>
    <cellStyle name="20% - Accent4 4 2 2 6 2 2 2" xfId="43758" xr:uid="{00000000-0005-0000-0000-0000912B0000}"/>
    <cellStyle name="20% - Accent4 4 2 2 6 2 3" xfId="32457" xr:uid="{00000000-0005-0000-0000-0000922B0000}"/>
    <cellStyle name="20% - Accent4 4 2 2 6 3" xfId="15506" xr:uid="{00000000-0005-0000-0000-0000932B0000}"/>
    <cellStyle name="20% - Accent4 4 2 2 6 3 2" xfId="38108" xr:uid="{00000000-0005-0000-0000-0000942B0000}"/>
    <cellStyle name="20% - Accent4 4 2 2 6 4" xfId="26807" xr:uid="{00000000-0005-0000-0000-0000952B0000}"/>
    <cellStyle name="20% - Accent4 4 2 2 7" xfId="6685" xr:uid="{00000000-0005-0000-0000-0000962B0000}"/>
    <cellStyle name="20% - Accent4 4 2 2 7 2" xfId="17986" xr:uid="{00000000-0005-0000-0000-0000972B0000}"/>
    <cellStyle name="20% - Accent4 4 2 2 7 2 2" xfId="40588" xr:uid="{00000000-0005-0000-0000-0000982B0000}"/>
    <cellStyle name="20% - Accent4 4 2 2 7 3" xfId="29287" xr:uid="{00000000-0005-0000-0000-0000992B0000}"/>
    <cellStyle name="20% - Accent4 4 2 2 8" xfId="12336" xr:uid="{00000000-0005-0000-0000-00009A2B0000}"/>
    <cellStyle name="20% - Accent4 4 2 2 8 2" xfId="34938" xr:uid="{00000000-0005-0000-0000-00009B2B0000}"/>
    <cellStyle name="20% - Accent4 4 2 2 9" xfId="23637" xr:uid="{00000000-0005-0000-0000-00009C2B0000}"/>
    <cellStyle name="20% - Accent4 4 2 3" xfId="1192" xr:uid="{00000000-0005-0000-0000-00009D2B0000}"/>
    <cellStyle name="20% - Accent4 4 2 3 2" xfId="1692" xr:uid="{00000000-0005-0000-0000-00009E2B0000}"/>
    <cellStyle name="20% - Accent4 4 2 3 2 2" xfId="3260" xr:uid="{00000000-0005-0000-0000-00009F2B0000}"/>
    <cellStyle name="20% - Accent4 4 2 3 2 2 2" xfId="6232" xr:uid="{00000000-0005-0000-0000-0000A02B0000}"/>
    <cellStyle name="20% - Accent4 4 2 3 2 2 2 2" xfId="11882" xr:uid="{00000000-0005-0000-0000-0000A12B0000}"/>
    <cellStyle name="20% - Accent4 4 2 3 2 2 2 2 2" xfId="23183" xr:uid="{00000000-0005-0000-0000-0000A22B0000}"/>
    <cellStyle name="20% - Accent4 4 2 3 2 2 2 2 2 2" xfId="45785" xr:uid="{00000000-0005-0000-0000-0000A32B0000}"/>
    <cellStyle name="20% - Accent4 4 2 3 2 2 2 2 3" xfId="34484" xr:uid="{00000000-0005-0000-0000-0000A42B0000}"/>
    <cellStyle name="20% - Accent4 4 2 3 2 2 2 3" xfId="17533" xr:uid="{00000000-0005-0000-0000-0000A52B0000}"/>
    <cellStyle name="20% - Accent4 4 2 3 2 2 2 3 2" xfId="40135" xr:uid="{00000000-0005-0000-0000-0000A62B0000}"/>
    <cellStyle name="20% - Accent4 4 2 3 2 2 2 4" xfId="28834" xr:uid="{00000000-0005-0000-0000-0000A72B0000}"/>
    <cellStyle name="20% - Accent4 4 2 3 2 2 3" xfId="9050" xr:uid="{00000000-0005-0000-0000-0000A82B0000}"/>
    <cellStyle name="20% - Accent4 4 2 3 2 2 3 2" xfId="20351" xr:uid="{00000000-0005-0000-0000-0000A92B0000}"/>
    <cellStyle name="20% - Accent4 4 2 3 2 2 3 2 2" xfId="42953" xr:uid="{00000000-0005-0000-0000-0000AA2B0000}"/>
    <cellStyle name="20% - Accent4 4 2 3 2 2 3 3" xfId="31652" xr:uid="{00000000-0005-0000-0000-0000AB2B0000}"/>
    <cellStyle name="20% - Accent4 4 2 3 2 2 4" xfId="14701" xr:uid="{00000000-0005-0000-0000-0000AC2B0000}"/>
    <cellStyle name="20% - Accent4 4 2 3 2 2 4 2" xfId="37303" xr:uid="{00000000-0005-0000-0000-0000AD2B0000}"/>
    <cellStyle name="20% - Accent4 4 2 3 2 2 5" xfId="26002" xr:uid="{00000000-0005-0000-0000-0000AE2B0000}"/>
    <cellStyle name="20% - Accent4 4 2 3 2 3" xfId="4998" xr:uid="{00000000-0005-0000-0000-0000AF2B0000}"/>
    <cellStyle name="20% - Accent4 4 2 3 2 3 2" xfId="10648" xr:uid="{00000000-0005-0000-0000-0000B02B0000}"/>
    <cellStyle name="20% - Accent4 4 2 3 2 3 2 2" xfId="21949" xr:uid="{00000000-0005-0000-0000-0000B12B0000}"/>
    <cellStyle name="20% - Accent4 4 2 3 2 3 2 2 2" xfId="44551" xr:uid="{00000000-0005-0000-0000-0000B22B0000}"/>
    <cellStyle name="20% - Accent4 4 2 3 2 3 2 3" xfId="33250" xr:uid="{00000000-0005-0000-0000-0000B32B0000}"/>
    <cellStyle name="20% - Accent4 4 2 3 2 3 3" xfId="16299" xr:uid="{00000000-0005-0000-0000-0000B42B0000}"/>
    <cellStyle name="20% - Accent4 4 2 3 2 3 3 2" xfId="38901" xr:uid="{00000000-0005-0000-0000-0000B52B0000}"/>
    <cellStyle name="20% - Accent4 4 2 3 2 3 4" xfId="27600" xr:uid="{00000000-0005-0000-0000-0000B62B0000}"/>
    <cellStyle name="20% - Accent4 4 2 3 2 4" xfId="7548" xr:uid="{00000000-0005-0000-0000-0000B72B0000}"/>
    <cellStyle name="20% - Accent4 4 2 3 2 4 2" xfId="18849" xr:uid="{00000000-0005-0000-0000-0000B82B0000}"/>
    <cellStyle name="20% - Accent4 4 2 3 2 4 2 2" xfId="41451" xr:uid="{00000000-0005-0000-0000-0000B92B0000}"/>
    <cellStyle name="20% - Accent4 4 2 3 2 4 3" xfId="30150" xr:uid="{00000000-0005-0000-0000-0000BA2B0000}"/>
    <cellStyle name="20% - Accent4 4 2 3 2 5" xfId="13199" xr:uid="{00000000-0005-0000-0000-0000BB2B0000}"/>
    <cellStyle name="20% - Accent4 4 2 3 2 5 2" xfId="35801" xr:uid="{00000000-0005-0000-0000-0000BC2B0000}"/>
    <cellStyle name="20% - Accent4 4 2 3 2 6" xfId="24500" xr:uid="{00000000-0005-0000-0000-0000BD2B0000}"/>
    <cellStyle name="20% - Accent4 4 2 3 3" xfId="2589" xr:uid="{00000000-0005-0000-0000-0000BE2B0000}"/>
    <cellStyle name="20% - Accent4 4 2 3 3 2" xfId="5608" xr:uid="{00000000-0005-0000-0000-0000BF2B0000}"/>
    <cellStyle name="20% - Accent4 4 2 3 3 2 2" xfId="11258" xr:uid="{00000000-0005-0000-0000-0000C02B0000}"/>
    <cellStyle name="20% - Accent4 4 2 3 3 2 2 2" xfId="22559" xr:uid="{00000000-0005-0000-0000-0000C12B0000}"/>
    <cellStyle name="20% - Accent4 4 2 3 3 2 2 2 2" xfId="45161" xr:uid="{00000000-0005-0000-0000-0000C22B0000}"/>
    <cellStyle name="20% - Accent4 4 2 3 3 2 2 3" xfId="33860" xr:uid="{00000000-0005-0000-0000-0000C32B0000}"/>
    <cellStyle name="20% - Accent4 4 2 3 3 2 3" xfId="16909" xr:uid="{00000000-0005-0000-0000-0000C42B0000}"/>
    <cellStyle name="20% - Accent4 4 2 3 3 2 3 2" xfId="39511" xr:uid="{00000000-0005-0000-0000-0000C52B0000}"/>
    <cellStyle name="20% - Accent4 4 2 3 3 2 4" xfId="28210" xr:uid="{00000000-0005-0000-0000-0000C62B0000}"/>
    <cellStyle name="20% - Accent4 4 2 3 3 3" xfId="8425" xr:uid="{00000000-0005-0000-0000-0000C72B0000}"/>
    <cellStyle name="20% - Accent4 4 2 3 3 3 2" xfId="19726" xr:uid="{00000000-0005-0000-0000-0000C82B0000}"/>
    <cellStyle name="20% - Accent4 4 2 3 3 3 2 2" xfId="42328" xr:uid="{00000000-0005-0000-0000-0000C92B0000}"/>
    <cellStyle name="20% - Accent4 4 2 3 3 3 3" xfId="31027" xr:uid="{00000000-0005-0000-0000-0000CA2B0000}"/>
    <cellStyle name="20% - Accent4 4 2 3 3 4" xfId="14076" xr:uid="{00000000-0005-0000-0000-0000CB2B0000}"/>
    <cellStyle name="20% - Accent4 4 2 3 3 4 2" xfId="36678" xr:uid="{00000000-0005-0000-0000-0000CC2B0000}"/>
    <cellStyle name="20% - Accent4 4 2 3 3 5" xfId="25377" xr:uid="{00000000-0005-0000-0000-0000CD2B0000}"/>
    <cellStyle name="20% - Accent4 4 2 3 4" xfId="4374" xr:uid="{00000000-0005-0000-0000-0000CE2B0000}"/>
    <cellStyle name="20% - Accent4 4 2 3 4 2" xfId="10024" xr:uid="{00000000-0005-0000-0000-0000CF2B0000}"/>
    <cellStyle name="20% - Accent4 4 2 3 4 2 2" xfId="21325" xr:uid="{00000000-0005-0000-0000-0000D02B0000}"/>
    <cellStyle name="20% - Accent4 4 2 3 4 2 2 2" xfId="43927" xr:uid="{00000000-0005-0000-0000-0000D12B0000}"/>
    <cellStyle name="20% - Accent4 4 2 3 4 2 3" xfId="32626" xr:uid="{00000000-0005-0000-0000-0000D22B0000}"/>
    <cellStyle name="20% - Accent4 4 2 3 4 3" xfId="15675" xr:uid="{00000000-0005-0000-0000-0000D32B0000}"/>
    <cellStyle name="20% - Accent4 4 2 3 4 3 2" xfId="38277" xr:uid="{00000000-0005-0000-0000-0000D42B0000}"/>
    <cellStyle name="20% - Accent4 4 2 3 4 4" xfId="26976" xr:uid="{00000000-0005-0000-0000-0000D52B0000}"/>
    <cellStyle name="20% - Accent4 4 2 3 5" xfId="7171" xr:uid="{00000000-0005-0000-0000-0000D62B0000}"/>
    <cellStyle name="20% - Accent4 4 2 3 5 2" xfId="18472" xr:uid="{00000000-0005-0000-0000-0000D72B0000}"/>
    <cellStyle name="20% - Accent4 4 2 3 5 2 2" xfId="41074" xr:uid="{00000000-0005-0000-0000-0000D82B0000}"/>
    <cellStyle name="20% - Accent4 4 2 3 5 3" xfId="29773" xr:uid="{00000000-0005-0000-0000-0000D92B0000}"/>
    <cellStyle name="20% - Accent4 4 2 3 6" xfId="12822" xr:uid="{00000000-0005-0000-0000-0000DA2B0000}"/>
    <cellStyle name="20% - Accent4 4 2 3 6 2" xfId="35424" xr:uid="{00000000-0005-0000-0000-0000DB2B0000}"/>
    <cellStyle name="20% - Accent4 4 2 3 7" xfId="24123" xr:uid="{00000000-0005-0000-0000-0000DC2B0000}"/>
    <cellStyle name="20% - Accent4 4 2 4" xfId="882" xr:uid="{00000000-0005-0000-0000-0000DD2B0000}"/>
    <cellStyle name="20% - Accent4 4 2 4 2" xfId="2953" xr:uid="{00000000-0005-0000-0000-0000DE2B0000}"/>
    <cellStyle name="20% - Accent4 4 2 4 2 2" xfId="5925" xr:uid="{00000000-0005-0000-0000-0000DF2B0000}"/>
    <cellStyle name="20% - Accent4 4 2 4 2 2 2" xfId="11575" xr:uid="{00000000-0005-0000-0000-0000E02B0000}"/>
    <cellStyle name="20% - Accent4 4 2 4 2 2 2 2" xfId="22876" xr:uid="{00000000-0005-0000-0000-0000E12B0000}"/>
    <cellStyle name="20% - Accent4 4 2 4 2 2 2 2 2" xfId="45478" xr:uid="{00000000-0005-0000-0000-0000E22B0000}"/>
    <cellStyle name="20% - Accent4 4 2 4 2 2 2 3" xfId="34177" xr:uid="{00000000-0005-0000-0000-0000E32B0000}"/>
    <cellStyle name="20% - Accent4 4 2 4 2 2 3" xfId="17226" xr:uid="{00000000-0005-0000-0000-0000E42B0000}"/>
    <cellStyle name="20% - Accent4 4 2 4 2 2 3 2" xfId="39828" xr:uid="{00000000-0005-0000-0000-0000E52B0000}"/>
    <cellStyle name="20% - Accent4 4 2 4 2 2 4" xfId="28527" xr:uid="{00000000-0005-0000-0000-0000E62B0000}"/>
    <cellStyle name="20% - Accent4 4 2 4 2 3" xfId="8743" xr:uid="{00000000-0005-0000-0000-0000E72B0000}"/>
    <cellStyle name="20% - Accent4 4 2 4 2 3 2" xfId="20044" xr:uid="{00000000-0005-0000-0000-0000E82B0000}"/>
    <cellStyle name="20% - Accent4 4 2 4 2 3 2 2" xfId="42646" xr:uid="{00000000-0005-0000-0000-0000E92B0000}"/>
    <cellStyle name="20% - Accent4 4 2 4 2 3 3" xfId="31345" xr:uid="{00000000-0005-0000-0000-0000EA2B0000}"/>
    <cellStyle name="20% - Accent4 4 2 4 2 4" xfId="14394" xr:uid="{00000000-0005-0000-0000-0000EB2B0000}"/>
    <cellStyle name="20% - Accent4 4 2 4 2 4 2" xfId="36996" xr:uid="{00000000-0005-0000-0000-0000EC2B0000}"/>
    <cellStyle name="20% - Accent4 4 2 4 2 5" xfId="25695" xr:uid="{00000000-0005-0000-0000-0000ED2B0000}"/>
    <cellStyle name="20% - Accent4 4 2 4 3" xfId="4691" xr:uid="{00000000-0005-0000-0000-0000EE2B0000}"/>
    <cellStyle name="20% - Accent4 4 2 4 3 2" xfId="10341" xr:uid="{00000000-0005-0000-0000-0000EF2B0000}"/>
    <cellStyle name="20% - Accent4 4 2 4 3 2 2" xfId="21642" xr:uid="{00000000-0005-0000-0000-0000F02B0000}"/>
    <cellStyle name="20% - Accent4 4 2 4 3 2 2 2" xfId="44244" xr:uid="{00000000-0005-0000-0000-0000F12B0000}"/>
    <cellStyle name="20% - Accent4 4 2 4 3 2 3" xfId="32943" xr:uid="{00000000-0005-0000-0000-0000F22B0000}"/>
    <cellStyle name="20% - Accent4 4 2 4 3 3" xfId="15992" xr:uid="{00000000-0005-0000-0000-0000F32B0000}"/>
    <cellStyle name="20% - Accent4 4 2 4 3 3 2" xfId="38594" xr:uid="{00000000-0005-0000-0000-0000F42B0000}"/>
    <cellStyle name="20% - Accent4 4 2 4 3 4" xfId="27293" xr:uid="{00000000-0005-0000-0000-0000F52B0000}"/>
    <cellStyle name="20% - Accent4 4 2 4 4" xfId="6878" xr:uid="{00000000-0005-0000-0000-0000F62B0000}"/>
    <cellStyle name="20% - Accent4 4 2 4 4 2" xfId="18179" xr:uid="{00000000-0005-0000-0000-0000F72B0000}"/>
    <cellStyle name="20% - Accent4 4 2 4 4 2 2" xfId="40781" xr:uid="{00000000-0005-0000-0000-0000F82B0000}"/>
    <cellStyle name="20% - Accent4 4 2 4 4 3" xfId="29480" xr:uid="{00000000-0005-0000-0000-0000F92B0000}"/>
    <cellStyle name="20% - Accent4 4 2 4 5" xfId="12529" xr:uid="{00000000-0005-0000-0000-0000FA2B0000}"/>
    <cellStyle name="20% - Accent4 4 2 4 5 2" xfId="35131" xr:uid="{00000000-0005-0000-0000-0000FB2B0000}"/>
    <cellStyle name="20% - Accent4 4 2 4 6" xfId="23830" xr:uid="{00000000-0005-0000-0000-0000FC2B0000}"/>
    <cellStyle name="20% - Accent4 4 2 5" xfId="1689" xr:uid="{00000000-0005-0000-0000-0000FD2B0000}"/>
    <cellStyle name="20% - Accent4 4 2 5 2" xfId="3639" xr:uid="{00000000-0005-0000-0000-0000FE2B0000}"/>
    <cellStyle name="20% - Accent4 4 2 5 2 2" xfId="9351" xr:uid="{00000000-0005-0000-0000-0000FF2B0000}"/>
    <cellStyle name="20% - Accent4 4 2 5 2 2 2" xfId="20652" xr:uid="{00000000-0005-0000-0000-0000002C0000}"/>
    <cellStyle name="20% - Accent4 4 2 5 2 2 2 2" xfId="43254" xr:uid="{00000000-0005-0000-0000-0000012C0000}"/>
    <cellStyle name="20% - Accent4 4 2 5 2 2 3" xfId="31953" xr:uid="{00000000-0005-0000-0000-0000022C0000}"/>
    <cellStyle name="20% - Accent4 4 2 5 2 3" xfId="15002" xr:uid="{00000000-0005-0000-0000-0000032C0000}"/>
    <cellStyle name="20% - Accent4 4 2 5 2 3 2" xfId="37604" xr:uid="{00000000-0005-0000-0000-0000042C0000}"/>
    <cellStyle name="20% - Accent4 4 2 5 2 4" xfId="26303" xr:uid="{00000000-0005-0000-0000-0000052C0000}"/>
    <cellStyle name="20% - Accent4 4 2 5 3" xfId="5301" xr:uid="{00000000-0005-0000-0000-0000062C0000}"/>
    <cellStyle name="20% - Accent4 4 2 5 3 2" xfId="10951" xr:uid="{00000000-0005-0000-0000-0000072C0000}"/>
    <cellStyle name="20% - Accent4 4 2 5 3 2 2" xfId="22252" xr:uid="{00000000-0005-0000-0000-0000082C0000}"/>
    <cellStyle name="20% - Accent4 4 2 5 3 2 2 2" xfId="44854" xr:uid="{00000000-0005-0000-0000-0000092C0000}"/>
    <cellStyle name="20% - Accent4 4 2 5 3 2 3" xfId="33553" xr:uid="{00000000-0005-0000-0000-00000A2C0000}"/>
    <cellStyle name="20% - Accent4 4 2 5 3 3" xfId="16602" xr:uid="{00000000-0005-0000-0000-00000B2C0000}"/>
    <cellStyle name="20% - Accent4 4 2 5 3 3 2" xfId="39204" xr:uid="{00000000-0005-0000-0000-00000C2C0000}"/>
    <cellStyle name="20% - Accent4 4 2 5 3 4" xfId="27903" xr:uid="{00000000-0005-0000-0000-00000D2C0000}"/>
    <cellStyle name="20% - Accent4 4 2 5 4" xfId="7545" xr:uid="{00000000-0005-0000-0000-00000E2C0000}"/>
    <cellStyle name="20% - Accent4 4 2 5 4 2" xfId="18846" xr:uid="{00000000-0005-0000-0000-00000F2C0000}"/>
    <cellStyle name="20% - Accent4 4 2 5 4 2 2" xfId="41448" xr:uid="{00000000-0005-0000-0000-0000102C0000}"/>
    <cellStyle name="20% - Accent4 4 2 5 4 3" xfId="30147" xr:uid="{00000000-0005-0000-0000-0000112C0000}"/>
    <cellStyle name="20% - Accent4 4 2 5 5" xfId="13196" xr:uid="{00000000-0005-0000-0000-0000122C0000}"/>
    <cellStyle name="20% - Accent4 4 2 5 5 2" xfId="35798" xr:uid="{00000000-0005-0000-0000-0000132C0000}"/>
    <cellStyle name="20% - Accent4 4 2 5 6" xfId="24497" xr:uid="{00000000-0005-0000-0000-0000142C0000}"/>
    <cellStyle name="20% - Accent4 4 2 6" xfId="2280" xr:uid="{00000000-0005-0000-0000-0000152C0000}"/>
    <cellStyle name="20% - Accent4 4 2 6 2" xfId="8116" xr:uid="{00000000-0005-0000-0000-0000162C0000}"/>
    <cellStyle name="20% - Accent4 4 2 6 2 2" xfId="19417" xr:uid="{00000000-0005-0000-0000-0000172C0000}"/>
    <cellStyle name="20% - Accent4 4 2 6 2 2 2" xfId="42019" xr:uid="{00000000-0005-0000-0000-0000182C0000}"/>
    <cellStyle name="20% - Accent4 4 2 6 2 3" xfId="30718" xr:uid="{00000000-0005-0000-0000-0000192C0000}"/>
    <cellStyle name="20% - Accent4 4 2 6 3" xfId="13767" xr:uid="{00000000-0005-0000-0000-00001A2C0000}"/>
    <cellStyle name="20% - Accent4 4 2 6 3 2" xfId="36369" xr:uid="{00000000-0005-0000-0000-00001B2C0000}"/>
    <cellStyle name="20% - Accent4 4 2 6 4" xfId="25068" xr:uid="{00000000-0005-0000-0000-00001C2C0000}"/>
    <cellStyle name="20% - Accent4 4 2 7" xfId="4067" xr:uid="{00000000-0005-0000-0000-00001D2C0000}"/>
    <cellStyle name="20% - Accent4 4 2 7 2" xfId="9717" xr:uid="{00000000-0005-0000-0000-00001E2C0000}"/>
    <cellStyle name="20% - Accent4 4 2 7 2 2" xfId="21018" xr:uid="{00000000-0005-0000-0000-00001F2C0000}"/>
    <cellStyle name="20% - Accent4 4 2 7 2 2 2" xfId="43620" xr:uid="{00000000-0005-0000-0000-0000202C0000}"/>
    <cellStyle name="20% - Accent4 4 2 7 2 3" xfId="32319" xr:uid="{00000000-0005-0000-0000-0000212C0000}"/>
    <cellStyle name="20% - Accent4 4 2 7 3" xfId="15368" xr:uid="{00000000-0005-0000-0000-0000222C0000}"/>
    <cellStyle name="20% - Accent4 4 2 7 3 2" xfId="37970" xr:uid="{00000000-0005-0000-0000-0000232C0000}"/>
    <cellStyle name="20% - Accent4 4 2 7 4" xfId="26669" xr:uid="{00000000-0005-0000-0000-0000242C0000}"/>
    <cellStyle name="20% - Accent4 4 2 8" xfId="6518" xr:uid="{00000000-0005-0000-0000-0000252C0000}"/>
    <cellStyle name="20% - Accent4 4 2 8 2" xfId="17819" xr:uid="{00000000-0005-0000-0000-0000262C0000}"/>
    <cellStyle name="20% - Accent4 4 2 8 2 2" xfId="40421" xr:uid="{00000000-0005-0000-0000-0000272C0000}"/>
    <cellStyle name="20% - Accent4 4 2 8 3" xfId="29120" xr:uid="{00000000-0005-0000-0000-0000282C0000}"/>
    <cellStyle name="20% - Accent4 4 2 9" xfId="12169" xr:uid="{00000000-0005-0000-0000-0000292C0000}"/>
    <cellStyle name="20% - Accent4 4 2 9 2" xfId="34771" xr:uid="{00000000-0005-0000-0000-00002A2C0000}"/>
    <cellStyle name="20% - Accent4 4 3" xfId="424" xr:uid="{00000000-0005-0000-0000-00002B2C0000}"/>
    <cellStyle name="20% - Accent4 4 3 10" xfId="23519" xr:uid="{00000000-0005-0000-0000-00002C2C0000}"/>
    <cellStyle name="20% - Accent4 4 3 2" xfId="669" xr:uid="{00000000-0005-0000-0000-00002D2C0000}"/>
    <cellStyle name="20% - Accent4 4 3 2 2" xfId="1379" xr:uid="{00000000-0005-0000-0000-00002E2C0000}"/>
    <cellStyle name="20% - Accent4 4 3 2 2 2" xfId="1695" xr:uid="{00000000-0005-0000-0000-00002F2C0000}"/>
    <cellStyle name="20% - Accent4 4 3 2 2 2 2" xfId="3448" xr:uid="{00000000-0005-0000-0000-0000302C0000}"/>
    <cellStyle name="20% - Accent4 4 3 2 2 2 2 2" xfId="6420" xr:uid="{00000000-0005-0000-0000-0000312C0000}"/>
    <cellStyle name="20% - Accent4 4 3 2 2 2 2 2 2" xfId="12070" xr:uid="{00000000-0005-0000-0000-0000322C0000}"/>
    <cellStyle name="20% - Accent4 4 3 2 2 2 2 2 2 2" xfId="23371" xr:uid="{00000000-0005-0000-0000-0000332C0000}"/>
    <cellStyle name="20% - Accent4 4 3 2 2 2 2 2 2 2 2" xfId="45973" xr:uid="{00000000-0005-0000-0000-0000342C0000}"/>
    <cellStyle name="20% - Accent4 4 3 2 2 2 2 2 2 3" xfId="34672" xr:uid="{00000000-0005-0000-0000-0000352C0000}"/>
    <cellStyle name="20% - Accent4 4 3 2 2 2 2 2 3" xfId="17721" xr:uid="{00000000-0005-0000-0000-0000362C0000}"/>
    <cellStyle name="20% - Accent4 4 3 2 2 2 2 2 3 2" xfId="40323" xr:uid="{00000000-0005-0000-0000-0000372C0000}"/>
    <cellStyle name="20% - Accent4 4 3 2 2 2 2 2 4" xfId="29022" xr:uid="{00000000-0005-0000-0000-0000382C0000}"/>
    <cellStyle name="20% - Accent4 4 3 2 2 2 2 3" xfId="9238" xr:uid="{00000000-0005-0000-0000-0000392C0000}"/>
    <cellStyle name="20% - Accent4 4 3 2 2 2 2 3 2" xfId="20539" xr:uid="{00000000-0005-0000-0000-00003A2C0000}"/>
    <cellStyle name="20% - Accent4 4 3 2 2 2 2 3 2 2" xfId="43141" xr:uid="{00000000-0005-0000-0000-00003B2C0000}"/>
    <cellStyle name="20% - Accent4 4 3 2 2 2 2 3 3" xfId="31840" xr:uid="{00000000-0005-0000-0000-00003C2C0000}"/>
    <cellStyle name="20% - Accent4 4 3 2 2 2 2 4" xfId="14889" xr:uid="{00000000-0005-0000-0000-00003D2C0000}"/>
    <cellStyle name="20% - Accent4 4 3 2 2 2 2 4 2" xfId="37491" xr:uid="{00000000-0005-0000-0000-00003E2C0000}"/>
    <cellStyle name="20% - Accent4 4 3 2 2 2 2 5" xfId="26190" xr:uid="{00000000-0005-0000-0000-00003F2C0000}"/>
    <cellStyle name="20% - Accent4 4 3 2 2 2 3" xfId="5186" xr:uid="{00000000-0005-0000-0000-0000402C0000}"/>
    <cellStyle name="20% - Accent4 4 3 2 2 2 3 2" xfId="10836" xr:uid="{00000000-0005-0000-0000-0000412C0000}"/>
    <cellStyle name="20% - Accent4 4 3 2 2 2 3 2 2" xfId="22137" xr:uid="{00000000-0005-0000-0000-0000422C0000}"/>
    <cellStyle name="20% - Accent4 4 3 2 2 2 3 2 2 2" xfId="44739" xr:uid="{00000000-0005-0000-0000-0000432C0000}"/>
    <cellStyle name="20% - Accent4 4 3 2 2 2 3 2 3" xfId="33438" xr:uid="{00000000-0005-0000-0000-0000442C0000}"/>
    <cellStyle name="20% - Accent4 4 3 2 2 2 3 3" xfId="16487" xr:uid="{00000000-0005-0000-0000-0000452C0000}"/>
    <cellStyle name="20% - Accent4 4 3 2 2 2 3 3 2" xfId="39089" xr:uid="{00000000-0005-0000-0000-0000462C0000}"/>
    <cellStyle name="20% - Accent4 4 3 2 2 2 3 4" xfId="27788" xr:uid="{00000000-0005-0000-0000-0000472C0000}"/>
    <cellStyle name="20% - Accent4 4 3 2 2 2 4" xfId="7551" xr:uid="{00000000-0005-0000-0000-0000482C0000}"/>
    <cellStyle name="20% - Accent4 4 3 2 2 2 4 2" xfId="18852" xr:uid="{00000000-0005-0000-0000-0000492C0000}"/>
    <cellStyle name="20% - Accent4 4 3 2 2 2 4 2 2" xfId="41454" xr:uid="{00000000-0005-0000-0000-00004A2C0000}"/>
    <cellStyle name="20% - Accent4 4 3 2 2 2 4 3" xfId="30153" xr:uid="{00000000-0005-0000-0000-00004B2C0000}"/>
    <cellStyle name="20% - Accent4 4 3 2 2 2 5" xfId="13202" xr:uid="{00000000-0005-0000-0000-00004C2C0000}"/>
    <cellStyle name="20% - Accent4 4 3 2 2 2 5 2" xfId="35804" xr:uid="{00000000-0005-0000-0000-00004D2C0000}"/>
    <cellStyle name="20% - Accent4 4 3 2 2 2 6" xfId="24503" xr:uid="{00000000-0005-0000-0000-00004E2C0000}"/>
    <cellStyle name="20% - Accent4 4 3 2 2 3" xfId="2777" xr:uid="{00000000-0005-0000-0000-00004F2C0000}"/>
    <cellStyle name="20% - Accent4 4 3 2 2 3 2" xfId="5796" xr:uid="{00000000-0005-0000-0000-0000502C0000}"/>
    <cellStyle name="20% - Accent4 4 3 2 2 3 2 2" xfId="11446" xr:uid="{00000000-0005-0000-0000-0000512C0000}"/>
    <cellStyle name="20% - Accent4 4 3 2 2 3 2 2 2" xfId="22747" xr:uid="{00000000-0005-0000-0000-0000522C0000}"/>
    <cellStyle name="20% - Accent4 4 3 2 2 3 2 2 2 2" xfId="45349" xr:uid="{00000000-0005-0000-0000-0000532C0000}"/>
    <cellStyle name="20% - Accent4 4 3 2 2 3 2 2 3" xfId="34048" xr:uid="{00000000-0005-0000-0000-0000542C0000}"/>
    <cellStyle name="20% - Accent4 4 3 2 2 3 2 3" xfId="17097" xr:uid="{00000000-0005-0000-0000-0000552C0000}"/>
    <cellStyle name="20% - Accent4 4 3 2 2 3 2 3 2" xfId="39699" xr:uid="{00000000-0005-0000-0000-0000562C0000}"/>
    <cellStyle name="20% - Accent4 4 3 2 2 3 2 4" xfId="28398" xr:uid="{00000000-0005-0000-0000-0000572C0000}"/>
    <cellStyle name="20% - Accent4 4 3 2 2 3 3" xfId="8613" xr:uid="{00000000-0005-0000-0000-0000582C0000}"/>
    <cellStyle name="20% - Accent4 4 3 2 2 3 3 2" xfId="19914" xr:uid="{00000000-0005-0000-0000-0000592C0000}"/>
    <cellStyle name="20% - Accent4 4 3 2 2 3 3 2 2" xfId="42516" xr:uid="{00000000-0005-0000-0000-00005A2C0000}"/>
    <cellStyle name="20% - Accent4 4 3 2 2 3 3 3" xfId="31215" xr:uid="{00000000-0005-0000-0000-00005B2C0000}"/>
    <cellStyle name="20% - Accent4 4 3 2 2 3 4" xfId="14264" xr:uid="{00000000-0005-0000-0000-00005C2C0000}"/>
    <cellStyle name="20% - Accent4 4 3 2 2 3 4 2" xfId="36866" xr:uid="{00000000-0005-0000-0000-00005D2C0000}"/>
    <cellStyle name="20% - Accent4 4 3 2 2 3 5" xfId="25565" xr:uid="{00000000-0005-0000-0000-00005E2C0000}"/>
    <cellStyle name="20% - Accent4 4 3 2 2 4" xfId="4562" xr:uid="{00000000-0005-0000-0000-00005F2C0000}"/>
    <cellStyle name="20% - Accent4 4 3 2 2 4 2" xfId="10212" xr:uid="{00000000-0005-0000-0000-0000602C0000}"/>
    <cellStyle name="20% - Accent4 4 3 2 2 4 2 2" xfId="21513" xr:uid="{00000000-0005-0000-0000-0000612C0000}"/>
    <cellStyle name="20% - Accent4 4 3 2 2 4 2 2 2" xfId="44115" xr:uid="{00000000-0005-0000-0000-0000622C0000}"/>
    <cellStyle name="20% - Accent4 4 3 2 2 4 2 3" xfId="32814" xr:uid="{00000000-0005-0000-0000-0000632C0000}"/>
    <cellStyle name="20% - Accent4 4 3 2 2 4 3" xfId="15863" xr:uid="{00000000-0005-0000-0000-0000642C0000}"/>
    <cellStyle name="20% - Accent4 4 3 2 2 4 3 2" xfId="38465" xr:uid="{00000000-0005-0000-0000-0000652C0000}"/>
    <cellStyle name="20% - Accent4 4 3 2 2 4 4" xfId="27164" xr:uid="{00000000-0005-0000-0000-0000662C0000}"/>
    <cellStyle name="20% - Accent4 4 3 2 2 5" xfId="7358" xr:uid="{00000000-0005-0000-0000-0000672C0000}"/>
    <cellStyle name="20% - Accent4 4 3 2 2 5 2" xfId="18659" xr:uid="{00000000-0005-0000-0000-0000682C0000}"/>
    <cellStyle name="20% - Accent4 4 3 2 2 5 2 2" xfId="41261" xr:uid="{00000000-0005-0000-0000-0000692C0000}"/>
    <cellStyle name="20% - Accent4 4 3 2 2 5 3" xfId="29960" xr:uid="{00000000-0005-0000-0000-00006A2C0000}"/>
    <cellStyle name="20% - Accent4 4 3 2 2 6" xfId="13009" xr:uid="{00000000-0005-0000-0000-00006B2C0000}"/>
    <cellStyle name="20% - Accent4 4 3 2 2 6 2" xfId="35611" xr:uid="{00000000-0005-0000-0000-00006C2C0000}"/>
    <cellStyle name="20% - Accent4 4 3 2 2 7" xfId="24310" xr:uid="{00000000-0005-0000-0000-00006D2C0000}"/>
    <cellStyle name="20% - Accent4 4 3 2 3" xfId="1077" xr:uid="{00000000-0005-0000-0000-00006E2C0000}"/>
    <cellStyle name="20% - Accent4 4 3 2 3 2" xfId="3140" xr:uid="{00000000-0005-0000-0000-00006F2C0000}"/>
    <cellStyle name="20% - Accent4 4 3 2 3 2 2" xfId="6112" xr:uid="{00000000-0005-0000-0000-0000702C0000}"/>
    <cellStyle name="20% - Accent4 4 3 2 3 2 2 2" xfId="11762" xr:uid="{00000000-0005-0000-0000-0000712C0000}"/>
    <cellStyle name="20% - Accent4 4 3 2 3 2 2 2 2" xfId="23063" xr:uid="{00000000-0005-0000-0000-0000722C0000}"/>
    <cellStyle name="20% - Accent4 4 3 2 3 2 2 2 2 2" xfId="45665" xr:uid="{00000000-0005-0000-0000-0000732C0000}"/>
    <cellStyle name="20% - Accent4 4 3 2 3 2 2 2 3" xfId="34364" xr:uid="{00000000-0005-0000-0000-0000742C0000}"/>
    <cellStyle name="20% - Accent4 4 3 2 3 2 2 3" xfId="17413" xr:uid="{00000000-0005-0000-0000-0000752C0000}"/>
    <cellStyle name="20% - Accent4 4 3 2 3 2 2 3 2" xfId="40015" xr:uid="{00000000-0005-0000-0000-0000762C0000}"/>
    <cellStyle name="20% - Accent4 4 3 2 3 2 2 4" xfId="28714" xr:uid="{00000000-0005-0000-0000-0000772C0000}"/>
    <cellStyle name="20% - Accent4 4 3 2 3 2 3" xfId="8930" xr:uid="{00000000-0005-0000-0000-0000782C0000}"/>
    <cellStyle name="20% - Accent4 4 3 2 3 2 3 2" xfId="20231" xr:uid="{00000000-0005-0000-0000-0000792C0000}"/>
    <cellStyle name="20% - Accent4 4 3 2 3 2 3 2 2" xfId="42833" xr:uid="{00000000-0005-0000-0000-00007A2C0000}"/>
    <cellStyle name="20% - Accent4 4 3 2 3 2 3 3" xfId="31532" xr:uid="{00000000-0005-0000-0000-00007B2C0000}"/>
    <cellStyle name="20% - Accent4 4 3 2 3 2 4" xfId="14581" xr:uid="{00000000-0005-0000-0000-00007C2C0000}"/>
    <cellStyle name="20% - Accent4 4 3 2 3 2 4 2" xfId="37183" xr:uid="{00000000-0005-0000-0000-00007D2C0000}"/>
    <cellStyle name="20% - Accent4 4 3 2 3 2 5" xfId="25882" xr:uid="{00000000-0005-0000-0000-00007E2C0000}"/>
    <cellStyle name="20% - Accent4 4 3 2 3 3" xfId="4878" xr:uid="{00000000-0005-0000-0000-00007F2C0000}"/>
    <cellStyle name="20% - Accent4 4 3 2 3 3 2" xfId="10528" xr:uid="{00000000-0005-0000-0000-0000802C0000}"/>
    <cellStyle name="20% - Accent4 4 3 2 3 3 2 2" xfId="21829" xr:uid="{00000000-0005-0000-0000-0000812C0000}"/>
    <cellStyle name="20% - Accent4 4 3 2 3 3 2 2 2" xfId="44431" xr:uid="{00000000-0005-0000-0000-0000822C0000}"/>
    <cellStyle name="20% - Accent4 4 3 2 3 3 2 3" xfId="33130" xr:uid="{00000000-0005-0000-0000-0000832C0000}"/>
    <cellStyle name="20% - Accent4 4 3 2 3 3 3" xfId="16179" xr:uid="{00000000-0005-0000-0000-0000842C0000}"/>
    <cellStyle name="20% - Accent4 4 3 2 3 3 3 2" xfId="38781" xr:uid="{00000000-0005-0000-0000-0000852C0000}"/>
    <cellStyle name="20% - Accent4 4 3 2 3 3 4" xfId="27480" xr:uid="{00000000-0005-0000-0000-0000862C0000}"/>
    <cellStyle name="20% - Accent4 4 3 2 3 4" xfId="7065" xr:uid="{00000000-0005-0000-0000-0000872C0000}"/>
    <cellStyle name="20% - Accent4 4 3 2 3 4 2" xfId="18366" xr:uid="{00000000-0005-0000-0000-0000882C0000}"/>
    <cellStyle name="20% - Accent4 4 3 2 3 4 2 2" xfId="40968" xr:uid="{00000000-0005-0000-0000-0000892C0000}"/>
    <cellStyle name="20% - Accent4 4 3 2 3 4 3" xfId="29667" xr:uid="{00000000-0005-0000-0000-00008A2C0000}"/>
    <cellStyle name="20% - Accent4 4 3 2 3 5" xfId="12716" xr:uid="{00000000-0005-0000-0000-00008B2C0000}"/>
    <cellStyle name="20% - Accent4 4 3 2 3 5 2" xfId="35318" xr:uid="{00000000-0005-0000-0000-00008C2C0000}"/>
    <cellStyle name="20% - Accent4 4 3 2 3 6" xfId="24017" xr:uid="{00000000-0005-0000-0000-00008D2C0000}"/>
    <cellStyle name="20% - Accent4 4 3 2 4" xfId="1694" xr:uid="{00000000-0005-0000-0000-00008E2C0000}"/>
    <cellStyle name="20% - Accent4 4 3 2 4 2" xfId="3642" xr:uid="{00000000-0005-0000-0000-00008F2C0000}"/>
    <cellStyle name="20% - Accent4 4 3 2 4 2 2" xfId="9354" xr:uid="{00000000-0005-0000-0000-0000902C0000}"/>
    <cellStyle name="20% - Accent4 4 3 2 4 2 2 2" xfId="20655" xr:uid="{00000000-0005-0000-0000-0000912C0000}"/>
    <cellStyle name="20% - Accent4 4 3 2 4 2 2 2 2" xfId="43257" xr:uid="{00000000-0005-0000-0000-0000922C0000}"/>
    <cellStyle name="20% - Accent4 4 3 2 4 2 2 3" xfId="31956" xr:uid="{00000000-0005-0000-0000-0000932C0000}"/>
    <cellStyle name="20% - Accent4 4 3 2 4 2 3" xfId="15005" xr:uid="{00000000-0005-0000-0000-0000942C0000}"/>
    <cellStyle name="20% - Accent4 4 3 2 4 2 3 2" xfId="37607" xr:uid="{00000000-0005-0000-0000-0000952C0000}"/>
    <cellStyle name="20% - Accent4 4 3 2 4 2 4" xfId="26306" xr:uid="{00000000-0005-0000-0000-0000962C0000}"/>
    <cellStyle name="20% - Accent4 4 3 2 4 3" xfId="5488" xr:uid="{00000000-0005-0000-0000-0000972C0000}"/>
    <cellStyle name="20% - Accent4 4 3 2 4 3 2" xfId="11138" xr:uid="{00000000-0005-0000-0000-0000982C0000}"/>
    <cellStyle name="20% - Accent4 4 3 2 4 3 2 2" xfId="22439" xr:uid="{00000000-0005-0000-0000-0000992C0000}"/>
    <cellStyle name="20% - Accent4 4 3 2 4 3 2 2 2" xfId="45041" xr:uid="{00000000-0005-0000-0000-00009A2C0000}"/>
    <cellStyle name="20% - Accent4 4 3 2 4 3 2 3" xfId="33740" xr:uid="{00000000-0005-0000-0000-00009B2C0000}"/>
    <cellStyle name="20% - Accent4 4 3 2 4 3 3" xfId="16789" xr:uid="{00000000-0005-0000-0000-00009C2C0000}"/>
    <cellStyle name="20% - Accent4 4 3 2 4 3 3 2" xfId="39391" xr:uid="{00000000-0005-0000-0000-00009D2C0000}"/>
    <cellStyle name="20% - Accent4 4 3 2 4 3 4" xfId="28090" xr:uid="{00000000-0005-0000-0000-00009E2C0000}"/>
    <cellStyle name="20% - Accent4 4 3 2 4 4" xfId="7550" xr:uid="{00000000-0005-0000-0000-00009F2C0000}"/>
    <cellStyle name="20% - Accent4 4 3 2 4 4 2" xfId="18851" xr:uid="{00000000-0005-0000-0000-0000A02C0000}"/>
    <cellStyle name="20% - Accent4 4 3 2 4 4 2 2" xfId="41453" xr:uid="{00000000-0005-0000-0000-0000A12C0000}"/>
    <cellStyle name="20% - Accent4 4 3 2 4 4 3" xfId="30152" xr:uid="{00000000-0005-0000-0000-0000A22C0000}"/>
    <cellStyle name="20% - Accent4 4 3 2 4 5" xfId="13201" xr:uid="{00000000-0005-0000-0000-0000A32C0000}"/>
    <cellStyle name="20% - Accent4 4 3 2 4 5 2" xfId="35803" xr:uid="{00000000-0005-0000-0000-0000A42C0000}"/>
    <cellStyle name="20% - Accent4 4 3 2 4 6" xfId="24502" xr:uid="{00000000-0005-0000-0000-0000A52C0000}"/>
    <cellStyle name="20% - Accent4 4 3 2 5" xfId="2469" xr:uid="{00000000-0005-0000-0000-0000A62C0000}"/>
    <cellStyle name="20% - Accent4 4 3 2 5 2" xfId="8305" xr:uid="{00000000-0005-0000-0000-0000A72C0000}"/>
    <cellStyle name="20% - Accent4 4 3 2 5 2 2" xfId="19606" xr:uid="{00000000-0005-0000-0000-0000A82C0000}"/>
    <cellStyle name="20% - Accent4 4 3 2 5 2 2 2" xfId="42208" xr:uid="{00000000-0005-0000-0000-0000A92C0000}"/>
    <cellStyle name="20% - Accent4 4 3 2 5 2 3" xfId="30907" xr:uid="{00000000-0005-0000-0000-0000AA2C0000}"/>
    <cellStyle name="20% - Accent4 4 3 2 5 3" xfId="13956" xr:uid="{00000000-0005-0000-0000-0000AB2C0000}"/>
    <cellStyle name="20% - Accent4 4 3 2 5 3 2" xfId="36558" xr:uid="{00000000-0005-0000-0000-0000AC2C0000}"/>
    <cellStyle name="20% - Accent4 4 3 2 5 4" xfId="25257" xr:uid="{00000000-0005-0000-0000-0000AD2C0000}"/>
    <cellStyle name="20% - Accent4 4 3 2 6" xfId="4254" xr:uid="{00000000-0005-0000-0000-0000AE2C0000}"/>
    <cellStyle name="20% - Accent4 4 3 2 6 2" xfId="9904" xr:uid="{00000000-0005-0000-0000-0000AF2C0000}"/>
    <cellStyle name="20% - Accent4 4 3 2 6 2 2" xfId="21205" xr:uid="{00000000-0005-0000-0000-0000B02C0000}"/>
    <cellStyle name="20% - Accent4 4 3 2 6 2 2 2" xfId="43807" xr:uid="{00000000-0005-0000-0000-0000B12C0000}"/>
    <cellStyle name="20% - Accent4 4 3 2 6 2 3" xfId="32506" xr:uid="{00000000-0005-0000-0000-0000B22C0000}"/>
    <cellStyle name="20% - Accent4 4 3 2 6 3" xfId="15555" xr:uid="{00000000-0005-0000-0000-0000B32C0000}"/>
    <cellStyle name="20% - Accent4 4 3 2 6 3 2" xfId="38157" xr:uid="{00000000-0005-0000-0000-0000B42C0000}"/>
    <cellStyle name="20% - Accent4 4 3 2 6 4" xfId="26856" xr:uid="{00000000-0005-0000-0000-0000B52C0000}"/>
    <cellStyle name="20% - Accent4 4 3 2 7" xfId="6734" xr:uid="{00000000-0005-0000-0000-0000B62C0000}"/>
    <cellStyle name="20% - Accent4 4 3 2 7 2" xfId="18035" xr:uid="{00000000-0005-0000-0000-0000B72C0000}"/>
    <cellStyle name="20% - Accent4 4 3 2 7 2 2" xfId="40637" xr:uid="{00000000-0005-0000-0000-0000B82C0000}"/>
    <cellStyle name="20% - Accent4 4 3 2 7 3" xfId="29336" xr:uid="{00000000-0005-0000-0000-0000B92C0000}"/>
    <cellStyle name="20% - Accent4 4 3 2 8" xfId="12385" xr:uid="{00000000-0005-0000-0000-0000BA2C0000}"/>
    <cellStyle name="20% - Accent4 4 3 2 8 2" xfId="34987" xr:uid="{00000000-0005-0000-0000-0000BB2C0000}"/>
    <cellStyle name="20% - Accent4 4 3 2 9" xfId="23686" xr:uid="{00000000-0005-0000-0000-0000BC2C0000}"/>
    <cellStyle name="20% - Accent4 4 3 3" xfId="1241" xr:uid="{00000000-0005-0000-0000-0000BD2C0000}"/>
    <cellStyle name="20% - Accent4 4 3 3 2" xfId="1696" xr:uid="{00000000-0005-0000-0000-0000BE2C0000}"/>
    <cellStyle name="20% - Accent4 4 3 3 2 2" xfId="3309" xr:uid="{00000000-0005-0000-0000-0000BF2C0000}"/>
    <cellStyle name="20% - Accent4 4 3 3 2 2 2" xfId="6281" xr:uid="{00000000-0005-0000-0000-0000C02C0000}"/>
    <cellStyle name="20% - Accent4 4 3 3 2 2 2 2" xfId="11931" xr:uid="{00000000-0005-0000-0000-0000C12C0000}"/>
    <cellStyle name="20% - Accent4 4 3 3 2 2 2 2 2" xfId="23232" xr:uid="{00000000-0005-0000-0000-0000C22C0000}"/>
    <cellStyle name="20% - Accent4 4 3 3 2 2 2 2 2 2" xfId="45834" xr:uid="{00000000-0005-0000-0000-0000C32C0000}"/>
    <cellStyle name="20% - Accent4 4 3 3 2 2 2 2 3" xfId="34533" xr:uid="{00000000-0005-0000-0000-0000C42C0000}"/>
    <cellStyle name="20% - Accent4 4 3 3 2 2 2 3" xfId="17582" xr:uid="{00000000-0005-0000-0000-0000C52C0000}"/>
    <cellStyle name="20% - Accent4 4 3 3 2 2 2 3 2" xfId="40184" xr:uid="{00000000-0005-0000-0000-0000C62C0000}"/>
    <cellStyle name="20% - Accent4 4 3 3 2 2 2 4" xfId="28883" xr:uid="{00000000-0005-0000-0000-0000C72C0000}"/>
    <cellStyle name="20% - Accent4 4 3 3 2 2 3" xfId="9099" xr:uid="{00000000-0005-0000-0000-0000C82C0000}"/>
    <cellStyle name="20% - Accent4 4 3 3 2 2 3 2" xfId="20400" xr:uid="{00000000-0005-0000-0000-0000C92C0000}"/>
    <cellStyle name="20% - Accent4 4 3 3 2 2 3 2 2" xfId="43002" xr:uid="{00000000-0005-0000-0000-0000CA2C0000}"/>
    <cellStyle name="20% - Accent4 4 3 3 2 2 3 3" xfId="31701" xr:uid="{00000000-0005-0000-0000-0000CB2C0000}"/>
    <cellStyle name="20% - Accent4 4 3 3 2 2 4" xfId="14750" xr:uid="{00000000-0005-0000-0000-0000CC2C0000}"/>
    <cellStyle name="20% - Accent4 4 3 3 2 2 4 2" xfId="37352" xr:uid="{00000000-0005-0000-0000-0000CD2C0000}"/>
    <cellStyle name="20% - Accent4 4 3 3 2 2 5" xfId="26051" xr:uid="{00000000-0005-0000-0000-0000CE2C0000}"/>
    <cellStyle name="20% - Accent4 4 3 3 2 3" xfId="5047" xr:uid="{00000000-0005-0000-0000-0000CF2C0000}"/>
    <cellStyle name="20% - Accent4 4 3 3 2 3 2" xfId="10697" xr:uid="{00000000-0005-0000-0000-0000D02C0000}"/>
    <cellStyle name="20% - Accent4 4 3 3 2 3 2 2" xfId="21998" xr:uid="{00000000-0005-0000-0000-0000D12C0000}"/>
    <cellStyle name="20% - Accent4 4 3 3 2 3 2 2 2" xfId="44600" xr:uid="{00000000-0005-0000-0000-0000D22C0000}"/>
    <cellStyle name="20% - Accent4 4 3 3 2 3 2 3" xfId="33299" xr:uid="{00000000-0005-0000-0000-0000D32C0000}"/>
    <cellStyle name="20% - Accent4 4 3 3 2 3 3" xfId="16348" xr:uid="{00000000-0005-0000-0000-0000D42C0000}"/>
    <cellStyle name="20% - Accent4 4 3 3 2 3 3 2" xfId="38950" xr:uid="{00000000-0005-0000-0000-0000D52C0000}"/>
    <cellStyle name="20% - Accent4 4 3 3 2 3 4" xfId="27649" xr:uid="{00000000-0005-0000-0000-0000D62C0000}"/>
    <cellStyle name="20% - Accent4 4 3 3 2 4" xfId="7552" xr:uid="{00000000-0005-0000-0000-0000D72C0000}"/>
    <cellStyle name="20% - Accent4 4 3 3 2 4 2" xfId="18853" xr:uid="{00000000-0005-0000-0000-0000D82C0000}"/>
    <cellStyle name="20% - Accent4 4 3 3 2 4 2 2" xfId="41455" xr:uid="{00000000-0005-0000-0000-0000D92C0000}"/>
    <cellStyle name="20% - Accent4 4 3 3 2 4 3" xfId="30154" xr:uid="{00000000-0005-0000-0000-0000DA2C0000}"/>
    <cellStyle name="20% - Accent4 4 3 3 2 5" xfId="13203" xr:uid="{00000000-0005-0000-0000-0000DB2C0000}"/>
    <cellStyle name="20% - Accent4 4 3 3 2 5 2" xfId="35805" xr:uid="{00000000-0005-0000-0000-0000DC2C0000}"/>
    <cellStyle name="20% - Accent4 4 3 3 2 6" xfId="24504" xr:uid="{00000000-0005-0000-0000-0000DD2C0000}"/>
    <cellStyle name="20% - Accent4 4 3 3 3" xfId="2638" xr:uid="{00000000-0005-0000-0000-0000DE2C0000}"/>
    <cellStyle name="20% - Accent4 4 3 3 3 2" xfId="5657" xr:uid="{00000000-0005-0000-0000-0000DF2C0000}"/>
    <cellStyle name="20% - Accent4 4 3 3 3 2 2" xfId="11307" xr:uid="{00000000-0005-0000-0000-0000E02C0000}"/>
    <cellStyle name="20% - Accent4 4 3 3 3 2 2 2" xfId="22608" xr:uid="{00000000-0005-0000-0000-0000E12C0000}"/>
    <cellStyle name="20% - Accent4 4 3 3 3 2 2 2 2" xfId="45210" xr:uid="{00000000-0005-0000-0000-0000E22C0000}"/>
    <cellStyle name="20% - Accent4 4 3 3 3 2 2 3" xfId="33909" xr:uid="{00000000-0005-0000-0000-0000E32C0000}"/>
    <cellStyle name="20% - Accent4 4 3 3 3 2 3" xfId="16958" xr:uid="{00000000-0005-0000-0000-0000E42C0000}"/>
    <cellStyle name="20% - Accent4 4 3 3 3 2 3 2" xfId="39560" xr:uid="{00000000-0005-0000-0000-0000E52C0000}"/>
    <cellStyle name="20% - Accent4 4 3 3 3 2 4" xfId="28259" xr:uid="{00000000-0005-0000-0000-0000E62C0000}"/>
    <cellStyle name="20% - Accent4 4 3 3 3 3" xfId="8474" xr:uid="{00000000-0005-0000-0000-0000E72C0000}"/>
    <cellStyle name="20% - Accent4 4 3 3 3 3 2" xfId="19775" xr:uid="{00000000-0005-0000-0000-0000E82C0000}"/>
    <cellStyle name="20% - Accent4 4 3 3 3 3 2 2" xfId="42377" xr:uid="{00000000-0005-0000-0000-0000E92C0000}"/>
    <cellStyle name="20% - Accent4 4 3 3 3 3 3" xfId="31076" xr:uid="{00000000-0005-0000-0000-0000EA2C0000}"/>
    <cellStyle name="20% - Accent4 4 3 3 3 4" xfId="14125" xr:uid="{00000000-0005-0000-0000-0000EB2C0000}"/>
    <cellStyle name="20% - Accent4 4 3 3 3 4 2" xfId="36727" xr:uid="{00000000-0005-0000-0000-0000EC2C0000}"/>
    <cellStyle name="20% - Accent4 4 3 3 3 5" xfId="25426" xr:uid="{00000000-0005-0000-0000-0000ED2C0000}"/>
    <cellStyle name="20% - Accent4 4 3 3 4" xfId="4423" xr:uid="{00000000-0005-0000-0000-0000EE2C0000}"/>
    <cellStyle name="20% - Accent4 4 3 3 4 2" xfId="10073" xr:uid="{00000000-0005-0000-0000-0000EF2C0000}"/>
    <cellStyle name="20% - Accent4 4 3 3 4 2 2" xfId="21374" xr:uid="{00000000-0005-0000-0000-0000F02C0000}"/>
    <cellStyle name="20% - Accent4 4 3 3 4 2 2 2" xfId="43976" xr:uid="{00000000-0005-0000-0000-0000F12C0000}"/>
    <cellStyle name="20% - Accent4 4 3 3 4 2 3" xfId="32675" xr:uid="{00000000-0005-0000-0000-0000F22C0000}"/>
    <cellStyle name="20% - Accent4 4 3 3 4 3" xfId="15724" xr:uid="{00000000-0005-0000-0000-0000F32C0000}"/>
    <cellStyle name="20% - Accent4 4 3 3 4 3 2" xfId="38326" xr:uid="{00000000-0005-0000-0000-0000F42C0000}"/>
    <cellStyle name="20% - Accent4 4 3 3 4 4" xfId="27025" xr:uid="{00000000-0005-0000-0000-0000F52C0000}"/>
    <cellStyle name="20% - Accent4 4 3 3 5" xfId="7220" xr:uid="{00000000-0005-0000-0000-0000F62C0000}"/>
    <cellStyle name="20% - Accent4 4 3 3 5 2" xfId="18521" xr:uid="{00000000-0005-0000-0000-0000F72C0000}"/>
    <cellStyle name="20% - Accent4 4 3 3 5 2 2" xfId="41123" xr:uid="{00000000-0005-0000-0000-0000F82C0000}"/>
    <cellStyle name="20% - Accent4 4 3 3 5 3" xfId="29822" xr:uid="{00000000-0005-0000-0000-0000F92C0000}"/>
    <cellStyle name="20% - Accent4 4 3 3 6" xfId="12871" xr:uid="{00000000-0005-0000-0000-0000FA2C0000}"/>
    <cellStyle name="20% - Accent4 4 3 3 6 2" xfId="35473" xr:uid="{00000000-0005-0000-0000-0000FB2C0000}"/>
    <cellStyle name="20% - Accent4 4 3 3 7" xfId="24172" xr:uid="{00000000-0005-0000-0000-0000FC2C0000}"/>
    <cellStyle name="20% - Accent4 4 3 4" xfId="932" xr:uid="{00000000-0005-0000-0000-0000FD2C0000}"/>
    <cellStyle name="20% - Accent4 4 3 4 2" xfId="3002" xr:uid="{00000000-0005-0000-0000-0000FE2C0000}"/>
    <cellStyle name="20% - Accent4 4 3 4 2 2" xfId="5974" xr:uid="{00000000-0005-0000-0000-0000FF2C0000}"/>
    <cellStyle name="20% - Accent4 4 3 4 2 2 2" xfId="11624" xr:uid="{00000000-0005-0000-0000-0000002D0000}"/>
    <cellStyle name="20% - Accent4 4 3 4 2 2 2 2" xfId="22925" xr:uid="{00000000-0005-0000-0000-0000012D0000}"/>
    <cellStyle name="20% - Accent4 4 3 4 2 2 2 2 2" xfId="45527" xr:uid="{00000000-0005-0000-0000-0000022D0000}"/>
    <cellStyle name="20% - Accent4 4 3 4 2 2 2 3" xfId="34226" xr:uid="{00000000-0005-0000-0000-0000032D0000}"/>
    <cellStyle name="20% - Accent4 4 3 4 2 2 3" xfId="17275" xr:uid="{00000000-0005-0000-0000-0000042D0000}"/>
    <cellStyle name="20% - Accent4 4 3 4 2 2 3 2" xfId="39877" xr:uid="{00000000-0005-0000-0000-0000052D0000}"/>
    <cellStyle name="20% - Accent4 4 3 4 2 2 4" xfId="28576" xr:uid="{00000000-0005-0000-0000-0000062D0000}"/>
    <cellStyle name="20% - Accent4 4 3 4 2 3" xfId="8792" xr:uid="{00000000-0005-0000-0000-0000072D0000}"/>
    <cellStyle name="20% - Accent4 4 3 4 2 3 2" xfId="20093" xr:uid="{00000000-0005-0000-0000-0000082D0000}"/>
    <cellStyle name="20% - Accent4 4 3 4 2 3 2 2" xfId="42695" xr:uid="{00000000-0005-0000-0000-0000092D0000}"/>
    <cellStyle name="20% - Accent4 4 3 4 2 3 3" xfId="31394" xr:uid="{00000000-0005-0000-0000-00000A2D0000}"/>
    <cellStyle name="20% - Accent4 4 3 4 2 4" xfId="14443" xr:uid="{00000000-0005-0000-0000-00000B2D0000}"/>
    <cellStyle name="20% - Accent4 4 3 4 2 4 2" xfId="37045" xr:uid="{00000000-0005-0000-0000-00000C2D0000}"/>
    <cellStyle name="20% - Accent4 4 3 4 2 5" xfId="25744" xr:uid="{00000000-0005-0000-0000-00000D2D0000}"/>
    <cellStyle name="20% - Accent4 4 3 4 3" xfId="4740" xr:uid="{00000000-0005-0000-0000-00000E2D0000}"/>
    <cellStyle name="20% - Accent4 4 3 4 3 2" xfId="10390" xr:uid="{00000000-0005-0000-0000-00000F2D0000}"/>
    <cellStyle name="20% - Accent4 4 3 4 3 2 2" xfId="21691" xr:uid="{00000000-0005-0000-0000-0000102D0000}"/>
    <cellStyle name="20% - Accent4 4 3 4 3 2 2 2" xfId="44293" xr:uid="{00000000-0005-0000-0000-0000112D0000}"/>
    <cellStyle name="20% - Accent4 4 3 4 3 2 3" xfId="32992" xr:uid="{00000000-0005-0000-0000-0000122D0000}"/>
    <cellStyle name="20% - Accent4 4 3 4 3 3" xfId="16041" xr:uid="{00000000-0005-0000-0000-0000132D0000}"/>
    <cellStyle name="20% - Accent4 4 3 4 3 3 2" xfId="38643" xr:uid="{00000000-0005-0000-0000-0000142D0000}"/>
    <cellStyle name="20% - Accent4 4 3 4 3 4" xfId="27342" xr:uid="{00000000-0005-0000-0000-0000152D0000}"/>
    <cellStyle name="20% - Accent4 4 3 4 4" xfId="6927" xr:uid="{00000000-0005-0000-0000-0000162D0000}"/>
    <cellStyle name="20% - Accent4 4 3 4 4 2" xfId="18228" xr:uid="{00000000-0005-0000-0000-0000172D0000}"/>
    <cellStyle name="20% - Accent4 4 3 4 4 2 2" xfId="40830" xr:uid="{00000000-0005-0000-0000-0000182D0000}"/>
    <cellStyle name="20% - Accent4 4 3 4 4 3" xfId="29529" xr:uid="{00000000-0005-0000-0000-0000192D0000}"/>
    <cellStyle name="20% - Accent4 4 3 4 5" xfId="12578" xr:uid="{00000000-0005-0000-0000-00001A2D0000}"/>
    <cellStyle name="20% - Accent4 4 3 4 5 2" xfId="35180" xr:uid="{00000000-0005-0000-0000-00001B2D0000}"/>
    <cellStyle name="20% - Accent4 4 3 4 6" xfId="23879" xr:uid="{00000000-0005-0000-0000-00001C2D0000}"/>
    <cellStyle name="20% - Accent4 4 3 5" xfId="1693" xr:uid="{00000000-0005-0000-0000-00001D2D0000}"/>
    <cellStyle name="20% - Accent4 4 3 5 2" xfId="3641" xr:uid="{00000000-0005-0000-0000-00001E2D0000}"/>
    <cellStyle name="20% - Accent4 4 3 5 2 2" xfId="9353" xr:uid="{00000000-0005-0000-0000-00001F2D0000}"/>
    <cellStyle name="20% - Accent4 4 3 5 2 2 2" xfId="20654" xr:uid="{00000000-0005-0000-0000-0000202D0000}"/>
    <cellStyle name="20% - Accent4 4 3 5 2 2 2 2" xfId="43256" xr:uid="{00000000-0005-0000-0000-0000212D0000}"/>
    <cellStyle name="20% - Accent4 4 3 5 2 2 3" xfId="31955" xr:uid="{00000000-0005-0000-0000-0000222D0000}"/>
    <cellStyle name="20% - Accent4 4 3 5 2 3" xfId="15004" xr:uid="{00000000-0005-0000-0000-0000232D0000}"/>
    <cellStyle name="20% - Accent4 4 3 5 2 3 2" xfId="37606" xr:uid="{00000000-0005-0000-0000-0000242D0000}"/>
    <cellStyle name="20% - Accent4 4 3 5 2 4" xfId="26305" xr:uid="{00000000-0005-0000-0000-0000252D0000}"/>
    <cellStyle name="20% - Accent4 4 3 5 3" xfId="5350" xr:uid="{00000000-0005-0000-0000-0000262D0000}"/>
    <cellStyle name="20% - Accent4 4 3 5 3 2" xfId="11000" xr:uid="{00000000-0005-0000-0000-0000272D0000}"/>
    <cellStyle name="20% - Accent4 4 3 5 3 2 2" xfId="22301" xr:uid="{00000000-0005-0000-0000-0000282D0000}"/>
    <cellStyle name="20% - Accent4 4 3 5 3 2 2 2" xfId="44903" xr:uid="{00000000-0005-0000-0000-0000292D0000}"/>
    <cellStyle name="20% - Accent4 4 3 5 3 2 3" xfId="33602" xr:uid="{00000000-0005-0000-0000-00002A2D0000}"/>
    <cellStyle name="20% - Accent4 4 3 5 3 3" xfId="16651" xr:uid="{00000000-0005-0000-0000-00002B2D0000}"/>
    <cellStyle name="20% - Accent4 4 3 5 3 3 2" xfId="39253" xr:uid="{00000000-0005-0000-0000-00002C2D0000}"/>
    <cellStyle name="20% - Accent4 4 3 5 3 4" xfId="27952" xr:uid="{00000000-0005-0000-0000-00002D2D0000}"/>
    <cellStyle name="20% - Accent4 4 3 5 4" xfId="7549" xr:uid="{00000000-0005-0000-0000-00002E2D0000}"/>
    <cellStyle name="20% - Accent4 4 3 5 4 2" xfId="18850" xr:uid="{00000000-0005-0000-0000-00002F2D0000}"/>
    <cellStyle name="20% - Accent4 4 3 5 4 2 2" xfId="41452" xr:uid="{00000000-0005-0000-0000-0000302D0000}"/>
    <cellStyle name="20% - Accent4 4 3 5 4 3" xfId="30151" xr:uid="{00000000-0005-0000-0000-0000312D0000}"/>
    <cellStyle name="20% - Accent4 4 3 5 5" xfId="13200" xr:uid="{00000000-0005-0000-0000-0000322D0000}"/>
    <cellStyle name="20% - Accent4 4 3 5 5 2" xfId="35802" xr:uid="{00000000-0005-0000-0000-0000332D0000}"/>
    <cellStyle name="20% - Accent4 4 3 5 6" xfId="24501" xr:uid="{00000000-0005-0000-0000-0000342D0000}"/>
    <cellStyle name="20% - Accent4 4 3 6" xfId="2329" xr:uid="{00000000-0005-0000-0000-0000352D0000}"/>
    <cellStyle name="20% - Accent4 4 3 6 2" xfId="8165" xr:uid="{00000000-0005-0000-0000-0000362D0000}"/>
    <cellStyle name="20% - Accent4 4 3 6 2 2" xfId="19466" xr:uid="{00000000-0005-0000-0000-0000372D0000}"/>
    <cellStyle name="20% - Accent4 4 3 6 2 2 2" xfId="42068" xr:uid="{00000000-0005-0000-0000-0000382D0000}"/>
    <cellStyle name="20% - Accent4 4 3 6 2 3" xfId="30767" xr:uid="{00000000-0005-0000-0000-0000392D0000}"/>
    <cellStyle name="20% - Accent4 4 3 6 3" xfId="13816" xr:uid="{00000000-0005-0000-0000-00003A2D0000}"/>
    <cellStyle name="20% - Accent4 4 3 6 3 2" xfId="36418" xr:uid="{00000000-0005-0000-0000-00003B2D0000}"/>
    <cellStyle name="20% - Accent4 4 3 6 4" xfId="25117" xr:uid="{00000000-0005-0000-0000-00003C2D0000}"/>
    <cellStyle name="20% - Accent4 4 3 7" xfId="4116" xr:uid="{00000000-0005-0000-0000-00003D2D0000}"/>
    <cellStyle name="20% - Accent4 4 3 7 2" xfId="9766" xr:uid="{00000000-0005-0000-0000-00003E2D0000}"/>
    <cellStyle name="20% - Accent4 4 3 7 2 2" xfId="21067" xr:uid="{00000000-0005-0000-0000-00003F2D0000}"/>
    <cellStyle name="20% - Accent4 4 3 7 2 2 2" xfId="43669" xr:uid="{00000000-0005-0000-0000-0000402D0000}"/>
    <cellStyle name="20% - Accent4 4 3 7 2 3" xfId="32368" xr:uid="{00000000-0005-0000-0000-0000412D0000}"/>
    <cellStyle name="20% - Accent4 4 3 7 3" xfId="15417" xr:uid="{00000000-0005-0000-0000-0000422D0000}"/>
    <cellStyle name="20% - Accent4 4 3 7 3 2" xfId="38019" xr:uid="{00000000-0005-0000-0000-0000432D0000}"/>
    <cellStyle name="20% - Accent4 4 3 7 4" xfId="26718" xr:uid="{00000000-0005-0000-0000-0000442D0000}"/>
    <cellStyle name="20% - Accent4 4 3 8" xfId="6567" xr:uid="{00000000-0005-0000-0000-0000452D0000}"/>
    <cellStyle name="20% - Accent4 4 3 8 2" xfId="17868" xr:uid="{00000000-0005-0000-0000-0000462D0000}"/>
    <cellStyle name="20% - Accent4 4 3 8 2 2" xfId="40470" xr:uid="{00000000-0005-0000-0000-0000472D0000}"/>
    <cellStyle name="20% - Accent4 4 3 8 3" xfId="29169" xr:uid="{00000000-0005-0000-0000-0000482D0000}"/>
    <cellStyle name="20% - Accent4 4 3 9" xfId="12218" xr:uid="{00000000-0005-0000-0000-0000492D0000}"/>
    <cellStyle name="20% - Accent4 4 3 9 2" xfId="34820" xr:uid="{00000000-0005-0000-0000-00004A2D0000}"/>
    <cellStyle name="20% - Accent4 4 4" xfId="571" xr:uid="{00000000-0005-0000-0000-00004B2D0000}"/>
    <cellStyle name="20% - Accent4 4 4 2" xfId="1145" xr:uid="{00000000-0005-0000-0000-00004C2D0000}"/>
    <cellStyle name="20% - Accent4 4 4 2 2" xfId="1698" xr:uid="{00000000-0005-0000-0000-00004D2D0000}"/>
    <cellStyle name="20% - Accent4 4 4 2 2 2" xfId="3213" xr:uid="{00000000-0005-0000-0000-00004E2D0000}"/>
    <cellStyle name="20% - Accent4 4 4 2 2 2 2" xfId="6185" xr:uid="{00000000-0005-0000-0000-00004F2D0000}"/>
    <cellStyle name="20% - Accent4 4 4 2 2 2 2 2" xfId="11835" xr:uid="{00000000-0005-0000-0000-0000502D0000}"/>
    <cellStyle name="20% - Accent4 4 4 2 2 2 2 2 2" xfId="23136" xr:uid="{00000000-0005-0000-0000-0000512D0000}"/>
    <cellStyle name="20% - Accent4 4 4 2 2 2 2 2 2 2" xfId="45738" xr:uid="{00000000-0005-0000-0000-0000522D0000}"/>
    <cellStyle name="20% - Accent4 4 4 2 2 2 2 2 3" xfId="34437" xr:uid="{00000000-0005-0000-0000-0000532D0000}"/>
    <cellStyle name="20% - Accent4 4 4 2 2 2 2 3" xfId="17486" xr:uid="{00000000-0005-0000-0000-0000542D0000}"/>
    <cellStyle name="20% - Accent4 4 4 2 2 2 2 3 2" xfId="40088" xr:uid="{00000000-0005-0000-0000-0000552D0000}"/>
    <cellStyle name="20% - Accent4 4 4 2 2 2 2 4" xfId="28787" xr:uid="{00000000-0005-0000-0000-0000562D0000}"/>
    <cellStyle name="20% - Accent4 4 4 2 2 2 3" xfId="9003" xr:uid="{00000000-0005-0000-0000-0000572D0000}"/>
    <cellStyle name="20% - Accent4 4 4 2 2 2 3 2" xfId="20304" xr:uid="{00000000-0005-0000-0000-0000582D0000}"/>
    <cellStyle name="20% - Accent4 4 4 2 2 2 3 2 2" xfId="42906" xr:uid="{00000000-0005-0000-0000-0000592D0000}"/>
    <cellStyle name="20% - Accent4 4 4 2 2 2 3 3" xfId="31605" xr:uid="{00000000-0005-0000-0000-00005A2D0000}"/>
    <cellStyle name="20% - Accent4 4 4 2 2 2 4" xfId="14654" xr:uid="{00000000-0005-0000-0000-00005B2D0000}"/>
    <cellStyle name="20% - Accent4 4 4 2 2 2 4 2" xfId="37256" xr:uid="{00000000-0005-0000-0000-00005C2D0000}"/>
    <cellStyle name="20% - Accent4 4 4 2 2 2 5" xfId="25955" xr:uid="{00000000-0005-0000-0000-00005D2D0000}"/>
    <cellStyle name="20% - Accent4 4 4 2 2 3" xfId="4951" xr:uid="{00000000-0005-0000-0000-00005E2D0000}"/>
    <cellStyle name="20% - Accent4 4 4 2 2 3 2" xfId="10601" xr:uid="{00000000-0005-0000-0000-00005F2D0000}"/>
    <cellStyle name="20% - Accent4 4 4 2 2 3 2 2" xfId="21902" xr:uid="{00000000-0005-0000-0000-0000602D0000}"/>
    <cellStyle name="20% - Accent4 4 4 2 2 3 2 2 2" xfId="44504" xr:uid="{00000000-0005-0000-0000-0000612D0000}"/>
    <cellStyle name="20% - Accent4 4 4 2 2 3 2 3" xfId="33203" xr:uid="{00000000-0005-0000-0000-0000622D0000}"/>
    <cellStyle name="20% - Accent4 4 4 2 2 3 3" xfId="16252" xr:uid="{00000000-0005-0000-0000-0000632D0000}"/>
    <cellStyle name="20% - Accent4 4 4 2 2 3 3 2" xfId="38854" xr:uid="{00000000-0005-0000-0000-0000642D0000}"/>
    <cellStyle name="20% - Accent4 4 4 2 2 3 4" xfId="27553" xr:uid="{00000000-0005-0000-0000-0000652D0000}"/>
    <cellStyle name="20% - Accent4 4 4 2 2 4" xfId="7554" xr:uid="{00000000-0005-0000-0000-0000662D0000}"/>
    <cellStyle name="20% - Accent4 4 4 2 2 4 2" xfId="18855" xr:uid="{00000000-0005-0000-0000-0000672D0000}"/>
    <cellStyle name="20% - Accent4 4 4 2 2 4 2 2" xfId="41457" xr:uid="{00000000-0005-0000-0000-0000682D0000}"/>
    <cellStyle name="20% - Accent4 4 4 2 2 4 3" xfId="30156" xr:uid="{00000000-0005-0000-0000-0000692D0000}"/>
    <cellStyle name="20% - Accent4 4 4 2 2 5" xfId="13205" xr:uid="{00000000-0005-0000-0000-00006A2D0000}"/>
    <cellStyle name="20% - Accent4 4 4 2 2 5 2" xfId="35807" xr:uid="{00000000-0005-0000-0000-00006B2D0000}"/>
    <cellStyle name="20% - Accent4 4 4 2 2 6" xfId="24506" xr:uid="{00000000-0005-0000-0000-00006C2D0000}"/>
    <cellStyle name="20% - Accent4 4 4 2 3" xfId="2542" xr:uid="{00000000-0005-0000-0000-00006D2D0000}"/>
    <cellStyle name="20% - Accent4 4 4 2 3 2" xfId="5561" xr:uid="{00000000-0005-0000-0000-00006E2D0000}"/>
    <cellStyle name="20% - Accent4 4 4 2 3 2 2" xfId="11211" xr:uid="{00000000-0005-0000-0000-00006F2D0000}"/>
    <cellStyle name="20% - Accent4 4 4 2 3 2 2 2" xfId="22512" xr:uid="{00000000-0005-0000-0000-0000702D0000}"/>
    <cellStyle name="20% - Accent4 4 4 2 3 2 2 2 2" xfId="45114" xr:uid="{00000000-0005-0000-0000-0000712D0000}"/>
    <cellStyle name="20% - Accent4 4 4 2 3 2 2 3" xfId="33813" xr:uid="{00000000-0005-0000-0000-0000722D0000}"/>
    <cellStyle name="20% - Accent4 4 4 2 3 2 3" xfId="16862" xr:uid="{00000000-0005-0000-0000-0000732D0000}"/>
    <cellStyle name="20% - Accent4 4 4 2 3 2 3 2" xfId="39464" xr:uid="{00000000-0005-0000-0000-0000742D0000}"/>
    <cellStyle name="20% - Accent4 4 4 2 3 2 4" xfId="28163" xr:uid="{00000000-0005-0000-0000-0000752D0000}"/>
    <cellStyle name="20% - Accent4 4 4 2 3 3" xfId="8378" xr:uid="{00000000-0005-0000-0000-0000762D0000}"/>
    <cellStyle name="20% - Accent4 4 4 2 3 3 2" xfId="19679" xr:uid="{00000000-0005-0000-0000-0000772D0000}"/>
    <cellStyle name="20% - Accent4 4 4 2 3 3 2 2" xfId="42281" xr:uid="{00000000-0005-0000-0000-0000782D0000}"/>
    <cellStyle name="20% - Accent4 4 4 2 3 3 3" xfId="30980" xr:uid="{00000000-0005-0000-0000-0000792D0000}"/>
    <cellStyle name="20% - Accent4 4 4 2 3 4" xfId="14029" xr:uid="{00000000-0005-0000-0000-00007A2D0000}"/>
    <cellStyle name="20% - Accent4 4 4 2 3 4 2" xfId="36631" xr:uid="{00000000-0005-0000-0000-00007B2D0000}"/>
    <cellStyle name="20% - Accent4 4 4 2 3 5" xfId="25330" xr:uid="{00000000-0005-0000-0000-00007C2D0000}"/>
    <cellStyle name="20% - Accent4 4 4 2 4" xfId="4327" xr:uid="{00000000-0005-0000-0000-00007D2D0000}"/>
    <cellStyle name="20% - Accent4 4 4 2 4 2" xfId="9977" xr:uid="{00000000-0005-0000-0000-00007E2D0000}"/>
    <cellStyle name="20% - Accent4 4 4 2 4 2 2" xfId="21278" xr:uid="{00000000-0005-0000-0000-00007F2D0000}"/>
    <cellStyle name="20% - Accent4 4 4 2 4 2 2 2" xfId="43880" xr:uid="{00000000-0005-0000-0000-0000802D0000}"/>
    <cellStyle name="20% - Accent4 4 4 2 4 2 3" xfId="32579" xr:uid="{00000000-0005-0000-0000-0000812D0000}"/>
    <cellStyle name="20% - Accent4 4 4 2 4 3" xfId="15628" xr:uid="{00000000-0005-0000-0000-0000822D0000}"/>
    <cellStyle name="20% - Accent4 4 4 2 4 3 2" xfId="38230" xr:uid="{00000000-0005-0000-0000-0000832D0000}"/>
    <cellStyle name="20% - Accent4 4 4 2 4 4" xfId="26929" xr:uid="{00000000-0005-0000-0000-0000842D0000}"/>
    <cellStyle name="20% - Accent4 4 4 2 5" xfId="7124" xr:uid="{00000000-0005-0000-0000-0000852D0000}"/>
    <cellStyle name="20% - Accent4 4 4 2 5 2" xfId="18425" xr:uid="{00000000-0005-0000-0000-0000862D0000}"/>
    <cellStyle name="20% - Accent4 4 4 2 5 2 2" xfId="41027" xr:uid="{00000000-0005-0000-0000-0000872D0000}"/>
    <cellStyle name="20% - Accent4 4 4 2 5 3" xfId="29726" xr:uid="{00000000-0005-0000-0000-0000882D0000}"/>
    <cellStyle name="20% - Accent4 4 4 2 6" xfId="12775" xr:uid="{00000000-0005-0000-0000-0000892D0000}"/>
    <cellStyle name="20% - Accent4 4 4 2 6 2" xfId="35377" xr:uid="{00000000-0005-0000-0000-00008A2D0000}"/>
    <cellStyle name="20% - Accent4 4 4 2 7" xfId="24076" xr:uid="{00000000-0005-0000-0000-00008B2D0000}"/>
    <cellStyle name="20% - Accent4 4 4 3" xfId="819" xr:uid="{00000000-0005-0000-0000-00008C2D0000}"/>
    <cellStyle name="20% - Accent4 4 4 3 2" xfId="2906" xr:uid="{00000000-0005-0000-0000-00008D2D0000}"/>
    <cellStyle name="20% - Accent4 4 4 3 2 2" xfId="5878" xr:uid="{00000000-0005-0000-0000-00008E2D0000}"/>
    <cellStyle name="20% - Accent4 4 4 3 2 2 2" xfId="11528" xr:uid="{00000000-0005-0000-0000-00008F2D0000}"/>
    <cellStyle name="20% - Accent4 4 4 3 2 2 2 2" xfId="22829" xr:uid="{00000000-0005-0000-0000-0000902D0000}"/>
    <cellStyle name="20% - Accent4 4 4 3 2 2 2 2 2" xfId="45431" xr:uid="{00000000-0005-0000-0000-0000912D0000}"/>
    <cellStyle name="20% - Accent4 4 4 3 2 2 2 3" xfId="34130" xr:uid="{00000000-0005-0000-0000-0000922D0000}"/>
    <cellStyle name="20% - Accent4 4 4 3 2 2 3" xfId="17179" xr:uid="{00000000-0005-0000-0000-0000932D0000}"/>
    <cellStyle name="20% - Accent4 4 4 3 2 2 3 2" xfId="39781" xr:uid="{00000000-0005-0000-0000-0000942D0000}"/>
    <cellStyle name="20% - Accent4 4 4 3 2 2 4" xfId="28480" xr:uid="{00000000-0005-0000-0000-0000952D0000}"/>
    <cellStyle name="20% - Accent4 4 4 3 2 3" xfId="8696" xr:uid="{00000000-0005-0000-0000-0000962D0000}"/>
    <cellStyle name="20% - Accent4 4 4 3 2 3 2" xfId="19997" xr:uid="{00000000-0005-0000-0000-0000972D0000}"/>
    <cellStyle name="20% - Accent4 4 4 3 2 3 2 2" xfId="42599" xr:uid="{00000000-0005-0000-0000-0000982D0000}"/>
    <cellStyle name="20% - Accent4 4 4 3 2 3 3" xfId="31298" xr:uid="{00000000-0005-0000-0000-0000992D0000}"/>
    <cellStyle name="20% - Accent4 4 4 3 2 4" xfId="14347" xr:uid="{00000000-0005-0000-0000-00009A2D0000}"/>
    <cellStyle name="20% - Accent4 4 4 3 2 4 2" xfId="36949" xr:uid="{00000000-0005-0000-0000-00009B2D0000}"/>
    <cellStyle name="20% - Accent4 4 4 3 2 5" xfId="25648" xr:uid="{00000000-0005-0000-0000-00009C2D0000}"/>
    <cellStyle name="20% - Accent4 4 4 3 3" xfId="4644" xr:uid="{00000000-0005-0000-0000-00009D2D0000}"/>
    <cellStyle name="20% - Accent4 4 4 3 3 2" xfId="10294" xr:uid="{00000000-0005-0000-0000-00009E2D0000}"/>
    <cellStyle name="20% - Accent4 4 4 3 3 2 2" xfId="21595" xr:uid="{00000000-0005-0000-0000-00009F2D0000}"/>
    <cellStyle name="20% - Accent4 4 4 3 3 2 2 2" xfId="44197" xr:uid="{00000000-0005-0000-0000-0000A02D0000}"/>
    <cellStyle name="20% - Accent4 4 4 3 3 2 3" xfId="32896" xr:uid="{00000000-0005-0000-0000-0000A12D0000}"/>
    <cellStyle name="20% - Accent4 4 4 3 3 3" xfId="15945" xr:uid="{00000000-0005-0000-0000-0000A22D0000}"/>
    <cellStyle name="20% - Accent4 4 4 3 3 3 2" xfId="38547" xr:uid="{00000000-0005-0000-0000-0000A32D0000}"/>
    <cellStyle name="20% - Accent4 4 4 3 3 4" xfId="27246" xr:uid="{00000000-0005-0000-0000-0000A42D0000}"/>
    <cellStyle name="20% - Accent4 4 4 3 4" xfId="6827" xr:uid="{00000000-0005-0000-0000-0000A52D0000}"/>
    <cellStyle name="20% - Accent4 4 4 3 4 2" xfId="18128" xr:uid="{00000000-0005-0000-0000-0000A62D0000}"/>
    <cellStyle name="20% - Accent4 4 4 3 4 2 2" xfId="40730" xr:uid="{00000000-0005-0000-0000-0000A72D0000}"/>
    <cellStyle name="20% - Accent4 4 4 3 4 3" xfId="29429" xr:uid="{00000000-0005-0000-0000-0000A82D0000}"/>
    <cellStyle name="20% - Accent4 4 4 3 5" xfId="12478" xr:uid="{00000000-0005-0000-0000-0000A92D0000}"/>
    <cellStyle name="20% - Accent4 4 4 3 5 2" xfId="35080" xr:uid="{00000000-0005-0000-0000-0000AA2D0000}"/>
    <cellStyle name="20% - Accent4 4 4 3 6" xfId="23779" xr:uid="{00000000-0005-0000-0000-0000AB2D0000}"/>
    <cellStyle name="20% - Accent4 4 4 4" xfId="1697" xr:uid="{00000000-0005-0000-0000-0000AC2D0000}"/>
    <cellStyle name="20% - Accent4 4 4 4 2" xfId="3643" xr:uid="{00000000-0005-0000-0000-0000AD2D0000}"/>
    <cellStyle name="20% - Accent4 4 4 4 2 2" xfId="9355" xr:uid="{00000000-0005-0000-0000-0000AE2D0000}"/>
    <cellStyle name="20% - Accent4 4 4 4 2 2 2" xfId="20656" xr:uid="{00000000-0005-0000-0000-0000AF2D0000}"/>
    <cellStyle name="20% - Accent4 4 4 4 2 2 2 2" xfId="43258" xr:uid="{00000000-0005-0000-0000-0000B02D0000}"/>
    <cellStyle name="20% - Accent4 4 4 4 2 2 3" xfId="31957" xr:uid="{00000000-0005-0000-0000-0000B12D0000}"/>
    <cellStyle name="20% - Accent4 4 4 4 2 3" xfId="15006" xr:uid="{00000000-0005-0000-0000-0000B22D0000}"/>
    <cellStyle name="20% - Accent4 4 4 4 2 3 2" xfId="37608" xr:uid="{00000000-0005-0000-0000-0000B32D0000}"/>
    <cellStyle name="20% - Accent4 4 4 4 2 4" xfId="26307" xr:uid="{00000000-0005-0000-0000-0000B42D0000}"/>
    <cellStyle name="20% - Accent4 4 4 4 3" xfId="5254" xr:uid="{00000000-0005-0000-0000-0000B52D0000}"/>
    <cellStyle name="20% - Accent4 4 4 4 3 2" xfId="10904" xr:uid="{00000000-0005-0000-0000-0000B62D0000}"/>
    <cellStyle name="20% - Accent4 4 4 4 3 2 2" xfId="22205" xr:uid="{00000000-0005-0000-0000-0000B72D0000}"/>
    <cellStyle name="20% - Accent4 4 4 4 3 2 2 2" xfId="44807" xr:uid="{00000000-0005-0000-0000-0000B82D0000}"/>
    <cellStyle name="20% - Accent4 4 4 4 3 2 3" xfId="33506" xr:uid="{00000000-0005-0000-0000-0000B92D0000}"/>
    <cellStyle name="20% - Accent4 4 4 4 3 3" xfId="16555" xr:uid="{00000000-0005-0000-0000-0000BA2D0000}"/>
    <cellStyle name="20% - Accent4 4 4 4 3 3 2" xfId="39157" xr:uid="{00000000-0005-0000-0000-0000BB2D0000}"/>
    <cellStyle name="20% - Accent4 4 4 4 3 4" xfId="27856" xr:uid="{00000000-0005-0000-0000-0000BC2D0000}"/>
    <cellStyle name="20% - Accent4 4 4 4 4" xfId="7553" xr:uid="{00000000-0005-0000-0000-0000BD2D0000}"/>
    <cellStyle name="20% - Accent4 4 4 4 4 2" xfId="18854" xr:uid="{00000000-0005-0000-0000-0000BE2D0000}"/>
    <cellStyle name="20% - Accent4 4 4 4 4 2 2" xfId="41456" xr:uid="{00000000-0005-0000-0000-0000BF2D0000}"/>
    <cellStyle name="20% - Accent4 4 4 4 4 3" xfId="30155" xr:uid="{00000000-0005-0000-0000-0000C02D0000}"/>
    <cellStyle name="20% - Accent4 4 4 4 5" xfId="13204" xr:uid="{00000000-0005-0000-0000-0000C12D0000}"/>
    <cellStyle name="20% - Accent4 4 4 4 5 2" xfId="35806" xr:uid="{00000000-0005-0000-0000-0000C22D0000}"/>
    <cellStyle name="20% - Accent4 4 4 4 6" xfId="24505" xr:uid="{00000000-0005-0000-0000-0000C32D0000}"/>
    <cellStyle name="20% - Accent4 4 4 5" xfId="2226" xr:uid="{00000000-0005-0000-0000-0000C42D0000}"/>
    <cellStyle name="20% - Accent4 4 4 5 2" xfId="8068" xr:uid="{00000000-0005-0000-0000-0000C52D0000}"/>
    <cellStyle name="20% - Accent4 4 4 5 2 2" xfId="19369" xr:uid="{00000000-0005-0000-0000-0000C62D0000}"/>
    <cellStyle name="20% - Accent4 4 4 5 2 2 2" xfId="41971" xr:uid="{00000000-0005-0000-0000-0000C72D0000}"/>
    <cellStyle name="20% - Accent4 4 4 5 2 3" xfId="30670" xr:uid="{00000000-0005-0000-0000-0000C82D0000}"/>
    <cellStyle name="20% - Accent4 4 4 5 3" xfId="13719" xr:uid="{00000000-0005-0000-0000-0000C92D0000}"/>
    <cellStyle name="20% - Accent4 4 4 5 3 2" xfId="36321" xr:uid="{00000000-0005-0000-0000-0000CA2D0000}"/>
    <cellStyle name="20% - Accent4 4 4 5 4" xfId="25020" xr:uid="{00000000-0005-0000-0000-0000CB2D0000}"/>
    <cellStyle name="20% - Accent4 4 4 6" xfId="4020" xr:uid="{00000000-0005-0000-0000-0000CC2D0000}"/>
    <cellStyle name="20% - Accent4 4 4 6 2" xfId="9670" xr:uid="{00000000-0005-0000-0000-0000CD2D0000}"/>
    <cellStyle name="20% - Accent4 4 4 6 2 2" xfId="20971" xr:uid="{00000000-0005-0000-0000-0000CE2D0000}"/>
    <cellStyle name="20% - Accent4 4 4 6 2 2 2" xfId="43573" xr:uid="{00000000-0005-0000-0000-0000CF2D0000}"/>
    <cellStyle name="20% - Accent4 4 4 6 2 3" xfId="32272" xr:uid="{00000000-0005-0000-0000-0000D02D0000}"/>
    <cellStyle name="20% - Accent4 4 4 6 3" xfId="15321" xr:uid="{00000000-0005-0000-0000-0000D12D0000}"/>
    <cellStyle name="20% - Accent4 4 4 6 3 2" xfId="37923" xr:uid="{00000000-0005-0000-0000-0000D22D0000}"/>
    <cellStyle name="20% - Accent4 4 4 6 4" xfId="26622" xr:uid="{00000000-0005-0000-0000-0000D32D0000}"/>
    <cellStyle name="20% - Accent4 4 4 7" xfId="6638" xr:uid="{00000000-0005-0000-0000-0000D42D0000}"/>
    <cellStyle name="20% - Accent4 4 4 7 2" xfId="17939" xr:uid="{00000000-0005-0000-0000-0000D52D0000}"/>
    <cellStyle name="20% - Accent4 4 4 7 2 2" xfId="40541" xr:uid="{00000000-0005-0000-0000-0000D62D0000}"/>
    <cellStyle name="20% - Accent4 4 4 7 3" xfId="29240" xr:uid="{00000000-0005-0000-0000-0000D72D0000}"/>
    <cellStyle name="20% - Accent4 4 4 8" xfId="12289" xr:uid="{00000000-0005-0000-0000-0000D82D0000}"/>
    <cellStyle name="20% - Accent4 4 4 8 2" xfId="34891" xr:uid="{00000000-0005-0000-0000-0000D92D0000}"/>
    <cellStyle name="20% - Accent4 4 4 9" xfId="23590" xr:uid="{00000000-0005-0000-0000-0000DA2D0000}"/>
    <cellStyle name="20% - Accent4 4 5" xfId="515" xr:uid="{00000000-0005-0000-0000-0000DB2D0000}"/>
    <cellStyle name="20% - Accent4 4 5 2" xfId="1284" xr:uid="{00000000-0005-0000-0000-0000DC2D0000}"/>
    <cellStyle name="20% - Accent4 4 5 2 2" xfId="1700" xr:uid="{00000000-0005-0000-0000-0000DD2D0000}"/>
    <cellStyle name="20% - Accent4 4 5 2 2 2" xfId="3353" xr:uid="{00000000-0005-0000-0000-0000DE2D0000}"/>
    <cellStyle name="20% - Accent4 4 5 2 2 2 2" xfId="6325" xr:uid="{00000000-0005-0000-0000-0000DF2D0000}"/>
    <cellStyle name="20% - Accent4 4 5 2 2 2 2 2" xfId="11975" xr:uid="{00000000-0005-0000-0000-0000E02D0000}"/>
    <cellStyle name="20% - Accent4 4 5 2 2 2 2 2 2" xfId="23276" xr:uid="{00000000-0005-0000-0000-0000E12D0000}"/>
    <cellStyle name="20% - Accent4 4 5 2 2 2 2 2 2 2" xfId="45878" xr:uid="{00000000-0005-0000-0000-0000E22D0000}"/>
    <cellStyle name="20% - Accent4 4 5 2 2 2 2 2 3" xfId="34577" xr:uid="{00000000-0005-0000-0000-0000E32D0000}"/>
    <cellStyle name="20% - Accent4 4 5 2 2 2 2 3" xfId="17626" xr:uid="{00000000-0005-0000-0000-0000E42D0000}"/>
    <cellStyle name="20% - Accent4 4 5 2 2 2 2 3 2" xfId="40228" xr:uid="{00000000-0005-0000-0000-0000E52D0000}"/>
    <cellStyle name="20% - Accent4 4 5 2 2 2 2 4" xfId="28927" xr:uid="{00000000-0005-0000-0000-0000E62D0000}"/>
    <cellStyle name="20% - Accent4 4 5 2 2 2 3" xfId="9143" xr:uid="{00000000-0005-0000-0000-0000E72D0000}"/>
    <cellStyle name="20% - Accent4 4 5 2 2 2 3 2" xfId="20444" xr:uid="{00000000-0005-0000-0000-0000E82D0000}"/>
    <cellStyle name="20% - Accent4 4 5 2 2 2 3 2 2" xfId="43046" xr:uid="{00000000-0005-0000-0000-0000E92D0000}"/>
    <cellStyle name="20% - Accent4 4 5 2 2 2 3 3" xfId="31745" xr:uid="{00000000-0005-0000-0000-0000EA2D0000}"/>
    <cellStyle name="20% - Accent4 4 5 2 2 2 4" xfId="14794" xr:uid="{00000000-0005-0000-0000-0000EB2D0000}"/>
    <cellStyle name="20% - Accent4 4 5 2 2 2 4 2" xfId="37396" xr:uid="{00000000-0005-0000-0000-0000EC2D0000}"/>
    <cellStyle name="20% - Accent4 4 5 2 2 2 5" xfId="26095" xr:uid="{00000000-0005-0000-0000-0000ED2D0000}"/>
    <cellStyle name="20% - Accent4 4 5 2 2 3" xfId="5091" xr:uid="{00000000-0005-0000-0000-0000EE2D0000}"/>
    <cellStyle name="20% - Accent4 4 5 2 2 3 2" xfId="10741" xr:uid="{00000000-0005-0000-0000-0000EF2D0000}"/>
    <cellStyle name="20% - Accent4 4 5 2 2 3 2 2" xfId="22042" xr:uid="{00000000-0005-0000-0000-0000F02D0000}"/>
    <cellStyle name="20% - Accent4 4 5 2 2 3 2 2 2" xfId="44644" xr:uid="{00000000-0005-0000-0000-0000F12D0000}"/>
    <cellStyle name="20% - Accent4 4 5 2 2 3 2 3" xfId="33343" xr:uid="{00000000-0005-0000-0000-0000F22D0000}"/>
    <cellStyle name="20% - Accent4 4 5 2 2 3 3" xfId="16392" xr:uid="{00000000-0005-0000-0000-0000F32D0000}"/>
    <cellStyle name="20% - Accent4 4 5 2 2 3 3 2" xfId="38994" xr:uid="{00000000-0005-0000-0000-0000F42D0000}"/>
    <cellStyle name="20% - Accent4 4 5 2 2 3 4" xfId="27693" xr:uid="{00000000-0005-0000-0000-0000F52D0000}"/>
    <cellStyle name="20% - Accent4 4 5 2 2 4" xfId="7556" xr:uid="{00000000-0005-0000-0000-0000F62D0000}"/>
    <cellStyle name="20% - Accent4 4 5 2 2 4 2" xfId="18857" xr:uid="{00000000-0005-0000-0000-0000F72D0000}"/>
    <cellStyle name="20% - Accent4 4 5 2 2 4 2 2" xfId="41459" xr:uid="{00000000-0005-0000-0000-0000F82D0000}"/>
    <cellStyle name="20% - Accent4 4 5 2 2 4 3" xfId="30158" xr:uid="{00000000-0005-0000-0000-0000F92D0000}"/>
    <cellStyle name="20% - Accent4 4 5 2 2 5" xfId="13207" xr:uid="{00000000-0005-0000-0000-0000FA2D0000}"/>
    <cellStyle name="20% - Accent4 4 5 2 2 5 2" xfId="35809" xr:uid="{00000000-0005-0000-0000-0000FB2D0000}"/>
    <cellStyle name="20% - Accent4 4 5 2 2 6" xfId="24508" xr:uid="{00000000-0005-0000-0000-0000FC2D0000}"/>
    <cellStyle name="20% - Accent4 4 5 2 3" xfId="2682" xr:uid="{00000000-0005-0000-0000-0000FD2D0000}"/>
    <cellStyle name="20% - Accent4 4 5 2 3 2" xfId="5701" xr:uid="{00000000-0005-0000-0000-0000FE2D0000}"/>
    <cellStyle name="20% - Accent4 4 5 2 3 2 2" xfId="11351" xr:uid="{00000000-0005-0000-0000-0000FF2D0000}"/>
    <cellStyle name="20% - Accent4 4 5 2 3 2 2 2" xfId="22652" xr:uid="{00000000-0005-0000-0000-0000002E0000}"/>
    <cellStyle name="20% - Accent4 4 5 2 3 2 2 2 2" xfId="45254" xr:uid="{00000000-0005-0000-0000-0000012E0000}"/>
    <cellStyle name="20% - Accent4 4 5 2 3 2 2 3" xfId="33953" xr:uid="{00000000-0005-0000-0000-0000022E0000}"/>
    <cellStyle name="20% - Accent4 4 5 2 3 2 3" xfId="17002" xr:uid="{00000000-0005-0000-0000-0000032E0000}"/>
    <cellStyle name="20% - Accent4 4 5 2 3 2 3 2" xfId="39604" xr:uid="{00000000-0005-0000-0000-0000042E0000}"/>
    <cellStyle name="20% - Accent4 4 5 2 3 2 4" xfId="28303" xr:uid="{00000000-0005-0000-0000-0000052E0000}"/>
    <cellStyle name="20% - Accent4 4 5 2 3 3" xfId="8518" xr:uid="{00000000-0005-0000-0000-0000062E0000}"/>
    <cellStyle name="20% - Accent4 4 5 2 3 3 2" xfId="19819" xr:uid="{00000000-0005-0000-0000-0000072E0000}"/>
    <cellStyle name="20% - Accent4 4 5 2 3 3 2 2" xfId="42421" xr:uid="{00000000-0005-0000-0000-0000082E0000}"/>
    <cellStyle name="20% - Accent4 4 5 2 3 3 3" xfId="31120" xr:uid="{00000000-0005-0000-0000-0000092E0000}"/>
    <cellStyle name="20% - Accent4 4 5 2 3 4" xfId="14169" xr:uid="{00000000-0005-0000-0000-00000A2E0000}"/>
    <cellStyle name="20% - Accent4 4 5 2 3 4 2" xfId="36771" xr:uid="{00000000-0005-0000-0000-00000B2E0000}"/>
    <cellStyle name="20% - Accent4 4 5 2 3 5" xfId="25470" xr:uid="{00000000-0005-0000-0000-00000C2E0000}"/>
    <cellStyle name="20% - Accent4 4 5 2 4" xfId="4467" xr:uid="{00000000-0005-0000-0000-00000D2E0000}"/>
    <cellStyle name="20% - Accent4 4 5 2 4 2" xfId="10117" xr:uid="{00000000-0005-0000-0000-00000E2E0000}"/>
    <cellStyle name="20% - Accent4 4 5 2 4 2 2" xfId="21418" xr:uid="{00000000-0005-0000-0000-00000F2E0000}"/>
    <cellStyle name="20% - Accent4 4 5 2 4 2 2 2" xfId="44020" xr:uid="{00000000-0005-0000-0000-0000102E0000}"/>
    <cellStyle name="20% - Accent4 4 5 2 4 2 3" xfId="32719" xr:uid="{00000000-0005-0000-0000-0000112E0000}"/>
    <cellStyle name="20% - Accent4 4 5 2 4 3" xfId="15768" xr:uid="{00000000-0005-0000-0000-0000122E0000}"/>
    <cellStyle name="20% - Accent4 4 5 2 4 3 2" xfId="38370" xr:uid="{00000000-0005-0000-0000-0000132E0000}"/>
    <cellStyle name="20% - Accent4 4 5 2 4 4" xfId="27069" xr:uid="{00000000-0005-0000-0000-0000142E0000}"/>
    <cellStyle name="20% - Accent4 4 5 2 5" xfId="7263" xr:uid="{00000000-0005-0000-0000-0000152E0000}"/>
    <cellStyle name="20% - Accent4 4 5 2 5 2" xfId="18564" xr:uid="{00000000-0005-0000-0000-0000162E0000}"/>
    <cellStyle name="20% - Accent4 4 5 2 5 2 2" xfId="41166" xr:uid="{00000000-0005-0000-0000-0000172E0000}"/>
    <cellStyle name="20% - Accent4 4 5 2 5 3" xfId="29865" xr:uid="{00000000-0005-0000-0000-0000182E0000}"/>
    <cellStyle name="20% - Accent4 4 5 2 6" xfId="12914" xr:uid="{00000000-0005-0000-0000-0000192E0000}"/>
    <cellStyle name="20% - Accent4 4 5 2 6 2" xfId="35516" xr:uid="{00000000-0005-0000-0000-00001A2E0000}"/>
    <cellStyle name="20% - Accent4 4 5 2 7" xfId="24215" xr:uid="{00000000-0005-0000-0000-00001B2E0000}"/>
    <cellStyle name="20% - Accent4 4 5 3" xfId="982" xr:uid="{00000000-0005-0000-0000-00001C2E0000}"/>
    <cellStyle name="20% - Accent4 4 5 3 2" xfId="3045" xr:uid="{00000000-0005-0000-0000-00001D2E0000}"/>
    <cellStyle name="20% - Accent4 4 5 3 2 2" xfId="6017" xr:uid="{00000000-0005-0000-0000-00001E2E0000}"/>
    <cellStyle name="20% - Accent4 4 5 3 2 2 2" xfId="11667" xr:uid="{00000000-0005-0000-0000-00001F2E0000}"/>
    <cellStyle name="20% - Accent4 4 5 3 2 2 2 2" xfId="22968" xr:uid="{00000000-0005-0000-0000-0000202E0000}"/>
    <cellStyle name="20% - Accent4 4 5 3 2 2 2 2 2" xfId="45570" xr:uid="{00000000-0005-0000-0000-0000212E0000}"/>
    <cellStyle name="20% - Accent4 4 5 3 2 2 2 3" xfId="34269" xr:uid="{00000000-0005-0000-0000-0000222E0000}"/>
    <cellStyle name="20% - Accent4 4 5 3 2 2 3" xfId="17318" xr:uid="{00000000-0005-0000-0000-0000232E0000}"/>
    <cellStyle name="20% - Accent4 4 5 3 2 2 3 2" xfId="39920" xr:uid="{00000000-0005-0000-0000-0000242E0000}"/>
    <cellStyle name="20% - Accent4 4 5 3 2 2 4" xfId="28619" xr:uid="{00000000-0005-0000-0000-0000252E0000}"/>
    <cellStyle name="20% - Accent4 4 5 3 2 3" xfId="8835" xr:uid="{00000000-0005-0000-0000-0000262E0000}"/>
    <cellStyle name="20% - Accent4 4 5 3 2 3 2" xfId="20136" xr:uid="{00000000-0005-0000-0000-0000272E0000}"/>
    <cellStyle name="20% - Accent4 4 5 3 2 3 2 2" xfId="42738" xr:uid="{00000000-0005-0000-0000-0000282E0000}"/>
    <cellStyle name="20% - Accent4 4 5 3 2 3 3" xfId="31437" xr:uid="{00000000-0005-0000-0000-0000292E0000}"/>
    <cellStyle name="20% - Accent4 4 5 3 2 4" xfId="14486" xr:uid="{00000000-0005-0000-0000-00002A2E0000}"/>
    <cellStyle name="20% - Accent4 4 5 3 2 4 2" xfId="37088" xr:uid="{00000000-0005-0000-0000-00002B2E0000}"/>
    <cellStyle name="20% - Accent4 4 5 3 2 5" xfId="25787" xr:uid="{00000000-0005-0000-0000-00002C2E0000}"/>
    <cellStyle name="20% - Accent4 4 5 3 3" xfId="4783" xr:uid="{00000000-0005-0000-0000-00002D2E0000}"/>
    <cellStyle name="20% - Accent4 4 5 3 3 2" xfId="10433" xr:uid="{00000000-0005-0000-0000-00002E2E0000}"/>
    <cellStyle name="20% - Accent4 4 5 3 3 2 2" xfId="21734" xr:uid="{00000000-0005-0000-0000-00002F2E0000}"/>
    <cellStyle name="20% - Accent4 4 5 3 3 2 2 2" xfId="44336" xr:uid="{00000000-0005-0000-0000-0000302E0000}"/>
    <cellStyle name="20% - Accent4 4 5 3 3 2 3" xfId="33035" xr:uid="{00000000-0005-0000-0000-0000312E0000}"/>
    <cellStyle name="20% - Accent4 4 5 3 3 3" xfId="16084" xr:uid="{00000000-0005-0000-0000-0000322E0000}"/>
    <cellStyle name="20% - Accent4 4 5 3 3 3 2" xfId="38686" xr:uid="{00000000-0005-0000-0000-0000332E0000}"/>
    <cellStyle name="20% - Accent4 4 5 3 3 4" xfId="27385" xr:uid="{00000000-0005-0000-0000-0000342E0000}"/>
    <cellStyle name="20% - Accent4 4 5 3 4" xfId="6970" xr:uid="{00000000-0005-0000-0000-0000352E0000}"/>
    <cellStyle name="20% - Accent4 4 5 3 4 2" xfId="18271" xr:uid="{00000000-0005-0000-0000-0000362E0000}"/>
    <cellStyle name="20% - Accent4 4 5 3 4 2 2" xfId="40873" xr:uid="{00000000-0005-0000-0000-0000372E0000}"/>
    <cellStyle name="20% - Accent4 4 5 3 4 3" xfId="29572" xr:uid="{00000000-0005-0000-0000-0000382E0000}"/>
    <cellStyle name="20% - Accent4 4 5 3 5" xfId="12621" xr:uid="{00000000-0005-0000-0000-0000392E0000}"/>
    <cellStyle name="20% - Accent4 4 5 3 5 2" xfId="35223" xr:uid="{00000000-0005-0000-0000-00003A2E0000}"/>
    <cellStyle name="20% - Accent4 4 5 3 6" xfId="23922" xr:uid="{00000000-0005-0000-0000-00003B2E0000}"/>
    <cellStyle name="20% - Accent4 4 5 4" xfId="1699" xr:uid="{00000000-0005-0000-0000-00003C2E0000}"/>
    <cellStyle name="20% - Accent4 4 5 4 2" xfId="3644" xr:uid="{00000000-0005-0000-0000-00003D2E0000}"/>
    <cellStyle name="20% - Accent4 4 5 4 2 2" xfId="9356" xr:uid="{00000000-0005-0000-0000-00003E2E0000}"/>
    <cellStyle name="20% - Accent4 4 5 4 2 2 2" xfId="20657" xr:uid="{00000000-0005-0000-0000-00003F2E0000}"/>
    <cellStyle name="20% - Accent4 4 5 4 2 2 2 2" xfId="43259" xr:uid="{00000000-0005-0000-0000-0000402E0000}"/>
    <cellStyle name="20% - Accent4 4 5 4 2 2 3" xfId="31958" xr:uid="{00000000-0005-0000-0000-0000412E0000}"/>
    <cellStyle name="20% - Accent4 4 5 4 2 3" xfId="15007" xr:uid="{00000000-0005-0000-0000-0000422E0000}"/>
    <cellStyle name="20% - Accent4 4 5 4 2 3 2" xfId="37609" xr:uid="{00000000-0005-0000-0000-0000432E0000}"/>
    <cellStyle name="20% - Accent4 4 5 4 2 4" xfId="26308" xr:uid="{00000000-0005-0000-0000-0000442E0000}"/>
    <cellStyle name="20% - Accent4 4 5 4 3" xfId="5393" xr:uid="{00000000-0005-0000-0000-0000452E0000}"/>
    <cellStyle name="20% - Accent4 4 5 4 3 2" xfId="11043" xr:uid="{00000000-0005-0000-0000-0000462E0000}"/>
    <cellStyle name="20% - Accent4 4 5 4 3 2 2" xfId="22344" xr:uid="{00000000-0005-0000-0000-0000472E0000}"/>
    <cellStyle name="20% - Accent4 4 5 4 3 2 2 2" xfId="44946" xr:uid="{00000000-0005-0000-0000-0000482E0000}"/>
    <cellStyle name="20% - Accent4 4 5 4 3 2 3" xfId="33645" xr:uid="{00000000-0005-0000-0000-0000492E0000}"/>
    <cellStyle name="20% - Accent4 4 5 4 3 3" xfId="16694" xr:uid="{00000000-0005-0000-0000-00004A2E0000}"/>
    <cellStyle name="20% - Accent4 4 5 4 3 3 2" xfId="39296" xr:uid="{00000000-0005-0000-0000-00004B2E0000}"/>
    <cellStyle name="20% - Accent4 4 5 4 3 4" xfId="27995" xr:uid="{00000000-0005-0000-0000-00004C2E0000}"/>
    <cellStyle name="20% - Accent4 4 5 4 4" xfId="7555" xr:uid="{00000000-0005-0000-0000-00004D2E0000}"/>
    <cellStyle name="20% - Accent4 4 5 4 4 2" xfId="18856" xr:uid="{00000000-0005-0000-0000-00004E2E0000}"/>
    <cellStyle name="20% - Accent4 4 5 4 4 2 2" xfId="41458" xr:uid="{00000000-0005-0000-0000-00004F2E0000}"/>
    <cellStyle name="20% - Accent4 4 5 4 4 3" xfId="30157" xr:uid="{00000000-0005-0000-0000-0000502E0000}"/>
    <cellStyle name="20% - Accent4 4 5 4 5" xfId="13206" xr:uid="{00000000-0005-0000-0000-0000512E0000}"/>
    <cellStyle name="20% - Accent4 4 5 4 5 2" xfId="35808" xr:uid="{00000000-0005-0000-0000-0000522E0000}"/>
    <cellStyle name="20% - Accent4 4 5 4 6" xfId="24507" xr:uid="{00000000-0005-0000-0000-0000532E0000}"/>
    <cellStyle name="20% - Accent4 4 5 5" xfId="2374" xr:uid="{00000000-0005-0000-0000-0000542E0000}"/>
    <cellStyle name="20% - Accent4 4 5 5 2" xfId="8210" xr:uid="{00000000-0005-0000-0000-0000552E0000}"/>
    <cellStyle name="20% - Accent4 4 5 5 2 2" xfId="19511" xr:uid="{00000000-0005-0000-0000-0000562E0000}"/>
    <cellStyle name="20% - Accent4 4 5 5 2 2 2" xfId="42113" xr:uid="{00000000-0005-0000-0000-0000572E0000}"/>
    <cellStyle name="20% - Accent4 4 5 5 2 3" xfId="30812" xr:uid="{00000000-0005-0000-0000-0000582E0000}"/>
    <cellStyle name="20% - Accent4 4 5 5 3" xfId="13861" xr:uid="{00000000-0005-0000-0000-0000592E0000}"/>
    <cellStyle name="20% - Accent4 4 5 5 3 2" xfId="36463" xr:uid="{00000000-0005-0000-0000-00005A2E0000}"/>
    <cellStyle name="20% - Accent4 4 5 5 4" xfId="25162" xr:uid="{00000000-0005-0000-0000-00005B2E0000}"/>
    <cellStyle name="20% - Accent4 4 5 6" xfId="4159" xr:uid="{00000000-0005-0000-0000-00005C2E0000}"/>
    <cellStyle name="20% - Accent4 4 5 6 2" xfId="9809" xr:uid="{00000000-0005-0000-0000-00005D2E0000}"/>
    <cellStyle name="20% - Accent4 4 5 6 2 2" xfId="21110" xr:uid="{00000000-0005-0000-0000-00005E2E0000}"/>
    <cellStyle name="20% - Accent4 4 5 6 2 2 2" xfId="43712" xr:uid="{00000000-0005-0000-0000-00005F2E0000}"/>
    <cellStyle name="20% - Accent4 4 5 6 2 3" xfId="32411" xr:uid="{00000000-0005-0000-0000-0000602E0000}"/>
    <cellStyle name="20% - Accent4 4 5 6 3" xfId="15460" xr:uid="{00000000-0005-0000-0000-0000612E0000}"/>
    <cellStyle name="20% - Accent4 4 5 6 3 2" xfId="38062" xr:uid="{00000000-0005-0000-0000-0000622E0000}"/>
    <cellStyle name="20% - Accent4 4 5 6 4" xfId="26761" xr:uid="{00000000-0005-0000-0000-0000632E0000}"/>
    <cellStyle name="20% - Accent4 4 5 7" xfId="6610" xr:uid="{00000000-0005-0000-0000-0000642E0000}"/>
    <cellStyle name="20% - Accent4 4 5 7 2" xfId="17911" xr:uid="{00000000-0005-0000-0000-0000652E0000}"/>
    <cellStyle name="20% - Accent4 4 5 7 2 2" xfId="40513" xr:uid="{00000000-0005-0000-0000-0000662E0000}"/>
    <cellStyle name="20% - Accent4 4 5 7 3" xfId="29212" xr:uid="{00000000-0005-0000-0000-0000672E0000}"/>
    <cellStyle name="20% - Accent4 4 5 8" xfId="12261" xr:uid="{00000000-0005-0000-0000-0000682E0000}"/>
    <cellStyle name="20% - Accent4 4 5 8 2" xfId="34863" xr:uid="{00000000-0005-0000-0000-0000692E0000}"/>
    <cellStyle name="20% - Accent4 4 5 9" xfId="23562" xr:uid="{00000000-0005-0000-0000-00006A2E0000}"/>
    <cellStyle name="20% - Accent4 4 6" xfId="1117" xr:uid="{00000000-0005-0000-0000-00006B2E0000}"/>
    <cellStyle name="20% - Accent4 4 6 2" xfId="1701" xr:uid="{00000000-0005-0000-0000-00006C2E0000}"/>
    <cellStyle name="20% - Accent4 4 6 2 2" xfId="3184" xr:uid="{00000000-0005-0000-0000-00006D2E0000}"/>
    <cellStyle name="20% - Accent4 4 6 2 2 2" xfId="6156" xr:uid="{00000000-0005-0000-0000-00006E2E0000}"/>
    <cellStyle name="20% - Accent4 4 6 2 2 2 2" xfId="11806" xr:uid="{00000000-0005-0000-0000-00006F2E0000}"/>
    <cellStyle name="20% - Accent4 4 6 2 2 2 2 2" xfId="23107" xr:uid="{00000000-0005-0000-0000-0000702E0000}"/>
    <cellStyle name="20% - Accent4 4 6 2 2 2 2 2 2" xfId="45709" xr:uid="{00000000-0005-0000-0000-0000712E0000}"/>
    <cellStyle name="20% - Accent4 4 6 2 2 2 2 3" xfId="34408" xr:uid="{00000000-0005-0000-0000-0000722E0000}"/>
    <cellStyle name="20% - Accent4 4 6 2 2 2 3" xfId="17457" xr:uid="{00000000-0005-0000-0000-0000732E0000}"/>
    <cellStyle name="20% - Accent4 4 6 2 2 2 3 2" xfId="40059" xr:uid="{00000000-0005-0000-0000-0000742E0000}"/>
    <cellStyle name="20% - Accent4 4 6 2 2 2 4" xfId="28758" xr:uid="{00000000-0005-0000-0000-0000752E0000}"/>
    <cellStyle name="20% - Accent4 4 6 2 2 3" xfId="8974" xr:uid="{00000000-0005-0000-0000-0000762E0000}"/>
    <cellStyle name="20% - Accent4 4 6 2 2 3 2" xfId="20275" xr:uid="{00000000-0005-0000-0000-0000772E0000}"/>
    <cellStyle name="20% - Accent4 4 6 2 2 3 2 2" xfId="42877" xr:uid="{00000000-0005-0000-0000-0000782E0000}"/>
    <cellStyle name="20% - Accent4 4 6 2 2 3 3" xfId="31576" xr:uid="{00000000-0005-0000-0000-0000792E0000}"/>
    <cellStyle name="20% - Accent4 4 6 2 2 4" xfId="14625" xr:uid="{00000000-0005-0000-0000-00007A2E0000}"/>
    <cellStyle name="20% - Accent4 4 6 2 2 4 2" xfId="37227" xr:uid="{00000000-0005-0000-0000-00007B2E0000}"/>
    <cellStyle name="20% - Accent4 4 6 2 2 5" xfId="25926" xr:uid="{00000000-0005-0000-0000-00007C2E0000}"/>
    <cellStyle name="20% - Accent4 4 6 2 3" xfId="4922" xr:uid="{00000000-0005-0000-0000-00007D2E0000}"/>
    <cellStyle name="20% - Accent4 4 6 2 3 2" xfId="10572" xr:uid="{00000000-0005-0000-0000-00007E2E0000}"/>
    <cellStyle name="20% - Accent4 4 6 2 3 2 2" xfId="21873" xr:uid="{00000000-0005-0000-0000-00007F2E0000}"/>
    <cellStyle name="20% - Accent4 4 6 2 3 2 2 2" xfId="44475" xr:uid="{00000000-0005-0000-0000-0000802E0000}"/>
    <cellStyle name="20% - Accent4 4 6 2 3 2 3" xfId="33174" xr:uid="{00000000-0005-0000-0000-0000812E0000}"/>
    <cellStyle name="20% - Accent4 4 6 2 3 3" xfId="16223" xr:uid="{00000000-0005-0000-0000-0000822E0000}"/>
    <cellStyle name="20% - Accent4 4 6 2 3 3 2" xfId="38825" xr:uid="{00000000-0005-0000-0000-0000832E0000}"/>
    <cellStyle name="20% - Accent4 4 6 2 3 4" xfId="27524" xr:uid="{00000000-0005-0000-0000-0000842E0000}"/>
    <cellStyle name="20% - Accent4 4 6 2 4" xfId="7557" xr:uid="{00000000-0005-0000-0000-0000852E0000}"/>
    <cellStyle name="20% - Accent4 4 6 2 4 2" xfId="18858" xr:uid="{00000000-0005-0000-0000-0000862E0000}"/>
    <cellStyle name="20% - Accent4 4 6 2 4 2 2" xfId="41460" xr:uid="{00000000-0005-0000-0000-0000872E0000}"/>
    <cellStyle name="20% - Accent4 4 6 2 4 3" xfId="30159" xr:uid="{00000000-0005-0000-0000-0000882E0000}"/>
    <cellStyle name="20% - Accent4 4 6 2 5" xfId="13208" xr:uid="{00000000-0005-0000-0000-0000892E0000}"/>
    <cellStyle name="20% - Accent4 4 6 2 5 2" xfId="35810" xr:uid="{00000000-0005-0000-0000-00008A2E0000}"/>
    <cellStyle name="20% - Accent4 4 6 2 6" xfId="24509" xr:uid="{00000000-0005-0000-0000-00008B2E0000}"/>
    <cellStyle name="20% - Accent4 4 6 3" xfId="2513" xr:uid="{00000000-0005-0000-0000-00008C2E0000}"/>
    <cellStyle name="20% - Accent4 4 6 3 2" xfId="5532" xr:uid="{00000000-0005-0000-0000-00008D2E0000}"/>
    <cellStyle name="20% - Accent4 4 6 3 2 2" xfId="11182" xr:uid="{00000000-0005-0000-0000-00008E2E0000}"/>
    <cellStyle name="20% - Accent4 4 6 3 2 2 2" xfId="22483" xr:uid="{00000000-0005-0000-0000-00008F2E0000}"/>
    <cellStyle name="20% - Accent4 4 6 3 2 2 2 2" xfId="45085" xr:uid="{00000000-0005-0000-0000-0000902E0000}"/>
    <cellStyle name="20% - Accent4 4 6 3 2 2 3" xfId="33784" xr:uid="{00000000-0005-0000-0000-0000912E0000}"/>
    <cellStyle name="20% - Accent4 4 6 3 2 3" xfId="16833" xr:uid="{00000000-0005-0000-0000-0000922E0000}"/>
    <cellStyle name="20% - Accent4 4 6 3 2 3 2" xfId="39435" xr:uid="{00000000-0005-0000-0000-0000932E0000}"/>
    <cellStyle name="20% - Accent4 4 6 3 2 4" xfId="28134" xr:uid="{00000000-0005-0000-0000-0000942E0000}"/>
    <cellStyle name="20% - Accent4 4 6 3 3" xfId="8349" xr:uid="{00000000-0005-0000-0000-0000952E0000}"/>
    <cellStyle name="20% - Accent4 4 6 3 3 2" xfId="19650" xr:uid="{00000000-0005-0000-0000-0000962E0000}"/>
    <cellStyle name="20% - Accent4 4 6 3 3 2 2" xfId="42252" xr:uid="{00000000-0005-0000-0000-0000972E0000}"/>
    <cellStyle name="20% - Accent4 4 6 3 3 3" xfId="30951" xr:uid="{00000000-0005-0000-0000-0000982E0000}"/>
    <cellStyle name="20% - Accent4 4 6 3 4" xfId="14000" xr:uid="{00000000-0005-0000-0000-0000992E0000}"/>
    <cellStyle name="20% - Accent4 4 6 3 4 2" xfId="36602" xr:uid="{00000000-0005-0000-0000-00009A2E0000}"/>
    <cellStyle name="20% - Accent4 4 6 3 5" xfId="25301" xr:uid="{00000000-0005-0000-0000-00009B2E0000}"/>
    <cellStyle name="20% - Accent4 4 6 4" xfId="4298" xr:uid="{00000000-0005-0000-0000-00009C2E0000}"/>
    <cellStyle name="20% - Accent4 4 6 4 2" xfId="9948" xr:uid="{00000000-0005-0000-0000-00009D2E0000}"/>
    <cellStyle name="20% - Accent4 4 6 4 2 2" xfId="21249" xr:uid="{00000000-0005-0000-0000-00009E2E0000}"/>
    <cellStyle name="20% - Accent4 4 6 4 2 2 2" xfId="43851" xr:uid="{00000000-0005-0000-0000-00009F2E0000}"/>
    <cellStyle name="20% - Accent4 4 6 4 2 3" xfId="32550" xr:uid="{00000000-0005-0000-0000-0000A02E0000}"/>
    <cellStyle name="20% - Accent4 4 6 4 3" xfId="15599" xr:uid="{00000000-0005-0000-0000-0000A12E0000}"/>
    <cellStyle name="20% - Accent4 4 6 4 3 2" xfId="38201" xr:uid="{00000000-0005-0000-0000-0000A22E0000}"/>
    <cellStyle name="20% - Accent4 4 6 4 4" xfId="26900" xr:uid="{00000000-0005-0000-0000-0000A32E0000}"/>
    <cellStyle name="20% - Accent4 4 6 5" xfId="7096" xr:uid="{00000000-0005-0000-0000-0000A42E0000}"/>
    <cellStyle name="20% - Accent4 4 6 5 2" xfId="18397" xr:uid="{00000000-0005-0000-0000-0000A52E0000}"/>
    <cellStyle name="20% - Accent4 4 6 5 2 2" xfId="40999" xr:uid="{00000000-0005-0000-0000-0000A62E0000}"/>
    <cellStyle name="20% - Accent4 4 6 5 3" xfId="29698" xr:uid="{00000000-0005-0000-0000-0000A72E0000}"/>
    <cellStyle name="20% - Accent4 4 6 6" xfId="12747" xr:uid="{00000000-0005-0000-0000-0000A82E0000}"/>
    <cellStyle name="20% - Accent4 4 6 6 2" xfId="35349" xr:uid="{00000000-0005-0000-0000-0000A92E0000}"/>
    <cellStyle name="20% - Accent4 4 6 7" xfId="24048" xr:uid="{00000000-0005-0000-0000-0000AA2E0000}"/>
    <cellStyle name="20% - Accent4 4 7" xfId="781" xr:uid="{00000000-0005-0000-0000-0000AB2E0000}"/>
    <cellStyle name="20% - Accent4 4 7 2" xfId="2878" xr:uid="{00000000-0005-0000-0000-0000AC2E0000}"/>
    <cellStyle name="20% - Accent4 4 7 2 2" xfId="5850" xr:uid="{00000000-0005-0000-0000-0000AD2E0000}"/>
    <cellStyle name="20% - Accent4 4 7 2 2 2" xfId="11500" xr:uid="{00000000-0005-0000-0000-0000AE2E0000}"/>
    <cellStyle name="20% - Accent4 4 7 2 2 2 2" xfId="22801" xr:uid="{00000000-0005-0000-0000-0000AF2E0000}"/>
    <cellStyle name="20% - Accent4 4 7 2 2 2 2 2" xfId="45403" xr:uid="{00000000-0005-0000-0000-0000B02E0000}"/>
    <cellStyle name="20% - Accent4 4 7 2 2 2 3" xfId="34102" xr:uid="{00000000-0005-0000-0000-0000B12E0000}"/>
    <cellStyle name="20% - Accent4 4 7 2 2 3" xfId="17151" xr:uid="{00000000-0005-0000-0000-0000B22E0000}"/>
    <cellStyle name="20% - Accent4 4 7 2 2 3 2" xfId="39753" xr:uid="{00000000-0005-0000-0000-0000B32E0000}"/>
    <cellStyle name="20% - Accent4 4 7 2 2 4" xfId="28452" xr:uid="{00000000-0005-0000-0000-0000B42E0000}"/>
    <cellStyle name="20% - Accent4 4 7 2 3" xfId="8668" xr:uid="{00000000-0005-0000-0000-0000B52E0000}"/>
    <cellStyle name="20% - Accent4 4 7 2 3 2" xfId="19969" xr:uid="{00000000-0005-0000-0000-0000B62E0000}"/>
    <cellStyle name="20% - Accent4 4 7 2 3 2 2" xfId="42571" xr:uid="{00000000-0005-0000-0000-0000B72E0000}"/>
    <cellStyle name="20% - Accent4 4 7 2 3 3" xfId="31270" xr:uid="{00000000-0005-0000-0000-0000B82E0000}"/>
    <cellStyle name="20% - Accent4 4 7 2 4" xfId="14319" xr:uid="{00000000-0005-0000-0000-0000B92E0000}"/>
    <cellStyle name="20% - Accent4 4 7 2 4 2" xfId="36921" xr:uid="{00000000-0005-0000-0000-0000BA2E0000}"/>
    <cellStyle name="20% - Accent4 4 7 2 5" xfId="25620" xr:uid="{00000000-0005-0000-0000-0000BB2E0000}"/>
    <cellStyle name="20% - Accent4 4 7 3" xfId="4616" xr:uid="{00000000-0005-0000-0000-0000BC2E0000}"/>
    <cellStyle name="20% - Accent4 4 7 3 2" xfId="10266" xr:uid="{00000000-0005-0000-0000-0000BD2E0000}"/>
    <cellStyle name="20% - Accent4 4 7 3 2 2" xfId="21567" xr:uid="{00000000-0005-0000-0000-0000BE2E0000}"/>
    <cellStyle name="20% - Accent4 4 7 3 2 2 2" xfId="44169" xr:uid="{00000000-0005-0000-0000-0000BF2E0000}"/>
    <cellStyle name="20% - Accent4 4 7 3 2 3" xfId="32868" xr:uid="{00000000-0005-0000-0000-0000C02E0000}"/>
    <cellStyle name="20% - Accent4 4 7 3 3" xfId="15917" xr:uid="{00000000-0005-0000-0000-0000C12E0000}"/>
    <cellStyle name="20% - Accent4 4 7 3 3 2" xfId="38519" xr:uid="{00000000-0005-0000-0000-0000C22E0000}"/>
    <cellStyle name="20% - Accent4 4 7 3 4" xfId="27218" xr:uid="{00000000-0005-0000-0000-0000C32E0000}"/>
    <cellStyle name="20% - Accent4 4 7 4" xfId="6798" xr:uid="{00000000-0005-0000-0000-0000C42E0000}"/>
    <cellStyle name="20% - Accent4 4 7 4 2" xfId="18099" xr:uid="{00000000-0005-0000-0000-0000C52E0000}"/>
    <cellStyle name="20% - Accent4 4 7 4 2 2" xfId="40701" xr:uid="{00000000-0005-0000-0000-0000C62E0000}"/>
    <cellStyle name="20% - Accent4 4 7 4 3" xfId="29400" xr:uid="{00000000-0005-0000-0000-0000C72E0000}"/>
    <cellStyle name="20% - Accent4 4 7 5" xfId="12449" xr:uid="{00000000-0005-0000-0000-0000C82E0000}"/>
    <cellStyle name="20% - Accent4 4 7 5 2" xfId="35051" xr:uid="{00000000-0005-0000-0000-0000C92E0000}"/>
    <cellStyle name="20% - Accent4 4 7 6" xfId="23750" xr:uid="{00000000-0005-0000-0000-0000CA2E0000}"/>
    <cellStyle name="20% - Accent4 4 8" xfId="1688" xr:uid="{00000000-0005-0000-0000-0000CB2E0000}"/>
    <cellStyle name="20% - Accent4 4 8 2" xfId="3638" xr:uid="{00000000-0005-0000-0000-0000CC2E0000}"/>
    <cellStyle name="20% - Accent4 4 8 2 2" xfId="9350" xr:uid="{00000000-0005-0000-0000-0000CD2E0000}"/>
    <cellStyle name="20% - Accent4 4 8 2 2 2" xfId="20651" xr:uid="{00000000-0005-0000-0000-0000CE2E0000}"/>
    <cellStyle name="20% - Accent4 4 8 2 2 2 2" xfId="43253" xr:uid="{00000000-0005-0000-0000-0000CF2E0000}"/>
    <cellStyle name="20% - Accent4 4 8 2 2 3" xfId="31952" xr:uid="{00000000-0005-0000-0000-0000D02E0000}"/>
    <cellStyle name="20% - Accent4 4 8 2 3" xfId="15001" xr:uid="{00000000-0005-0000-0000-0000D12E0000}"/>
    <cellStyle name="20% - Accent4 4 8 2 3 2" xfId="37603" xr:uid="{00000000-0005-0000-0000-0000D22E0000}"/>
    <cellStyle name="20% - Accent4 4 8 2 4" xfId="26302" xr:uid="{00000000-0005-0000-0000-0000D32E0000}"/>
    <cellStyle name="20% - Accent4 4 8 3" xfId="5226" xr:uid="{00000000-0005-0000-0000-0000D42E0000}"/>
    <cellStyle name="20% - Accent4 4 8 3 2" xfId="10876" xr:uid="{00000000-0005-0000-0000-0000D52E0000}"/>
    <cellStyle name="20% - Accent4 4 8 3 2 2" xfId="22177" xr:uid="{00000000-0005-0000-0000-0000D62E0000}"/>
    <cellStyle name="20% - Accent4 4 8 3 2 2 2" xfId="44779" xr:uid="{00000000-0005-0000-0000-0000D72E0000}"/>
    <cellStyle name="20% - Accent4 4 8 3 2 3" xfId="33478" xr:uid="{00000000-0005-0000-0000-0000D82E0000}"/>
    <cellStyle name="20% - Accent4 4 8 3 3" xfId="16527" xr:uid="{00000000-0005-0000-0000-0000D92E0000}"/>
    <cellStyle name="20% - Accent4 4 8 3 3 2" xfId="39129" xr:uid="{00000000-0005-0000-0000-0000DA2E0000}"/>
    <cellStyle name="20% - Accent4 4 8 3 4" xfId="27828" xr:uid="{00000000-0005-0000-0000-0000DB2E0000}"/>
    <cellStyle name="20% - Accent4 4 8 4" xfId="7544" xr:uid="{00000000-0005-0000-0000-0000DC2E0000}"/>
    <cellStyle name="20% - Accent4 4 8 4 2" xfId="18845" xr:uid="{00000000-0005-0000-0000-0000DD2E0000}"/>
    <cellStyle name="20% - Accent4 4 8 4 2 2" xfId="41447" xr:uid="{00000000-0005-0000-0000-0000DE2E0000}"/>
    <cellStyle name="20% - Accent4 4 8 4 3" xfId="30146" xr:uid="{00000000-0005-0000-0000-0000DF2E0000}"/>
    <cellStyle name="20% - Accent4 4 8 5" xfId="13195" xr:uid="{00000000-0005-0000-0000-0000E02E0000}"/>
    <cellStyle name="20% - Accent4 4 8 5 2" xfId="35797" xr:uid="{00000000-0005-0000-0000-0000E12E0000}"/>
    <cellStyle name="20% - Accent4 4 8 6" xfId="24496" xr:uid="{00000000-0005-0000-0000-0000E22E0000}"/>
    <cellStyle name="20% - Accent4 4 9" xfId="2197" xr:uid="{00000000-0005-0000-0000-0000E32E0000}"/>
    <cellStyle name="20% - Accent4 4 9 2" xfId="8040" xr:uid="{00000000-0005-0000-0000-0000E42E0000}"/>
    <cellStyle name="20% - Accent4 4 9 2 2" xfId="19341" xr:uid="{00000000-0005-0000-0000-0000E52E0000}"/>
    <cellStyle name="20% - Accent4 4 9 2 2 2" xfId="41943" xr:uid="{00000000-0005-0000-0000-0000E62E0000}"/>
    <cellStyle name="20% - Accent4 4 9 2 3" xfId="30642" xr:uid="{00000000-0005-0000-0000-0000E72E0000}"/>
    <cellStyle name="20% - Accent4 4 9 3" xfId="13691" xr:uid="{00000000-0005-0000-0000-0000E82E0000}"/>
    <cellStyle name="20% - Accent4 4 9 3 2" xfId="36293" xr:uid="{00000000-0005-0000-0000-0000E92E0000}"/>
    <cellStyle name="20% - Accent4 4 9 4" xfId="24992" xr:uid="{00000000-0005-0000-0000-0000EA2E0000}"/>
    <cellStyle name="20% - Accent4 5" xfId="269" xr:uid="{00000000-0005-0000-0000-0000EB2E0000}"/>
    <cellStyle name="20% - Accent4 5 10" xfId="12134" xr:uid="{00000000-0005-0000-0000-0000EC2E0000}"/>
    <cellStyle name="20% - Accent4 5 10 2" xfId="34736" xr:uid="{00000000-0005-0000-0000-0000ED2E0000}"/>
    <cellStyle name="20% - Accent4 5 11" xfId="23435" xr:uid="{00000000-0005-0000-0000-0000EE2E0000}"/>
    <cellStyle name="20% - Accent4 5 2" xfId="436" xr:uid="{00000000-0005-0000-0000-0000EF2E0000}"/>
    <cellStyle name="20% - Accent4 5 2 10" xfId="23531" xr:uid="{00000000-0005-0000-0000-0000F02E0000}"/>
    <cellStyle name="20% - Accent4 5 2 2" xfId="681" xr:uid="{00000000-0005-0000-0000-0000F12E0000}"/>
    <cellStyle name="20% - Accent4 5 2 2 2" xfId="1391" xr:uid="{00000000-0005-0000-0000-0000F22E0000}"/>
    <cellStyle name="20% - Accent4 5 2 2 2 2" xfId="1705" xr:uid="{00000000-0005-0000-0000-0000F32E0000}"/>
    <cellStyle name="20% - Accent4 5 2 2 2 2 2" xfId="3460" xr:uid="{00000000-0005-0000-0000-0000F42E0000}"/>
    <cellStyle name="20% - Accent4 5 2 2 2 2 2 2" xfId="6432" xr:uid="{00000000-0005-0000-0000-0000F52E0000}"/>
    <cellStyle name="20% - Accent4 5 2 2 2 2 2 2 2" xfId="12082" xr:uid="{00000000-0005-0000-0000-0000F62E0000}"/>
    <cellStyle name="20% - Accent4 5 2 2 2 2 2 2 2 2" xfId="23383" xr:uid="{00000000-0005-0000-0000-0000F72E0000}"/>
    <cellStyle name="20% - Accent4 5 2 2 2 2 2 2 2 2 2" xfId="45985" xr:uid="{00000000-0005-0000-0000-0000F82E0000}"/>
    <cellStyle name="20% - Accent4 5 2 2 2 2 2 2 2 3" xfId="34684" xr:uid="{00000000-0005-0000-0000-0000F92E0000}"/>
    <cellStyle name="20% - Accent4 5 2 2 2 2 2 2 3" xfId="17733" xr:uid="{00000000-0005-0000-0000-0000FA2E0000}"/>
    <cellStyle name="20% - Accent4 5 2 2 2 2 2 2 3 2" xfId="40335" xr:uid="{00000000-0005-0000-0000-0000FB2E0000}"/>
    <cellStyle name="20% - Accent4 5 2 2 2 2 2 2 4" xfId="29034" xr:uid="{00000000-0005-0000-0000-0000FC2E0000}"/>
    <cellStyle name="20% - Accent4 5 2 2 2 2 2 3" xfId="9250" xr:uid="{00000000-0005-0000-0000-0000FD2E0000}"/>
    <cellStyle name="20% - Accent4 5 2 2 2 2 2 3 2" xfId="20551" xr:uid="{00000000-0005-0000-0000-0000FE2E0000}"/>
    <cellStyle name="20% - Accent4 5 2 2 2 2 2 3 2 2" xfId="43153" xr:uid="{00000000-0005-0000-0000-0000FF2E0000}"/>
    <cellStyle name="20% - Accent4 5 2 2 2 2 2 3 3" xfId="31852" xr:uid="{00000000-0005-0000-0000-0000002F0000}"/>
    <cellStyle name="20% - Accent4 5 2 2 2 2 2 4" xfId="14901" xr:uid="{00000000-0005-0000-0000-0000012F0000}"/>
    <cellStyle name="20% - Accent4 5 2 2 2 2 2 4 2" xfId="37503" xr:uid="{00000000-0005-0000-0000-0000022F0000}"/>
    <cellStyle name="20% - Accent4 5 2 2 2 2 2 5" xfId="26202" xr:uid="{00000000-0005-0000-0000-0000032F0000}"/>
    <cellStyle name="20% - Accent4 5 2 2 2 2 3" xfId="5198" xr:uid="{00000000-0005-0000-0000-0000042F0000}"/>
    <cellStyle name="20% - Accent4 5 2 2 2 2 3 2" xfId="10848" xr:uid="{00000000-0005-0000-0000-0000052F0000}"/>
    <cellStyle name="20% - Accent4 5 2 2 2 2 3 2 2" xfId="22149" xr:uid="{00000000-0005-0000-0000-0000062F0000}"/>
    <cellStyle name="20% - Accent4 5 2 2 2 2 3 2 2 2" xfId="44751" xr:uid="{00000000-0005-0000-0000-0000072F0000}"/>
    <cellStyle name="20% - Accent4 5 2 2 2 2 3 2 3" xfId="33450" xr:uid="{00000000-0005-0000-0000-0000082F0000}"/>
    <cellStyle name="20% - Accent4 5 2 2 2 2 3 3" xfId="16499" xr:uid="{00000000-0005-0000-0000-0000092F0000}"/>
    <cellStyle name="20% - Accent4 5 2 2 2 2 3 3 2" xfId="39101" xr:uid="{00000000-0005-0000-0000-00000A2F0000}"/>
    <cellStyle name="20% - Accent4 5 2 2 2 2 3 4" xfId="27800" xr:uid="{00000000-0005-0000-0000-00000B2F0000}"/>
    <cellStyle name="20% - Accent4 5 2 2 2 2 4" xfId="7561" xr:uid="{00000000-0005-0000-0000-00000C2F0000}"/>
    <cellStyle name="20% - Accent4 5 2 2 2 2 4 2" xfId="18862" xr:uid="{00000000-0005-0000-0000-00000D2F0000}"/>
    <cellStyle name="20% - Accent4 5 2 2 2 2 4 2 2" xfId="41464" xr:uid="{00000000-0005-0000-0000-00000E2F0000}"/>
    <cellStyle name="20% - Accent4 5 2 2 2 2 4 3" xfId="30163" xr:uid="{00000000-0005-0000-0000-00000F2F0000}"/>
    <cellStyle name="20% - Accent4 5 2 2 2 2 5" xfId="13212" xr:uid="{00000000-0005-0000-0000-0000102F0000}"/>
    <cellStyle name="20% - Accent4 5 2 2 2 2 5 2" xfId="35814" xr:uid="{00000000-0005-0000-0000-0000112F0000}"/>
    <cellStyle name="20% - Accent4 5 2 2 2 2 6" xfId="24513" xr:uid="{00000000-0005-0000-0000-0000122F0000}"/>
    <cellStyle name="20% - Accent4 5 2 2 2 3" xfId="2789" xr:uid="{00000000-0005-0000-0000-0000132F0000}"/>
    <cellStyle name="20% - Accent4 5 2 2 2 3 2" xfId="5808" xr:uid="{00000000-0005-0000-0000-0000142F0000}"/>
    <cellStyle name="20% - Accent4 5 2 2 2 3 2 2" xfId="11458" xr:uid="{00000000-0005-0000-0000-0000152F0000}"/>
    <cellStyle name="20% - Accent4 5 2 2 2 3 2 2 2" xfId="22759" xr:uid="{00000000-0005-0000-0000-0000162F0000}"/>
    <cellStyle name="20% - Accent4 5 2 2 2 3 2 2 2 2" xfId="45361" xr:uid="{00000000-0005-0000-0000-0000172F0000}"/>
    <cellStyle name="20% - Accent4 5 2 2 2 3 2 2 3" xfId="34060" xr:uid="{00000000-0005-0000-0000-0000182F0000}"/>
    <cellStyle name="20% - Accent4 5 2 2 2 3 2 3" xfId="17109" xr:uid="{00000000-0005-0000-0000-0000192F0000}"/>
    <cellStyle name="20% - Accent4 5 2 2 2 3 2 3 2" xfId="39711" xr:uid="{00000000-0005-0000-0000-00001A2F0000}"/>
    <cellStyle name="20% - Accent4 5 2 2 2 3 2 4" xfId="28410" xr:uid="{00000000-0005-0000-0000-00001B2F0000}"/>
    <cellStyle name="20% - Accent4 5 2 2 2 3 3" xfId="8625" xr:uid="{00000000-0005-0000-0000-00001C2F0000}"/>
    <cellStyle name="20% - Accent4 5 2 2 2 3 3 2" xfId="19926" xr:uid="{00000000-0005-0000-0000-00001D2F0000}"/>
    <cellStyle name="20% - Accent4 5 2 2 2 3 3 2 2" xfId="42528" xr:uid="{00000000-0005-0000-0000-00001E2F0000}"/>
    <cellStyle name="20% - Accent4 5 2 2 2 3 3 3" xfId="31227" xr:uid="{00000000-0005-0000-0000-00001F2F0000}"/>
    <cellStyle name="20% - Accent4 5 2 2 2 3 4" xfId="14276" xr:uid="{00000000-0005-0000-0000-0000202F0000}"/>
    <cellStyle name="20% - Accent4 5 2 2 2 3 4 2" xfId="36878" xr:uid="{00000000-0005-0000-0000-0000212F0000}"/>
    <cellStyle name="20% - Accent4 5 2 2 2 3 5" xfId="25577" xr:uid="{00000000-0005-0000-0000-0000222F0000}"/>
    <cellStyle name="20% - Accent4 5 2 2 2 4" xfId="4574" xr:uid="{00000000-0005-0000-0000-0000232F0000}"/>
    <cellStyle name="20% - Accent4 5 2 2 2 4 2" xfId="10224" xr:uid="{00000000-0005-0000-0000-0000242F0000}"/>
    <cellStyle name="20% - Accent4 5 2 2 2 4 2 2" xfId="21525" xr:uid="{00000000-0005-0000-0000-0000252F0000}"/>
    <cellStyle name="20% - Accent4 5 2 2 2 4 2 2 2" xfId="44127" xr:uid="{00000000-0005-0000-0000-0000262F0000}"/>
    <cellStyle name="20% - Accent4 5 2 2 2 4 2 3" xfId="32826" xr:uid="{00000000-0005-0000-0000-0000272F0000}"/>
    <cellStyle name="20% - Accent4 5 2 2 2 4 3" xfId="15875" xr:uid="{00000000-0005-0000-0000-0000282F0000}"/>
    <cellStyle name="20% - Accent4 5 2 2 2 4 3 2" xfId="38477" xr:uid="{00000000-0005-0000-0000-0000292F0000}"/>
    <cellStyle name="20% - Accent4 5 2 2 2 4 4" xfId="27176" xr:uid="{00000000-0005-0000-0000-00002A2F0000}"/>
    <cellStyle name="20% - Accent4 5 2 2 2 5" xfId="7370" xr:uid="{00000000-0005-0000-0000-00002B2F0000}"/>
    <cellStyle name="20% - Accent4 5 2 2 2 5 2" xfId="18671" xr:uid="{00000000-0005-0000-0000-00002C2F0000}"/>
    <cellStyle name="20% - Accent4 5 2 2 2 5 2 2" xfId="41273" xr:uid="{00000000-0005-0000-0000-00002D2F0000}"/>
    <cellStyle name="20% - Accent4 5 2 2 2 5 3" xfId="29972" xr:uid="{00000000-0005-0000-0000-00002E2F0000}"/>
    <cellStyle name="20% - Accent4 5 2 2 2 6" xfId="13021" xr:uid="{00000000-0005-0000-0000-00002F2F0000}"/>
    <cellStyle name="20% - Accent4 5 2 2 2 6 2" xfId="35623" xr:uid="{00000000-0005-0000-0000-0000302F0000}"/>
    <cellStyle name="20% - Accent4 5 2 2 2 7" xfId="24322" xr:uid="{00000000-0005-0000-0000-0000312F0000}"/>
    <cellStyle name="20% - Accent4 5 2 2 3" xfId="1089" xr:uid="{00000000-0005-0000-0000-0000322F0000}"/>
    <cellStyle name="20% - Accent4 5 2 2 3 2" xfId="3152" xr:uid="{00000000-0005-0000-0000-0000332F0000}"/>
    <cellStyle name="20% - Accent4 5 2 2 3 2 2" xfId="6124" xr:uid="{00000000-0005-0000-0000-0000342F0000}"/>
    <cellStyle name="20% - Accent4 5 2 2 3 2 2 2" xfId="11774" xr:uid="{00000000-0005-0000-0000-0000352F0000}"/>
    <cellStyle name="20% - Accent4 5 2 2 3 2 2 2 2" xfId="23075" xr:uid="{00000000-0005-0000-0000-0000362F0000}"/>
    <cellStyle name="20% - Accent4 5 2 2 3 2 2 2 2 2" xfId="45677" xr:uid="{00000000-0005-0000-0000-0000372F0000}"/>
    <cellStyle name="20% - Accent4 5 2 2 3 2 2 2 3" xfId="34376" xr:uid="{00000000-0005-0000-0000-0000382F0000}"/>
    <cellStyle name="20% - Accent4 5 2 2 3 2 2 3" xfId="17425" xr:uid="{00000000-0005-0000-0000-0000392F0000}"/>
    <cellStyle name="20% - Accent4 5 2 2 3 2 2 3 2" xfId="40027" xr:uid="{00000000-0005-0000-0000-00003A2F0000}"/>
    <cellStyle name="20% - Accent4 5 2 2 3 2 2 4" xfId="28726" xr:uid="{00000000-0005-0000-0000-00003B2F0000}"/>
    <cellStyle name="20% - Accent4 5 2 2 3 2 3" xfId="8942" xr:uid="{00000000-0005-0000-0000-00003C2F0000}"/>
    <cellStyle name="20% - Accent4 5 2 2 3 2 3 2" xfId="20243" xr:uid="{00000000-0005-0000-0000-00003D2F0000}"/>
    <cellStyle name="20% - Accent4 5 2 2 3 2 3 2 2" xfId="42845" xr:uid="{00000000-0005-0000-0000-00003E2F0000}"/>
    <cellStyle name="20% - Accent4 5 2 2 3 2 3 3" xfId="31544" xr:uid="{00000000-0005-0000-0000-00003F2F0000}"/>
    <cellStyle name="20% - Accent4 5 2 2 3 2 4" xfId="14593" xr:uid="{00000000-0005-0000-0000-0000402F0000}"/>
    <cellStyle name="20% - Accent4 5 2 2 3 2 4 2" xfId="37195" xr:uid="{00000000-0005-0000-0000-0000412F0000}"/>
    <cellStyle name="20% - Accent4 5 2 2 3 2 5" xfId="25894" xr:uid="{00000000-0005-0000-0000-0000422F0000}"/>
    <cellStyle name="20% - Accent4 5 2 2 3 3" xfId="4890" xr:uid="{00000000-0005-0000-0000-0000432F0000}"/>
    <cellStyle name="20% - Accent4 5 2 2 3 3 2" xfId="10540" xr:uid="{00000000-0005-0000-0000-0000442F0000}"/>
    <cellStyle name="20% - Accent4 5 2 2 3 3 2 2" xfId="21841" xr:uid="{00000000-0005-0000-0000-0000452F0000}"/>
    <cellStyle name="20% - Accent4 5 2 2 3 3 2 2 2" xfId="44443" xr:uid="{00000000-0005-0000-0000-0000462F0000}"/>
    <cellStyle name="20% - Accent4 5 2 2 3 3 2 3" xfId="33142" xr:uid="{00000000-0005-0000-0000-0000472F0000}"/>
    <cellStyle name="20% - Accent4 5 2 2 3 3 3" xfId="16191" xr:uid="{00000000-0005-0000-0000-0000482F0000}"/>
    <cellStyle name="20% - Accent4 5 2 2 3 3 3 2" xfId="38793" xr:uid="{00000000-0005-0000-0000-0000492F0000}"/>
    <cellStyle name="20% - Accent4 5 2 2 3 3 4" xfId="27492" xr:uid="{00000000-0005-0000-0000-00004A2F0000}"/>
    <cellStyle name="20% - Accent4 5 2 2 3 4" xfId="7077" xr:uid="{00000000-0005-0000-0000-00004B2F0000}"/>
    <cellStyle name="20% - Accent4 5 2 2 3 4 2" xfId="18378" xr:uid="{00000000-0005-0000-0000-00004C2F0000}"/>
    <cellStyle name="20% - Accent4 5 2 2 3 4 2 2" xfId="40980" xr:uid="{00000000-0005-0000-0000-00004D2F0000}"/>
    <cellStyle name="20% - Accent4 5 2 2 3 4 3" xfId="29679" xr:uid="{00000000-0005-0000-0000-00004E2F0000}"/>
    <cellStyle name="20% - Accent4 5 2 2 3 5" xfId="12728" xr:uid="{00000000-0005-0000-0000-00004F2F0000}"/>
    <cellStyle name="20% - Accent4 5 2 2 3 5 2" xfId="35330" xr:uid="{00000000-0005-0000-0000-0000502F0000}"/>
    <cellStyle name="20% - Accent4 5 2 2 3 6" xfId="24029" xr:uid="{00000000-0005-0000-0000-0000512F0000}"/>
    <cellStyle name="20% - Accent4 5 2 2 4" xfId="1704" xr:uid="{00000000-0005-0000-0000-0000522F0000}"/>
    <cellStyle name="20% - Accent4 5 2 2 4 2" xfId="3647" xr:uid="{00000000-0005-0000-0000-0000532F0000}"/>
    <cellStyle name="20% - Accent4 5 2 2 4 2 2" xfId="9359" xr:uid="{00000000-0005-0000-0000-0000542F0000}"/>
    <cellStyle name="20% - Accent4 5 2 2 4 2 2 2" xfId="20660" xr:uid="{00000000-0005-0000-0000-0000552F0000}"/>
    <cellStyle name="20% - Accent4 5 2 2 4 2 2 2 2" xfId="43262" xr:uid="{00000000-0005-0000-0000-0000562F0000}"/>
    <cellStyle name="20% - Accent4 5 2 2 4 2 2 3" xfId="31961" xr:uid="{00000000-0005-0000-0000-0000572F0000}"/>
    <cellStyle name="20% - Accent4 5 2 2 4 2 3" xfId="15010" xr:uid="{00000000-0005-0000-0000-0000582F0000}"/>
    <cellStyle name="20% - Accent4 5 2 2 4 2 3 2" xfId="37612" xr:uid="{00000000-0005-0000-0000-0000592F0000}"/>
    <cellStyle name="20% - Accent4 5 2 2 4 2 4" xfId="26311" xr:uid="{00000000-0005-0000-0000-00005A2F0000}"/>
    <cellStyle name="20% - Accent4 5 2 2 4 3" xfId="5500" xr:uid="{00000000-0005-0000-0000-00005B2F0000}"/>
    <cellStyle name="20% - Accent4 5 2 2 4 3 2" xfId="11150" xr:uid="{00000000-0005-0000-0000-00005C2F0000}"/>
    <cellStyle name="20% - Accent4 5 2 2 4 3 2 2" xfId="22451" xr:uid="{00000000-0005-0000-0000-00005D2F0000}"/>
    <cellStyle name="20% - Accent4 5 2 2 4 3 2 2 2" xfId="45053" xr:uid="{00000000-0005-0000-0000-00005E2F0000}"/>
    <cellStyle name="20% - Accent4 5 2 2 4 3 2 3" xfId="33752" xr:uid="{00000000-0005-0000-0000-00005F2F0000}"/>
    <cellStyle name="20% - Accent4 5 2 2 4 3 3" xfId="16801" xr:uid="{00000000-0005-0000-0000-0000602F0000}"/>
    <cellStyle name="20% - Accent4 5 2 2 4 3 3 2" xfId="39403" xr:uid="{00000000-0005-0000-0000-0000612F0000}"/>
    <cellStyle name="20% - Accent4 5 2 2 4 3 4" xfId="28102" xr:uid="{00000000-0005-0000-0000-0000622F0000}"/>
    <cellStyle name="20% - Accent4 5 2 2 4 4" xfId="7560" xr:uid="{00000000-0005-0000-0000-0000632F0000}"/>
    <cellStyle name="20% - Accent4 5 2 2 4 4 2" xfId="18861" xr:uid="{00000000-0005-0000-0000-0000642F0000}"/>
    <cellStyle name="20% - Accent4 5 2 2 4 4 2 2" xfId="41463" xr:uid="{00000000-0005-0000-0000-0000652F0000}"/>
    <cellStyle name="20% - Accent4 5 2 2 4 4 3" xfId="30162" xr:uid="{00000000-0005-0000-0000-0000662F0000}"/>
    <cellStyle name="20% - Accent4 5 2 2 4 5" xfId="13211" xr:uid="{00000000-0005-0000-0000-0000672F0000}"/>
    <cellStyle name="20% - Accent4 5 2 2 4 5 2" xfId="35813" xr:uid="{00000000-0005-0000-0000-0000682F0000}"/>
    <cellStyle name="20% - Accent4 5 2 2 4 6" xfId="24512" xr:uid="{00000000-0005-0000-0000-0000692F0000}"/>
    <cellStyle name="20% - Accent4 5 2 2 5" xfId="2481" xr:uid="{00000000-0005-0000-0000-00006A2F0000}"/>
    <cellStyle name="20% - Accent4 5 2 2 5 2" xfId="8317" xr:uid="{00000000-0005-0000-0000-00006B2F0000}"/>
    <cellStyle name="20% - Accent4 5 2 2 5 2 2" xfId="19618" xr:uid="{00000000-0005-0000-0000-00006C2F0000}"/>
    <cellStyle name="20% - Accent4 5 2 2 5 2 2 2" xfId="42220" xr:uid="{00000000-0005-0000-0000-00006D2F0000}"/>
    <cellStyle name="20% - Accent4 5 2 2 5 2 3" xfId="30919" xr:uid="{00000000-0005-0000-0000-00006E2F0000}"/>
    <cellStyle name="20% - Accent4 5 2 2 5 3" xfId="13968" xr:uid="{00000000-0005-0000-0000-00006F2F0000}"/>
    <cellStyle name="20% - Accent4 5 2 2 5 3 2" xfId="36570" xr:uid="{00000000-0005-0000-0000-0000702F0000}"/>
    <cellStyle name="20% - Accent4 5 2 2 5 4" xfId="25269" xr:uid="{00000000-0005-0000-0000-0000712F0000}"/>
    <cellStyle name="20% - Accent4 5 2 2 6" xfId="4266" xr:uid="{00000000-0005-0000-0000-0000722F0000}"/>
    <cellStyle name="20% - Accent4 5 2 2 6 2" xfId="9916" xr:uid="{00000000-0005-0000-0000-0000732F0000}"/>
    <cellStyle name="20% - Accent4 5 2 2 6 2 2" xfId="21217" xr:uid="{00000000-0005-0000-0000-0000742F0000}"/>
    <cellStyle name="20% - Accent4 5 2 2 6 2 2 2" xfId="43819" xr:uid="{00000000-0005-0000-0000-0000752F0000}"/>
    <cellStyle name="20% - Accent4 5 2 2 6 2 3" xfId="32518" xr:uid="{00000000-0005-0000-0000-0000762F0000}"/>
    <cellStyle name="20% - Accent4 5 2 2 6 3" xfId="15567" xr:uid="{00000000-0005-0000-0000-0000772F0000}"/>
    <cellStyle name="20% - Accent4 5 2 2 6 3 2" xfId="38169" xr:uid="{00000000-0005-0000-0000-0000782F0000}"/>
    <cellStyle name="20% - Accent4 5 2 2 6 4" xfId="26868" xr:uid="{00000000-0005-0000-0000-0000792F0000}"/>
    <cellStyle name="20% - Accent4 5 2 2 7" xfId="6746" xr:uid="{00000000-0005-0000-0000-00007A2F0000}"/>
    <cellStyle name="20% - Accent4 5 2 2 7 2" xfId="18047" xr:uid="{00000000-0005-0000-0000-00007B2F0000}"/>
    <cellStyle name="20% - Accent4 5 2 2 7 2 2" xfId="40649" xr:uid="{00000000-0005-0000-0000-00007C2F0000}"/>
    <cellStyle name="20% - Accent4 5 2 2 7 3" xfId="29348" xr:uid="{00000000-0005-0000-0000-00007D2F0000}"/>
    <cellStyle name="20% - Accent4 5 2 2 8" xfId="12397" xr:uid="{00000000-0005-0000-0000-00007E2F0000}"/>
    <cellStyle name="20% - Accent4 5 2 2 8 2" xfId="34999" xr:uid="{00000000-0005-0000-0000-00007F2F0000}"/>
    <cellStyle name="20% - Accent4 5 2 2 9" xfId="23698" xr:uid="{00000000-0005-0000-0000-0000802F0000}"/>
    <cellStyle name="20% - Accent4 5 2 3" xfId="1253" xr:uid="{00000000-0005-0000-0000-0000812F0000}"/>
    <cellStyle name="20% - Accent4 5 2 3 2" xfId="1706" xr:uid="{00000000-0005-0000-0000-0000822F0000}"/>
    <cellStyle name="20% - Accent4 5 2 3 2 2" xfId="3321" xr:uid="{00000000-0005-0000-0000-0000832F0000}"/>
    <cellStyle name="20% - Accent4 5 2 3 2 2 2" xfId="6293" xr:uid="{00000000-0005-0000-0000-0000842F0000}"/>
    <cellStyle name="20% - Accent4 5 2 3 2 2 2 2" xfId="11943" xr:uid="{00000000-0005-0000-0000-0000852F0000}"/>
    <cellStyle name="20% - Accent4 5 2 3 2 2 2 2 2" xfId="23244" xr:uid="{00000000-0005-0000-0000-0000862F0000}"/>
    <cellStyle name="20% - Accent4 5 2 3 2 2 2 2 2 2" xfId="45846" xr:uid="{00000000-0005-0000-0000-0000872F0000}"/>
    <cellStyle name="20% - Accent4 5 2 3 2 2 2 2 3" xfId="34545" xr:uid="{00000000-0005-0000-0000-0000882F0000}"/>
    <cellStyle name="20% - Accent4 5 2 3 2 2 2 3" xfId="17594" xr:uid="{00000000-0005-0000-0000-0000892F0000}"/>
    <cellStyle name="20% - Accent4 5 2 3 2 2 2 3 2" xfId="40196" xr:uid="{00000000-0005-0000-0000-00008A2F0000}"/>
    <cellStyle name="20% - Accent4 5 2 3 2 2 2 4" xfId="28895" xr:uid="{00000000-0005-0000-0000-00008B2F0000}"/>
    <cellStyle name="20% - Accent4 5 2 3 2 2 3" xfId="9111" xr:uid="{00000000-0005-0000-0000-00008C2F0000}"/>
    <cellStyle name="20% - Accent4 5 2 3 2 2 3 2" xfId="20412" xr:uid="{00000000-0005-0000-0000-00008D2F0000}"/>
    <cellStyle name="20% - Accent4 5 2 3 2 2 3 2 2" xfId="43014" xr:uid="{00000000-0005-0000-0000-00008E2F0000}"/>
    <cellStyle name="20% - Accent4 5 2 3 2 2 3 3" xfId="31713" xr:uid="{00000000-0005-0000-0000-00008F2F0000}"/>
    <cellStyle name="20% - Accent4 5 2 3 2 2 4" xfId="14762" xr:uid="{00000000-0005-0000-0000-0000902F0000}"/>
    <cellStyle name="20% - Accent4 5 2 3 2 2 4 2" xfId="37364" xr:uid="{00000000-0005-0000-0000-0000912F0000}"/>
    <cellStyle name="20% - Accent4 5 2 3 2 2 5" xfId="26063" xr:uid="{00000000-0005-0000-0000-0000922F0000}"/>
    <cellStyle name="20% - Accent4 5 2 3 2 3" xfId="5059" xr:uid="{00000000-0005-0000-0000-0000932F0000}"/>
    <cellStyle name="20% - Accent4 5 2 3 2 3 2" xfId="10709" xr:uid="{00000000-0005-0000-0000-0000942F0000}"/>
    <cellStyle name="20% - Accent4 5 2 3 2 3 2 2" xfId="22010" xr:uid="{00000000-0005-0000-0000-0000952F0000}"/>
    <cellStyle name="20% - Accent4 5 2 3 2 3 2 2 2" xfId="44612" xr:uid="{00000000-0005-0000-0000-0000962F0000}"/>
    <cellStyle name="20% - Accent4 5 2 3 2 3 2 3" xfId="33311" xr:uid="{00000000-0005-0000-0000-0000972F0000}"/>
    <cellStyle name="20% - Accent4 5 2 3 2 3 3" xfId="16360" xr:uid="{00000000-0005-0000-0000-0000982F0000}"/>
    <cellStyle name="20% - Accent4 5 2 3 2 3 3 2" xfId="38962" xr:uid="{00000000-0005-0000-0000-0000992F0000}"/>
    <cellStyle name="20% - Accent4 5 2 3 2 3 4" xfId="27661" xr:uid="{00000000-0005-0000-0000-00009A2F0000}"/>
    <cellStyle name="20% - Accent4 5 2 3 2 4" xfId="7562" xr:uid="{00000000-0005-0000-0000-00009B2F0000}"/>
    <cellStyle name="20% - Accent4 5 2 3 2 4 2" xfId="18863" xr:uid="{00000000-0005-0000-0000-00009C2F0000}"/>
    <cellStyle name="20% - Accent4 5 2 3 2 4 2 2" xfId="41465" xr:uid="{00000000-0005-0000-0000-00009D2F0000}"/>
    <cellStyle name="20% - Accent4 5 2 3 2 4 3" xfId="30164" xr:uid="{00000000-0005-0000-0000-00009E2F0000}"/>
    <cellStyle name="20% - Accent4 5 2 3 2 5" xfId="13213" xr:uid="{00000000-0005-0000-0000-00009F2F0000}"/>
    <cellStyle name="20% - Accent4 5 2 3 2 5 2" xfId="35815" xr:uid="{00000000-0005-0000-0000-0000A02F0000}"/>
    <cellStyle name="20% - Accent4 5 2 3 2 6" xfId="24514" xr:uid="{00000000-0005-0000-0000-0000A12F0000}"/>
    <cellStyle name="20% - Accent4 5 2 3 3" xfId="2650" xr:uid="{00000000-0005-0000-0000-0000A22F0000}"/>
    <cellStyle name="20% - Accent4 5 2 3 3 2" xfId="5669" xr:uid="{00000000-0005-0000-0000-0000A32F0000}"/>
    <cellStyle name="20% - Accent4 5 2 3 3 2 2" xfId="11319" xr:uid="{00000000-0005-0000-0000-0000A42F0000}"/>
    <cellStyle name="20% - Accent4 5 2 3 3 2 2 2" xfId="22620" xr:uid="{00000000-0005-0000-0000-0000A52F0000}"/>
    <cellStyle name="20% - Accent4 5 2 3 3 2 2 2 2" xfId="45222" xr:uid="{00000000-0005-0000-0000-0000A62F0000}"/>
    <cellStyle name="20% - Accent4 5 2 3 3 2 2 3" xfId="33921" xr:uid="{00000000-0005-0000-0000-0000A72F0000}"/>
    <cellStyle name="20% - Accent4 5 2 3 3 2 3" xfId="16970" xr:uid="{00000000-0005-0000-0000-0000A82F0000}"/>
    <cellStyle name="20% - Accent4 5 2 3 3 2 3 2" xfId="39572" xr:uid="{00000000-0005-0000-0000-0000A92F0000}"/>
    <cellStyle name="20% - Accent4 5 2 3 3 2 4" xfId="28271" xr:uid="{00000000-0005-0000-0000-0000AA2F0000}"/>
    <cellStyle name="20% - Accent4 5 2 3 3 3" xfId="8486" xr:uid="{00000000-0005-0000-0000-0000AB2F0000}"/>
    <cellStyle name="20% - Accent4 5 2 3 3 3 2" xfId="19787" xr:uid="{00000000-0005-0000-0000-0000AC2F0000}"/>
    <cellStyle name="20% - Accent4 5 2 3 3 3 2 2" xfId="42389" xr:uid="{00000000-0005-0000-0000-0000AD2F0000}"/>
    <cellStyle name="20% - Accent4 5 2 3 3 3 3" xfId="31088" xr:uid="{00000000-0005-0000-0000-0000AE2F0000}"/>
    <cellStyle name="20% - Accent4 5 2 3 3 4" xfId="14137" xr:uid="{00000000-0005-0000-0000-0000AF2F0000}"/>
    <cellStyle name="20% - Accent4 5 2 3 3 4 2" xfId="36739" xr:uid="{00000000-0005-0000-0000-0000B02F0000}"/>
    <cellStyle name="20% - Accent4 5 2 3 3 5" xfId="25438" xr:uid="{00000000-0005-0000-0000-0000B12F0000}"/>
    <cellStyle name="20% - Accent4 5 2 3 4" xfId="4435" xr:uid="{00000000-0005-0000-0000-0000B22F0000}"/>
    <cellStyle name="20% - Accent4 5 2 3 4 2" xfId="10085" xr:uid="{00000000-0005-0000-0000-0000B32F0000}"/>
    <cellStyle name="20% - Accent4 5 2 3 4 2 2" xfId="21386" xr:uid="{00000000-0005-0000-0000-0000B42F0000}"/>
    <cellStyle name="20% - Accent4 5 2 3 4 2 2 2" xfId="43988" xr:uid="{00000000-0005-0000-0000-0000B52F0000}"/>
    <cellStyle name="20% - Accent4 5 2 3 4 2 3" xfId="32687" xr:uid="{00000000-0005-0000-0000-0000B62F0000}"/>
    <cellStyle name="20% - Accent4 5 2 3 4 3" xfId="15736" xr:uid="{00000000-0005-0000-0000-0000B72F0000}"/>
    <cellStyle name="20% - Accent4 5 2 3 4 3 2" xfId="38338" xr:uid="{00000000-0005-0000-0000-0000B82F0000}"/>
    <cellStyle name="20% - Accent4 5 2 3 4 4" xfId="27037" xr:uid="{00000000-0005-0000-0000-0000B92F0000}"/>
    <cellStyle name="20% - Accent4 5 2 3 5" xfId="7232" xr:uid="{00000000-0005-0000-0000-0000BA2F0000}"/>
    <cellStyle name="20% - Accent4 5 2 3 5 2" xfId="18533" xr:uid="{00000000-0005-0000-0000-0000BB2F0000}"/>
    <cellStyle name="20% - Accent4 5 2 3 5 2 2" xfId="41135" xr:uid="{00000000-0005-0000-0000-0000BC2F0000}"/>
    <cellStyle name="20% - Accent4 5 2 3 5 3" xfId="29834" xr:uid="{00000000-0005-0000-0000-0000BD2F0000}"/>
    <cellStyle name="20% - Accent4 5 2 3 6" xfId="12883" xr:uid="{00000000-0005-0000-0000-0000BE2F0000}"/>
    <cellStyle name="20% - Accent4 5 2 3 6 2" xfId="35485" xr:uid="{00000000-0005-0000-0000-0000BF2F0000}"/>
    <cellStyle name="20% - Accent4 5 2 3 7" xfId="24184" xr:uid="{00000000-0005-0000-0000-0000C02F0000}"/>
    <cellStyle name="20% - Accent4 5 2 4" xfId="944" xr:uid="{00000000-0005-0000-0000-0000C12F0000}"/>
    <cellStyle name="20% - Accent4 5 2 4 2" xfId="3014" xr:uid="{00000000-0005-0000-0000-0000C22F0000}"/>
    <cellStyle name="20% - Accent4 5 2 4 2 2" xfId="5986" xr:uid="{00000000-0005-0000-0000-0000C32F0000}"/>
    <cellStyle name="20% - Accent4 5 2 4 2 2 2" xfId="11636" xr:uid="{00000000-0005-0000-0000-0000C42F0000}"/>
    <cellStyle name="20% - Accent4 5 2 4 2 2 2 2" xfId="22937" xr:uid="{00000000-0005-0000-0000-0000C52F0000}"/>
    <cellStyle name="20% - Accent4 5 2 4 2 2 2 2 2" xfId="45539" xr:uid="{00000000-0005-0000-0000-0000C62F0000}"/>
    <cellStyle name="20% - Accent4 5 2 4 2 2 2 3" xfId="34238" xr:uid="{00000000-0005-0000-0000-0000C72F0000}"/>
    <cellStyle name="20% - Accent4 5 2 4 2 2 3" xfId="17287" xr:uid="{00000000-0005-0000-0000-0000C82F0000}"/>
    <cellStyle name="20% - Accent4 5 2 4 2 2 3 2" xfId="39889" xr:uid="{00000000-0005-0000-0000-0000C92F0000}"/>
    <cellStyle name="20% - Accent4 5 2 4 2 2 4" xfId="28588" xr:uid="{00000000-0005-0000-0000-0000CA2F0000}"/>
    <cellStyle name="20% - Accent4 5 2 4 2 3" xfId="8804" xr:uid="{00000000-0005-0000-0000-0000CB2F0000}"/>
    <cellStyle name="20% - Accent4 5 2 4 2 3 2" xfId="20105" xr:uid="{00000000-0005-0000-0000-0000CC2F0000}"/>
    <cellStyle name="20% - Accent4 5 2 4 2 3 2 2" xfId="42707" xr:uid="{00000000-0005-0000-0000-0000CD2F0000}"/>
    <cellStyle name="20% - Accent4 5 2 4 2 3 3" xfId="31406" xr:uid="{00000000-0005-0000-0000-0000CE2F0000}"/>
    <cellStyle name="20% - Accent4 5 2 4 2 4" xfId="14455" xr:uid="{00000000-0005-0000-0000-0000CF2F0000}"/>
    <cellStyle name="20% - Accent4 5 2 4 2 4 2" xfId="37057" xr:uid="{00000000-0005-0000-0000-0000D02F0000}"/>
    <cellStyle name="20% - Accent4 5 2 4 2 5" xfId="25756" xr:uid="{00000000-0005-0000-0000-0000D12F0000}"/>
    <cellStyle name="20% - Accent4 5 2 4 3" xfId="4752" xr:uid="{00000000-0005-0000-0000-0000D22F0000}"/>
    <cellStyle name="20% - Accent4 5 2 4 3 2" xfId="10402" xr:uid="{00000000-0005-0000-0000-0000D32F0000}"/>
    <cellStyle name="20% - Accent4 5 2 4 3 2 2" xfId="21703" xr:uid="{00000000-0005-0000-0000-0000D42F0000}"/>
    <cellStyle name="20% - Accent4 5 2 4 3 2 2 2" xfId="44305" xr:uid="{00000000-0005-0000-0000-0000D52F0000}"/>
    <cellStyle name="20% - Accent4 5 2 4 3 2 3" xfId="33004" xr:uid="{00000000-0005-0000-0000-0000D62F0000}"/>
    <cellStyle name="20% - Accent4 5 2 4 3 3" xfId="16053" xr:uid="{00000000-0005-0000-0000-0000D72F0000}"/>
    <cellStyle name="20% - Accent4 5 2 4 3 3 2" xfId="38655" xr:uid="{00000000-0005-0000-0000-0000D82F0000}"/>
    <cellStyle name="20% - Accent4 5 2 4 3 4" xfId="27354" xr:uid="{00000000-0005-0000-0000-0000D92F0000}"/>
    <cellStyle name="20% - Accent4 5 2 4 4" xfId="6939" xr:uid="{00000000-0005-0000-0000-0000DA2F0000}"/>
    <cellStyle name="20% - Accent4 5 2 4 4 2" xfId="18240" xr:uid="{00000000-0005-0000-0000-0000DB2F0000}"/>
    <cellStyle name="20% - Accent4 5 2 4 4 2 2" xfId="40842" xr:uid="{00000000-0005-0000-0000-0000DC2F0000}"/>
    <cellStyle name="20% - Accent4 5 2 4 4 3" xfId="29541" xr:uid="{00000000-0005-0000-0000-0000DD2F0000}"/>
    <cellStyle name="20% - Accent4 5 2 4 5" xfId="12590" xr:uid="{00000000-0005-0000-0000-0000DE2F0000}"/>
    <cellStyle name="20% - Accent4 5 2 4 5 2" xfId="35192" xr:uid="{00000000-0005-0000-0000-0000DF2F0000}"/>
    <cellStyle name="20% - Accent4 5 2 4 6" xfId="23891" xr:uid="{00000000-0005-0000-0000-0000E02F0000}"/>
    <cellStyle name="20% - Accent4 5 2 5" xfId="1703" xr:uid="{00000000-0005-0000-0000-0000E12F0000}"/>
    <cellStyle name="20% - Accent4 5 2 5 2" xfId="3646" xr:uid="{00000000-0005-0000-0000-0000E22F0000}"/>
    <cellStyle name="20% - Accent4 5 2 5 2 2" xfId="9358" xr:uid="{00000000-0005-0000-0000-0000E32F0000}"/>
    <cellStyle name="20% - Accent4 5 2 5 2 2 2" xfId="20659" xr:uid="{00000000-0005-0000-0000-0000E42F0000}"/>
    <cellStyle name="20% - Accent4 5 2 5 2 2 2 2" xfId="43261" xr:uid="{00000000-0005-0000-0000-0000E52F0000}"/>
    <cellStyle name="20% - Accent4 5 2 5 2 2 3" xfId="31960" xr:uid="{00000000-0005-0000-0000-0000E62F0000}"/>
    <cellStyle name="20% - Accent4 5 2 5 2 3" xfId="15009" xr:uid="{00000000-0005-0000-0000-0000E72F0000}"/>
    <cellStyle name="20% - Accent4 5 2 5 2 3 2" xfId="37611" xr:uid="{00000000-0005-0000-0000-0000E82F0000}"/>
    <cellStyle name="20% - Accent4 5 2 5 2 4" xfId="26310" xr:uid="{00000000-0005-0000-0000-0000E92F0000}"/>
    <cellStyle name="20% - Accent4 5 2 5 3" xfId="5362" xr:uid="{00000000-0005-0000-0000-0000EA2F0000}"/>
    <cellStyle name="20% - Accent4 5 2 5 3 2" xfId="11012" xr:uid="{00000000-0005-0000-0000-0000EB2F0000}"/>
    <cellStyle name="20% - Accent4 5 2 5 3 2 2" xfId="22313" xr:uid="{00000000-0005-0000-0000-0000EC2F0000}"/>
    <cellStyle name="20% - Accent4 5 2 5 3 2 2 2" xfId="44915" xr:uid="{00000000-0005-0000-0000-0000ED2F0000}"/>
    <cellStyle name="20% - Accent4 5 2 5 3 2 3" xfId="33614" xr:uid="{00000000-0005-0000-0000-0000EE2F0000}"/>
    <cellStyle name="20% - Accent4 5 2 5 3 3" xfId="16663" xr:uid="{00000000-0005-0000-0000-0000EF2F0000}"/>
    <cellStyle name="20% - Accent4 5 2 5 3 3 2" xfId="39265" xr:uid="{00000000-0005-0000-0000-0000F02F0000}"/>
    <cellStyle name="20% - Accent4 5 2 5 3 4" xfId="27964" xr:uid="{00000000-0005-0000-0000-0000F12F0000}"/>
    <cellStyle name="20% - Accent4 5 2 5 4" xfId="7559" xr:uid="{00000000-0005-0000-0000-0000F22F0000}"/>
    <cellStyle name="20% - Accent4 5 2 5 4 2" xfId="18860" xr:uid="{00000000-0005-0000-0000-0000F32F0000}"/>
    <cellStyle name="20% - Accent4 5 2 5 4 2 2" xfId="41462" xr:uid="{00000000-0005-0000-0000-0000F42F0000}"/>
    <cellStyle name="20% - Accent4 5 2 5 4 3" xfId="30161" xr:uid="{00000000-0005-0000-0000-0000F52F0000}"/>
    <cellStyle name="20% - Accent4 5 2 5 5" xfId="13210" xr:uid="{00000000-0005-0000-0000-0000F62F0000}"/>
    <cellStyle name="20% - Accent4 5 2 5 5 2" xfId="35812" xr:uid="{00000000-0005-0000-0000-0000F72F0000}"/>
    <cellStyle name="20% - Accent4 5 2 5 6" xfId="24511" xr:uid="{00000000-0005-0000-0000-0000F82F0000}"/>
    <cellStyle name="20% - Accent4 5 2 6" xfId="2341" xr:uid="{00000000-0005-0000-0000-0000F92F0000}"/>
    <cellStyle name="20% - Accent4 5 2 6 2" xfId="8177" xr:uid="{00000000-0005-0000-0000-0000FA2F0000}"/>
    <cellStyle name="20% - Accent4 5 2 6 2 2" xfId="19478" xr:uid="{00000000-0005-0000-0000-0000FB2F0000}"/>
    <cellStyle name="20% - Accent4 5 2 6 2 2 2" xfId="42080" xr:uid="{00000000-0005-0000-0000-0000FC2F0000}"/>
    <cellStyle name="20% - Accent4 5 2 6 2 3" xfId="30779" xr:uid="{00000000-0005-0000-0000-0000FD2F0000}"/>
    <cellStyle name="20% - Accent4 5 2 6 3" xfId="13828" xr:uid="{00000000-0005-0000-0000-0000FE2F0000}"/>
    <cellStyle name="20% - Accent4 5 2 6 3 2" xfId="36430" xr:uid="{00000000-0005-0000-0000-0000FF2F0000}"/>
    <cellStyle name="20% - Accent4 5 2 6 4" xfId="25129" xr:uid="{00000000-0005-0000-0000-000000300000}"/>
    <cellStyle name="20% - Accent4 5 2 7" xfId="4128" xr:uid="{00000000-0005-0000-0000-000001300000}"/>
    <cellStyle name="20% - Accent4 5 2 7 2" xfId="9778" xr:uid="{00000000-0005-0000-0000-000002300000}"/>
    <cellStyle name="20% - Accent4 5 2 7 2 2" xfId="21079" xr:uid="{00000000-0005-0000-0000-000003300000}"/>
    <cellStyle name="20% - Accent4 5 2 7 2 2 2" xfId="43681" xr:uid="{00000000-0005-0000-0000-000004300000}"/>
    <cellStyle name="20% - Accent4 5 2 7 2 3" xfId="32380" xr:uid="{00000000-0005-0000-0000-000005300000}"/>
    <cellStyle name="20% - Accent4 5 2 7 3" xfId="15429" xr:uid="{00000000-0005-0000-0000-000006300000}"/>
    <cellStyle name="20% - Accent4 5 2 7 3 2" xfId="38031" xr:uid="{00000000-0005-0000-0000-000007300000}"/>
    <cellStyle name="20% - Accent4 5 2 7 4" xfId="26730" xr:uid="{00000000-0005-0000-0000-000008300000}"/>
    <cellStyle name="20% - Accent4 5 2 8" xfId="6579" xr:uid="{00000000-0005-0000-0000-000009300000}"/>
    <cellStyle name="20% - Accent4 5 2 8 2" xfId="17880" xr:uid="{00000000-0005-0000-0000-00000A300000}"/>
    <cellStyle name="20% - Accent4 5 2 8 2 2" xfId="40482" xr:uid="{00000000-0005-0000-0000-00000B300000}"/>
    <cellStyle name="20% - Accent4 5 2 8 3" xfId="29181" xr:uid="{00000000-0005-0000-0000-00000C300000}"/>
    <cellStyle name="20% - Accent4 5 2 9" xfId="12230" xr:uid="{00000000-0005-0000-0000-00000D300000}"/>
    <cellStyle name="20% - Accent4 5 2 9 2" xfId="34832" xr:uid="{00000000-0005-0000-0000-00000E300000}"/>
    <cellStyle name="20% - Accent4 5 3" xfId="584" xr:uid="{00000000-0005-0000-0000-00000F300000}"/>
    <cellStyle name="20% - Accent4 5 3 2" xfId="1297" xr:uid="{00000000-0005-0000-0000-000010300000}"/>
    <cellStyle name="20% - Accent4 5 3 2 2" xfId="1708" xr:uid="{00000000-0005-0000-0000-000011300000}"/>
    <cellStyle name="20% - Accent4 5 3 2 2 2" xfId="3366" xr:uid="{00000000-0005-0000-0000-000012300000}"/>
    <cellStyle name="20% - Accent4 5 3 2 2 2 2" xfId="6338" xr:uid="{00000000-0005-0000-0000-000013300000}"/>
    <cellStyle name="20% - Accent4 5 3 2 2 2 2 2" xfId="11988" xr:uid="{00000000-0005-0000-0000-000014300000}"/>
    <cellStyle name="20% - Accent4 5 3 2 2 2 2 2 2" xfId="23289" xr:uid="{00000000-0005-0000-0000-000015300000}"/>
    <cellStyle name="20% - Accent4 5 3 2 2 2 2 2 2 2" xfId="45891" xr:uid="{00000000-0005-0000-0000-000016300000}"/>
    <cellStyle name="20% - Accent4 5 3 2 2 2 2 2 3" xfId="34590" xr:uid="{00000000-0005-0000-0000-000017300000}"/>
    <cellStyle name="20% - Accent4 5 3 2 2 2 2 3" xfId="17639" xr:uid="{00000000-0005-0000-0000-000018300000}"/>
    <cellStyle name="20% - Accent4 5 3 2 2 2 2 3 2" xfId="40241" xr:uid="{00000000-0005-0000-0000-000019300000}"/>
    <cellStyle name="20% - Accent4 5 3 2 2 2 2 4" xfId="28940" xr:uid="{00000000-0005-0000-0000-00001A300000}"/>
    <cellStyle name="20% - Accent4 5 3 2 2 2 3" xfId="9156" xr:uid="{00000000-0005-0000-0000-00001B300000}"/>
    <cellStyle name="20% - Accent4 5 3 2 2 2 3 2" xfId="20457" xr:uid="{00000000-0005-0000-0000-00001C300000}"/>
    <cellStyle name="20% - Accent4 5 3 2 2 2 3 2 2" xfId="43059" xr:uid="{00000000-0005-0000-0000-00001D300000}"/>
    <cellStyle name="20% - Accent4 5 3 2 2 2 3 3" xfId="31758" xr:uid="{00000000-0005-0000-0000-00001E300000}"/>
    <cellStyle name="20% - Accent4 5 3 2 2 2 4" xfId="14807" xr:uid="{00000000-0005-0000-0000-00001F300000}"/>
    <cellStyle name="20% - Accent4 5 3 2 2 2 4 2" xfId="37409" xr:uid="{00000000-0005-0000-0000-000020300000}"/>
    <cellStyle name="20% - Accent4 5 3 2 2 2 5" xfId="26108" xr:uid="{00000000-0005-0000-0000-000021300000}"/>
    <cellStyle name="20% - Accent4 5 3 2 2 3" xfId="5104" xr:uid="{00000000-0005-0000-0000-000022300000}"/>
    <cellStyle name="20% - Accent4 5 3 2 2 3 2" xfId="10754" xr:uid="{00000000-0005-0000-0000-000023300000}"/>
    <cellStyle name="20% - Accent4 5 3 2 2 3 2 2" xfId="22055" xr:uid="{00000000-0005-0000-0000-000024300000}"/>
    <cellStyle name="20% - Accent4 5 3 2 2 3 2 2 2" xfId="44657" xr:uid="{00000000-0005-0000-0000-000025300000}"/>
    <cellStyle name="20% - Accent4 5 3 2 2 3 2 3" xfId="33356" xr:uid="{00000000-0005-0000-0000-000026300000}"/>
    <cellStyle name="20% - Accent4 5 3 2 2 3 3" xfId="16405" xr:uid="{00000000-0005-0000-0000-000027300000}"/>
    <cellStyle name="20% - Accent4 5 3 2 2 3 3 2" xfId="39007" xr:uid="{00000000-0005-0000-0000-000028300000}"/>
    <cellStyle name="20% - Accent4 5 3 2 2 3 4" xfId="27706" xr:uid="{00000000-0005-0000-0000-000029300000}"/>
    <cellStyle name="20% - Accent4 5 3 2 2 4" xfId="7564" xr:uid="{00000000-0005-0000-0000-00002A300000}"/>
    <cellStyle name="20% - Accent4 5 3 2 2 4 2" xfId="18865" xr:uid="{00000000-0005-0000-0000-00002B300000}"/>
    <cellStyle name="20% - Accent4 5 3 2 2 4 2 2" xfId="41467" xr:uid="{00000000-0005-0000-0000-00002C300000}"/>
    <cellStyle name="20% - Accent4 5 3 2 2 4 3" xfId="30166" xr:uid="{00000000-0005-0000-0000-00002D300000}"/>
    <cellStyle name="20% - Accent4 5 3 2 2 5" xfId="13215" xr:uid="{00000000-0005-0000-0000-00002E300000}"/>
    <cellStyle name="20% - Accent4 5 3 2 2 5 2" xfId="35817" xr:uid="{00000000-0005-0000-0000-00002F300000}"/>
    <cellStyle name="20% - Accent4 5 3 2 2 6" xfId="24516" xr:uid="{00000000-0005-0000-0000-000030300000}"/>
    <cellStyle name="20% - Accent4 5 3 2 3" xfId="2695" xr:uid="{00000000-0005-0000-0000-000031300000}"/>
    <cellStyle name="20% - Accent4 5 3 2 3 2" xfId="5714" xr:uid="{00000000-0005-0000-0000-000032300000}"/>
    <cellStyle name="20% - Accent4 5 3 2 3 2 2" xfId="11364" xr:uid="{00000000-0005-0000-0000-000033300000}"/>
    <cellStyle name="20% - Accent4 5 3 2 3 2 2 2" xfId="22665" xr:uid="{00000000-0005-0000-0000-000034300000}"/>
    <cellStyle name="20% - Accent4 5 3 2 3 2 2 2 2" xfId="45267" xr:uid="{00000000-0005-0000-0000-000035300000}"/>
    <cellStyle name="20% - Accent4 5 3 2 3 2 2 3" xfId="33966" xr:uid="{00000000-0005-0000-0000-000036300000}"/>
    <cellStyle name="20% - Accent4 5 3 2 3 2 3" xfId="17015" xr:uid="{00000000-0005-0000-0000-000037300000}"/>
    <cellStyle name="20% - Accent4 5 3 2 3 2 3 2" xfId="39617" xr:uid="{00000000-0005-0000-0000-000038300000}"/>
    <cellStyle name="20% - Accent4 5 3 2 3 2 4" xfId="28316" xr:uid="{00000000-0005-0000-0000-000039300000}"/>
    <cellStyle name="20% - Accent4 5 3 2 3 3" xfId="8531" xr:uid="{00000000-0005-0000-0000-00003A300000}"/>
    <cellStyle name="20% - Accent4 5 3 2 3 3 2" xfId="19832" xr:uid="{00000000-0005-0000-0000-00003B300000}"/>
    <cellStyle name="20% - Accent4 5 3 2 3 3 2 2" xfId="42434" xr:uid="{00000000-0005-0000-0000-00003C300000}"/>
    <cellStyle name="20% - Accent4 5 3 2 3 3 3" xfId="31133" xr:uid="{00000000-0005-0000-0000-00003D300000}"/>
    <cellStyle name="20% - Accent4 5 3 2 3 4" xfId="14182" xr:uid="{00000000-0005-0000-0000-00003E300000}"/>
    <cellStyle name="20% - Accent4 5 3 2 3 4 2" xfId="36784" xr:uid="{00000000-0005-0000-0000-00003F300000}"/>
    <cellStyle name="20% - Accent4 5 3 2 3 5" xfId="25483" xr:uid="{00000000-0005-0000-0000-000040300000}"/>
    <cellStyle name="20% - Accent4 5 3 2 4" xfId="4480" xr:uid="{00000000-0005-0000-0000-000041300000}"/>
    <cellStyle name="20% - Accent4 5 3 2 4 2" xfId="10130" xr:uid="{00000000-0005-0000-0000-000042300000}"/>
    <cellStyle name="20% - Accent4 5 3 2 4 2 2" xfId="21431" xr:uid="{00000000-0005-0000-0000-000043300000}"/>
    <cellStyle name="20% - Accent4 5 3 2 4 2 2 2" xfId="44033" xr:uid="{00000000-0005-0000-0000-000044300000}"/>
    <cellStyle name="20% - Accent4 5 3 2 4 2 3" xfId="32732" xr:uid="{00000000-0005-0000-0000-000045300000}"/>
    <cellStyle name="20% - Accent4 5 3 2 4 3" xfId="15781" xr:uid="{00000000-0005-0000-0000-000046300000}"/>
    <cellStyle name="20% - Accent4 5 3 2 4 3 2" xfId="38383" xr:uid="{00000000-0005-0000-0000-000047300000}"/>
    <cellStyle name="20% - Accent4 5 3 2 4 4" xfId="27082" xr:uid="{00000000-0005-0000-0000-000048300000}"/>
    <cellStyle name="20% - Accent4 5 3 2 5" xfId="7276" xr:uid="{00000000-0005-0000-0000-000049300000}"/>
    <cellStyle name="20% - Accent4 5 3 2 5 2" xfId="18577" xr:uid="{00000000-0005-0000-0000-00004A300000}"/>
    <cellStyle name="20% - Accent4 5 3 2 5 2 2" xfId="41179" xr:uid="{00000000-0005-0000-0000-00004B300000}"/>
    <cellStyle name="20% - Accent4 5 3 2 5 3" xfId="29878" xr:uid="{00000000-0005-0000-0000-00004C300000}"/>
    <cellStyle name="20% - Accent4 5 3 2 6" xfId="12927" xr:uid="{00000000-0005-0000-0000-00004D300000}"/>
    <cellStyle name="20% - Accent4 5 3 2 6 2" xfId="35529" xr:uid="{00000000-0005-0000-0000-00004E300000}"/>
    <cellStyle name="20% - Accent4 5 3 2 7" xfId="24228" xr:uid="{00000000-0005-0000-0000-00004F300000}"/>
    <cellStyle name="20% - Accent4 5 3 3" xfId="995" xr:uid="{00000000-0005-0000-0000-000050300000}"/>
    <cellStyle name="20% - Accent4 5 3 3 2" xfId="3058" xr:uid="{00000000-0005-0000-0000-000051300000}"/>
    <cellStyle name="20% - Accent4 5 3 3 2 2" xfId="6030" xr:uid="{00000000-0005-0000-0000-000052300000}"/>
    <cellStyle name="20% - Accent4 5 3 3 2 2 2" xfId="11680" xr:uid="{00000000-0005-0000-0000-000053300000}"/>
    <cellStyle name="20% - Accent4 5 3 3 2 2 2 2" xfId="22981" xr:uid="{00000000-0005-0000-0000-000054300000}"/>
    <cellStyle name="20% - Accent4 5 3 3 2 2 2 2 2" xfId="45583" xr:uid="{00000000-0005-0000-0000-000055300000}"/>
    <cellStyle name="20% - Accent4 5 3 3 2 2 2 3" xfId="34282" xr:uid="{00000000-0005-0000-0000-000056300000}"/>
    <cellStyle name="20% - Accent4 5 3 3 2 2 3" xfId="17331" xr:uid="{00000000-0005-0000-0000-000057300000}"/>
    <cellStyle name="20% - Accent4 5 3 3 2 2 3 2" xfId="39933" xr:uid="{00000000-0005-0000-0000-000058300000}"/>
    <cellStyle name="20% - Accent4 5 3 3 2 2 4" xfId="28632" xr:uid="{00000000-0005-0000-0000-000059300000}"/>
    <cellStyle name="20% - Accent4 5 3 3 2 3" xfId="8848" xr:uid="{00000000-0005-0000-0000-00005A300000}"/>
    <cellStyle name="20% - Accent4 5 3 3 2 3 2" xfId="20149" xr:uid="{00000000-0005-0000-0000-00005B300000}"/>
    <cellStyle name="20% - Accent4 5 3 3 2 3 2 2" xfId="42751" xr:uid="{00000000-0005-0000-0000-00005C300000}"/>
    <cellStyle name="20% - Accent4 5 3 3 2 3 3" xfId="31450" xr:uid="{00000000-0005-0000-0000-00005D300000}"/>
    <cellStyle name="20% - Accent4 5 3 3 2 4" xfId="14499" xr:uid="{00000000-0005-0000-0000-00005E300000}"/>
    <cellStyle name="20% - Accent4 5 3 3 2 4 2" xfId="37101" xr:uid="{00000000-0005-0000-0000-00005F300000}"/>
    <cellStyle name="20% - Accent4 5 3 3 2 5" xfId="25800" xr:uid="{00000000-0005-0000-0000-000060300000}"/>
    <cellStyle name="20% - Accent4 5 3 3 3" xfId="4796" xr:uid="{00000000-0005-0000-0000-000061300000}"/>
    <cellStyle name="20% - Accent4 5 3 3 3 2" xfId="10446" xr:uid="{00000000-0005-0000-0000-000062300000}"/>
    <cellStyle name="20% - Accent4 5 3 3 3 2 2" xfId="21747" xr:uid="{00000000-0005-0000-0000-000063300000}"/>
    <cellStyle name="20% - Accent4 5 3 3 3 2 2 2" xfId="44349" xr:uid="{00000000-0005-0000-0000-000064300000}"/>
    <cellStyle name="20% - Accent4 5 3 3 3 2 3" xfId="33048" xr:uid="{00000000-0005-0000-0000-000065300000}"/>
    <cellStyle name="20% - Accent4 5 3 3 3 3" xfId="16097" xr:uid="{00000000-0005-0000-0000-000066300000}"/>
    <cellStyle name="20% - Accent4 5 3 3 3 3 2" xfId="38699" xr:uid="{00000000-0005-0000-0000-000067300000}"/>
    <cellStyle name="20% - Accent4 5 3 3 3 4" xfId="27398" xr:uid="{00000000-0005-0000-0000-000068300000}"/>
    <cellStyle name="20% - Accent4 5 3 3 4" xfId="6983" xr:uid="{00000000-0005-0000-0000-000069300000}"/>
    <cellStyle name="20% - Accent4 5 3 3 4 2" xfId="18284" xr:uid="{00000000-0005-0000-0000-00006A300000}"/>
    <cellStyle name="20% - Accent4 5 3 3 4 2 2" xfId="40886" xr:uid="{00000000-0005-0000-0000-00006B300000}"/>
    <cellStyle name="20% - Accent4 5 3 3 4 3" xfId="29585" xr:uid="{00000000-0005-0000-0000-00006C300000}"/>
    <cellStyle name="20% - Accent4 5 3 3 5" xfId="12634" xr:uid="{00000000-0005-0000-0000-00006D300000}"/>
    <cellStyle name="20% - Accent4 5 3 3 5 2" xfId="35236" xr:uid="{00000000-0005-0000-0000-00006E300000}"/>
    <cellStyle name="20% - Accent4 5 3 3 6" xfId="23935" xr:uid="{00000000-0005-0000-0000-00006F300000}"/>
    <cellStyle name="20% - Accent4 5 3 4" xfId="1707" xr:uid="{00000000-0005-0000-0000-000070300000}"/>
    <cellStyle name="20% - Accent4 5 3 4 2" xfId="3648" xr:uid="{00000000-0005-0000-0000-000071300000}"/>
    <cellStyle name="20% - Accent4 5 3 4 2 2" xfId="9360" xr:uid="{00000000-0005-0000-0000-000072300000}"/>
    <cellStyle name="20% - Accent4 5 3 4 2 2 2" xfId="20661" xr:uid="{00000000-0005-0000-0000-000073300000}"/>
    <cellStyle name="20% - Accent4 5 3 4 2 2 2 2" xfId="43263" xr:uid="{00000000-0005-0000-0000-000074300000}"/>
    <cellStyle name="20% - Accent4 5 3 4 2 2 3" xfId="31962" xr:uid="{00000000-0005-0000-0000-000075300000}"/>
    <cellStyle name="20% - Accent4 5 3 4 2 3" xfId="15011" xr:uid="{00000000-0005-0000-0000-000076300000}"/>
    <cellStyle name="20% - Accent4 5 3 4 2 3 2" xfId="37613" xr:uid="{00000000-0005-0000-0000-000077300000}"/>
    <cellStyle name="20% - Accent4 5 3 4 2 4" xfId="26312" xr:uid="{00000000-0005-0000-0000-000078300000}"/>
    <cellStyle name="20% - Accent4 5 3 4 3" xfId="5406" xr:uid="{00000000-0005-0000-0000-000079300000}"/>
    <cellStyle name="20% - Accent4 5 3 4 3 2" xfId="11056" xr:uid="{00000000-0005-0000-0000-00007A300000}"/>
    <cellStyle name="20% - Accent4 5 3 4 3 2 2" xfId="22357" xr:uid="{00000000-0005-0000-0000-00007B300000}"/>
    <cellStyle name="20% - Accent4 5 3 4 3 2 2 2" xfId="44959" xr:uid="{00000000-0005-0000-0000-00007C300000}"/>
    <cellStyle name="20% - Accent4 5 3 4 3 2 3" xfId="33658" xr:uid="{00000000-0005-0000-0000-00007D300000}"/>
    <cellStyle name="20% - Accent4 5 3 4 3 3" xfId="16707" xr:uid="{00000000-0005-0000-0000-00007E300000}"/>
    <cellStyle name="20% - Accent4 5 3 4 3 3 2" xfId="39309" xr:uid="{00000000-0005-0000-0000-00007F300000}"/>
    <cellStyle name="20% - Accent4 5 3 4 3 4" xfId="28008" xr:uid="{00000000-0005-0000-0000-000080300000}"/>
    <cellStyle name="20% - Accent4 5 3 4 4" xfId="7563" xr:uid="{00000000-0005-0000-0000-000081300000}"/>
    <cellStyle name="20% - Accent4 5 3 4 4 2" xfId="18864" xr:uid="{00000000-0005-0000-0000-000082300000}"/>
    <cellStyle name="20% - Accent4 5 3 4 4 2 2" xfId="41466" xr:uid="{00000000-0005-0000-0000-000083300000}"/>
    <cellStyle name="20% - Accent4 5 3 4 4 3" xfId="30165" xr:uid="{00000000-0005-0000-0000-000084300000}"/>
    <cellStyle name="20% - Accent4 5 3 4 5" xfId="13214" xr:uid="{00000000-0005-0000-0000-000085300000}"/>
    <cellStyle name="20% - Accent4 5 3 4 5 2" xfId="35816" xr:uid="{00000000-0005-0000-0000-000086300000}"/>
    <cellStyle name="20% - Accent4 5 3 4 6" xfId="24515" xr:uid="{00000000-0005-0000-0000-000087300000}"/>
    <cellStyle name="20% - Accent4 5 3 5" xfId="2387" xr:uid="{00000000-0005-0000-0000-000088300000}"/>
    <cellStyle name="20% - Accent4 5 3 5 2" xfId="8223" xr:uid="{00000000-0005-0000-0000-000089300000}"/>
    <cellStyle name="20% - Accent4 5 3 5 2 2" xfId="19524" xr:uid="{00000000-0005-0000-0000-00008A300000}"/>
    <cellStyle name="20% - Accent4 5 3 5 2 2 2" xfId="42126" xr:uid="{00000000-0005-0000-0000-00008B300000}"/>
    <cellStyle name="20% - Accent4 5 3 5 2 3" xfId="30825" xr:uid="{00000000-0005-0000-0000-00008C300000}"/>
    <cellStyle name="20% - Accent4 5 3 5 3" xfId="13874" xr:uid="{00000000-0005-0000-0000-00008D300000}"/>
    <cellStyle name="20% - Accent4 5 3 5 3 2" xfId="36476" xr:uid="{00000000-0005-0000-0000-00008E300000}"/>
    <cellStyle name="20% - Accent4 5 3 5 4" xfId="25175" xr:uid="{00000000-0005-0000-0000-00008F300000}"/>
    <cellStyle name="20% - Accent4 5 3 6" xfId="4172" xr:uid="{00000000-0005-0000-0000-000090300000}"/>
    <cellStyle name="20% - Accent4 5 3 6 2" xfId="9822" xr:uid="{00000000-0005-0000-0000-000091300000}"/>
    <cellStyle name="20% - Accent4 5 3 6 2 2" xfId="21123" xr:uid="{00000000-0005-0000-0000-000092300000}"/>
    <cellStyle name="20% - Accent4 5 3 6 2 2 2" xfId="43725" xr:uid="{00000000-0005-0000-0000-000093300000}"/>
    <cellStyle name="20% - Accent4 5 3 6 2 3" xfId="32424" xr:uid="{00000000-0005-0000-0000-000094300000}"/>
    <cellStyle name="20% - Accent4 5 3 6 3" xfId="15473" xr:uid="{00000000-0005-0000-0000-000095300000}"/>
    <cellStyle name="20% - Accent4 5 3 6 3 2" xfId="38075" xr:uid="{00000000-0005-0000-0000-000096300000}"/>
    <cellStyle name="20% - Accent4 5 3 6 4" xfId="26774" xr:uid="{00000000-0005-0000-0000-000097300000}"/>
    <cellStyle name="20% - Accent4 5 3 7" xfId="6650" xr:uid="{00000000-0005-0000-0000-000098300000}"/>
    <cellStyle name="20% - Accent4 5 3 7 2" xfId="17951" xr:uid="{00000000-0005-0000-0000-000099300000}"/>
    <cellStyle name="20% - Accent4 5 3 7 2 2" xfId="40553" xr:uid="{00000000-0005-0000-0000-00009A300000}"/>
    <cellStyle name="20% - Accent4 5 3 7 3" xfId="29252" xr:uid="{00000000-0005-0000-0000-00009B300000}"/>
    <cellStyle name="20% - Accent4 5 3 8" xfId="12301" xr:uid="{00000000-0005-0000-0000-00009C300000}"/>
    <cellStyle name="20% - Accent4 5 3 8 2" xfId="34903" xr:uid="{00000000-0005-0000-0000-00009D300000}"/>
    <cellStyle name="20% - Accent4 5 3 9" xfId="23602" xr:uid="{00000000-0005-0000-0000-00009E300000}"/>
    <cellStyle name="20% - Accent4 5 4" xfId="1157" xr:uid="{00000000-0005-0000-0000-00009F300000}"/>
    <cellStyle name="20% - Accent4 5 4 2" xfId="1709" xr:uid="{00000000-0005-0000-0000-0000A0300000}"/>
    <cellStyle name="20% - Accent4 5 4 2 2" xfId="3225" xr:uid="{00000000-0005-0000-0000-0000A1300000}"/>
    <cellStyle name="20% - Accent4 5 4 2 2 2" xfId="6197" xr:uid="{00000000-0005-0000-0000-0000A2300000}"/>
    <cellStyle name="20% - Accent4 5 4 2 2 2 2" xfId="11847" xr:uid="{00000000-0005-0000-0000-0000A3300000}"/>
    <cellStyle name="20% - Accent4 5 4 2 2 2 2 2" xfId="23148" xr:uid="{00000000-0005-0000-0000-0000A4300000}"/>
    <cellStyle name="20% - Accent4 5 4 2 2 2 2 2 2" xfId="45750" xr:uid="{00000000-0005-0000-0000-0000A5300000}"/>
    <cellStyle name="20% - Accent4 5 4 2 2 2 2 3" xfId="34449" xr:uid="{00000000-0005-0000-0000-0000A6300000}"/>
    <cellStyle name="20% - Accent4 5 4 2 2 2 3" xfId="17498" xr:uid="{00000000-0005-0000-0000-0000A7300000}"/>
    <cellStyle name="20% - Accent4 5 4 2 2 2 3 2" xfId="40100" xr:uid="{00000000-0005-0000-0000-0000A8300000}"/>
    <cellStyle name="20% - Accent4 5 4 2 2 2 4" xfId="28799" xr:uid="{00000000-0005-0000-0000-0000A9300000}"/>
    <cellStyle name="20% - Accent4 5 4 2 2 3" xfId="9015" xr:uid="{00000000-0005-0000-0000-0000AA300000}"/>
    <cellStyle name="20% - Accent4 5 4 2 2 3 2" xfId="20316" xr:uid="{00000000-0005-0000-0000-0000AB300000}"/>
    <cellStyle name="20% - Accent4 5 4 2 2 3 2 2" xfId="42918" xr:uid="{00000000-0005-0000-0000-0000AC300000}"/>
    <cellStyle name="20% - Accent4 5 4 2 2 3 3" xfId="31617" xr:uid="{00000000-0005-0000-0000-0000AD300000}"/>
    <cellStyle name="20% - Accent4 5 4 2 2 4" xfId="14666" xr:uid="{00000000-0005-0000-0000-0000AE300000}"/>
    <cellStyle name="20% - Accent4 5 4 2 2 4 2" xfId="37268" xr:uid="{00000000-0005-0000-0000-0000AF300000}"/>
    <cellStyle name="20% - Accent4 5 4 2 2 5" xfId="25967" xr:uid="{00000000-0005-0000-0000-0000B0300000}"/>
    <cellStyle name="20% - Accent4 5 4 2 3" xfId="4963" xr:uid="{00000000-0005-0000-0000-0000B1300000}"/>
    <cellStyle name="20% - Accent4 5 4 2 3 2" xfId="10613" xr:uid="{00000000-0005-0000-0000-0000B2300000}"/>
    <cellStyle name="20% - Accent4 5 4 2 3 2 2" xfId="21914" xr:uid="{00000000-0005-0000-0000-0000B3300000}"/>
    <cellStyle name="20% - Accent4 5 4 2 3 2 2 2" xfId="44516" xr:uid="{00000000-0005-0000-0000-0000B4300000}"/>
    <cellStyle name="20% - Accent4 5 4 2 3 2 3" xfId="33215" xr:uid="{00000000-0005-0000-0000-0000B5300000}"/>
    <cellStyle name="20% - Accent4 5 4 2 3 3" xfId="16264" xr:uid="{00000000-0005-0000-0000-0000B6300000}"/>
    <cellStyle name="20% - Accent4 5 4 2 3 3 2" xfId="38866" xr:uid="{00000000-0005-0000-0000-0000B7300000}"/>
    <cellStyle name="20% - Accent4 5 4 2 3 4" xfId="27565" xr:uid="{00000000-0005-0000-0000-0000B8300000}"/>
    <cellStyle name="20% - Accent4 5 4 2 4" xfId="7565" xr:uid="{00000000-0005-0000-0000-0000B9300000}"/>
    <cellStyle name="20% - Accent4 5 4 2 4 2" xfId="18866" xr:uid="{00000000-0005-0000-0000-0000BA300000}"/>
    <cellStyle name="20% - Accent4 5 4 2 4 2 2" xfId="41468" xr:uid="{00000000-0005-0000-0000-0000BB300000}"/>
    <cellStyle name="20% - Accent4 5 4 2 4 3" xfId="30167" xr:uid="{00000000-0005-0000-0000-0000BC300000}"/>
    <cellStyle name="20% - Accent4 5 4 2 5" xfId="13216" xr:uid="{00000000-0005-0000-0000-0000BD300000}"/>
    <cellStyle name="20% - Accent4 5 4 2 5 2" xfId="35818" xr:uid="{00000000-0005-0000-0000-0000BE300000}"/>
    <cellStyle name="20% - Accent4 5 4 2 6" xfId="24517" xr:uid="{00000000-0005-0000-0000-0000BF300000}"/>
    <cellStyle name="20% - Accent4 5 4 3" xfId="2554" xr:uid="{00000000-0005-0000-0000-0000C0300000}"/>
    <cellStyle name="20% - Accent4 5 4 3 2" xfId="5573" xr:uid="{00000000-0005-0000-0000-0000C1300000}"/>
    <cellStyle name="20% - Accent4 5 4 3 2 2" xfId="11223" xr:uid="{00000000-0005-0000-0000-0000C2300000}"/>
    <cellStyle name="20% - Accent4 5 4 3 2 2 2" xfId="22524" xr:uid="{00000000-0005-0000-0000-0000C3300000}"/>
    <cellStyle name="20% - Accent4 5 4 3 2 2 2 2" xfId="45126" xr:uid="{00000000-0005-0000-0000-0000C4300000}"/>
    <cellStyle name="20% - Accent4 5 4 3 2 2 3" xfId="33825" xr:uid="{00000000-0005-0000-0000-0000C5300000}"/>
    <cellStyle name="20% - Accent4 5 4 3 2 3" xfId="16874" xr:uid="{00000000-0005-0000-0000-0000C6300000}"/>
    <cellStyle name="20% - Accent4 5 4 3 2 3 2" xfId="39476" xr:uid="{00000000-0005-0000-0000-0000C7300000}"/>
    <cellStyle name="20% - Accent4 5 4 3 2 4" xfId="28175" xr:uid="{00000000-0005-0000-0000-0000C8300000}"/>
    <cellStyle name="20% - Accent4 5 4 3 3" xfId="8390" xr:uid="{00000000-0005-0000-0000-0000C9300000}"/>
    <cellStyle name="20% - Accent4 5 4 3 3 2" xfId="19691" xr:uid="{00000000-0005-0000-0000-0000CA300000}"/>
    <cellStyle name="20% - Accent4 5 4 3 3 2 2" xfId="42293" xr:uid="{00000000-0005-0000-0000-0000CB300000}"/>
    <cellStyle name="20% - Accent4 5 4 3 3 3" xfId="30992" xr:uid="{00000000-0005-0000-0000-0000CC300000}"/>
    <cellStyle name="20% - Accent4 5 4 3 4" xfId="14041" xr:uid="{00000000-0005-0000-0000-0000CD300000}"/>
    <cellStyle name="20% - Accent4 5 4 3 4 2" xfId="36643" xr:uid="{00000000-0005-0000-0000-0000CE300000}"/>
    <cellStyle name="20% - Accent4 5 4 3 5" xfId="25342" xr:uid="{00000000-0005-0000-0000-0000CF300000}"/>
    <cellStyle name="20% - Accent4 5 4 4" xfId="4339" xr:uid="{00000000-0005-0000-0000-0000D0300000}"/>
    <cellStyle name="20% - Accent4 5 4 4 2" xfId="9989" xr:uid="{00000000-0005-0000-0000-0000D1300000}"/>
    <cellStyle name="20% - Accent4 5 4 4 2 2" xfId="21290" xr:uid="{00000000-0005-0000-0000-0000D2300000}"/>
    <cellStyle name="20% - Accent4 5 4 4 2 2 2" xfId="43892" xr:uid="{00000000-0005-0000-0000-0000D3300000}"/>
    <cellStyle name="20% - Accent4 5 4 4 2 3" xfId="32591" xr:uid="{00000000-0005-0000-0000-0000D4300000}"/>
    <cellStyle name="20% - Accent4 5 4 4 3" xfId="15640" xr:uid="{00000000-0005-0000-0000-0000D5300000}"/>
    <cellStyle name="20% - Accent4 5 4 4 3 2" xfId="38242" xr:uid="{00000000-0005-0000-0000-0000D6300000}"/>
    <cellStyle name="20% - Accent4 5 4 4 4" xfId="26941" xr:uid="{00000000-0005-0000-0000-0000D7300000}"/>
    <cellStyle name="20% - Accent4 5 4 5" xfId="7136" xr:uid="{00000000-0005-0000-0000-0000D8300000}"/>
    <cellStyle name="20% - Accent4 5 4 5 2" xfId="18437" xr:uid="{00000000-0005-0000-0000-0000D9300000}"/>
    <cellStyle name="20% - Accent4 5 4 5 2 2" xfId="41039" xr:uid="{00000000-0005-0000-0000-0000DA300000}"/>
    <cellStyle name="20% - Accent4 5 4 5 3" xfId="29738" xr:uid="{00000000-0005-0000-0000-0000DB300000}"/>
    <cellStyle name="20% - Accent4 5 4 6" xfId="12787" xr:uid="{00000000-0005-0000-0000-0000DC300000}"/>
    <cellStyle name="20% - Accent4 5 4 6 2" xfId="35389" xr:uid="{00000000-0005-0000-0000-0000DD300000}"/>
    <cellStyle name="20% - Accent4 5 4 7" xfId="24088" xr:uid="{00000000-0005-0000-0000-0000DE300000}"/>
    <cellStyle name="20% - Accent4 5 5" xfId="837" xr:uid="{00000000-0005-0000-0000-0000DF300000}"/>
    <cellStyle name="20% - Accent4 5 5 2" xfId="2918" xr:uid="{00000000-0005-0000-0000-0000E0300000}"/>
    <cellStyle name="20% - Accent4 5 5 2 2" xfId="5890" xr:uid="{00000000-0005-0000-0000-0000E1300000}"/>
    <cellStyle name="20% - Accent4 5 5 2 2 2" xfId="11540" xr:uid="{00000000-0005-0000-0000-0000E2300000}"/>
    <cellStyle name="20% - Accent4 5 5 2 2 2 2" xfId="22841" xr:uid="{00000000-0005-0000-0000-0000E3300000}"/>
    <cellStyle name="20% - Accent4 5 5 2 2 2 2 2" xfId="45443" xr:uid="{00000000-0005-0000-0000-0000E4300000}"/>
    <cellStyle name="20% - Accent4 5 5 2 2 2 3" xfId="34142" xr:uid="{00000000-0005-0000-0000-0000E5300000}"/>
    <cellStyle name="20% - Accent4 5 5 2 2 3" xfId="17191" xr:uid="{00000000-0005-0000-0000-0000E6300000}"/>
    <cellStyle name="20% - Accent4 5 5 2 2 3 2" xfId="39793" xr:uid="{00000000-0005-0000-0000-0000E7300000}"/>
    <cellStyle name="20% - Accent4 5 5 2 2 4" xfId="28492" xr:uid="{00000000-0005-0000-0000-0000E8300000}"/>
    <cellStyle name="20% - Accent4 5 5 2 3" xfId="8708" xr:uid="{00000000-0005-0000-0000-0000E9300000}"/>
    <cellStyle name="20% - Accent4 5 5 2 3 2" xfId="20009" xr:uid="{00000000-0005-0000-0000-0000EA300000}"/>
    <cellStyle name="20% - Accent4 5 5 2 3 2 2" xfId="42611" xr:uid="{00000000-0005-0000-0000-0000EB300000}"/>
    <cellStyle name="20% - Accent4 5 5 2 3 3" xfId="31310" xr:uid="{00000000-0005-0000-0000-0000EC300000}"/>
    <cellStyle name="20% - Accent4 5 5 2 4" xfId="14359" xr:uid="{00000000-0005-0000-0000-0000ED300000}"/>
    <cellStyle name="20% - Accent4 5 5 2 4 2" xfId="36961" xr:uid="{00000000-0005-0000-0000-0000EE300000}"/>
    <cellStyle name="20% - Accent4 5 5 2 5" xfId="25660" xr:uid="{00000000-0005-0000-0000-0000EF300000}"/>
    <cellStyle name="20% - Accent4 5 5 3" xfId="4656" xr:uid="{00000000-0005-0000-0000-0000F0300000}"/>
    <cellStyle name="20% - Accent4 5 5 3 2" xfId="10306" xr:uid="{00000000-0005-0000-0000-0000F1300000}"/>
    <cellStyle name="20% - Accent4 5 5 3 2 2" xfId="21607" xr:uid="{00000000-0005-0000-0000-0000F2300000}"/>
    <cellStyle name="20% - Accent4 5 5 3 2 2 2" xfId="44209" xr:uid="{00000000-0005-0000-0000-0000F3300000}"/>
    <cellStyle name="20% - Accent4 5 5 3 2 3" xfId="32908" xr:uid="{00000000-0005-0000-0000-0000F4300000}"/>
    <cellStyle name="20% - Accent4 5 5 3 3" xfId="15957" xr:uid="{00000000-0005-0000-0000-0000F5300000}"/>
    <cellStyle name="20% - Accent4 5 5 3 3 2" xfId="38559" xr:uid="{00000000-0005-0000-0000-0000F6300000}"/>
    <cellStyle name="20% - Accent4 5 5 3 4" xfId="27258" xr:uid="{00000000-0005-0000-0000-0000F7300000}"/>
    <cellStyle name="20% - Accent4 5 5 4" xfId="6842" xr:uid="{00000000-0005-0000-0000-0000F8300000}"/>
    <cellStyle name="20% - Accent4 5 5 4 2" xfId="18143" xr:uid="{00000000-0005-0000-0000-0000F9300000}"/>
    <cellStyle name="20% - Accent4 5 5 4 2 2" xfId="40745" xr:uid="{00000000-0005-0000-0000-0000FA300000}"/>
    <cellStyle name="20% - Accent4 5 5 4 3" xfId="29444" xr:uid="{00000000-0005-0000-0000-0000FB300000}"/>
    <cellStyle name="20% - Accent4 5 5 5" xfId="12493" xr:uid="{00000000-0005-0000-0000-0000FC300000}"/>
    <cellStyle name="20% - Accent4 5 5 5 2" xfId="35095" xr:uid="{00000000-0005-0000-0000-0000FD300000}"/>
    <cellStyle name="20% - Accent4 5 5 6" xfId="23794" xr:uid="{00000000-0005-0000-0000-0000FE300000}"/>
    <cellStyle name="20% - Accent4 5 6" xfId="1702" xr:uid="{00000000-0005-0000-0000-0000FF300000}"/>
    <cellStyle name="20% - Accent4 5 6 2" xfId="3645" xr:uid="{00000000-0005-0000-0000-000000310000}"/>
    <cellStyle name="20% - Accent4 5 6 2 2" xfId="9357" xr:uid="{00000000-0005-0000-0000-000001310000}"/>
    <cellStyle name="20% - Accent4 5 6 2 2 2" xfId="20658" xr:uid="{00000000-0005-0000-0000-000002310000}"/>
    <cellStyle name="20% - Accent4 5 6 2 2 2 2" xfId="43260" xr:uid="{00000000-0005-0000-0000-000003310000}"/>
    <cellStyle name="20% - Accent4 5 6 2 2 3" xfId="31959" xr:uid="{00000000-0005-0000-0000-000004310000}"/>
    <cellStyle name="20% - Accent4 5 6 2 3" xfId="15008" xr:uid="{00000000-0005-0000-0000-000005310000}"/>
    <cellStyle name="20% - Accent4 5 6 2 3 2" xfId="37610" xr:uid="{00000000-0005-0000-0000-000006310000}"/>
    <cellStyle name="20% - Accent4 5 6 2 4" xfId="26309" xr:uid="{00000000-0005-0000-0000-000007310000}"/>
    <cellStyle name="20% - Accent4 5 6 3" xfId="5266" xr:uid="{00000000-0005-0000-0000-000008310000}"/>
    <cellStyle name="20% - Accent4 5 6 3 2" xfId="10916" xr:uid="{00000000-0005-0000-0000-000009310000}"/>
    <cellStyle name="20% - Accent4 5 6 3 2 2" xfId="22217" xr:uid="{00000000-0005-0000-0000-00000A310000}"/>
    <cellStyle name="20% - Accent4 5 6 3 2 2 2" xfId="44819" xr:uid="{00000000-0005-0000-0000-00000B310000}"/>
    <cellStyle name="20% - Accent4 5 6 3 2 3" xfId="33518" xr:uid="{00000000-0005-0000-0000-00000C310000}"/>
    <cellStyle name="20% - Accent4 5 6 3 3" xfId="16567" xr:uid="{00000000-0005-0000-0000-00000D310000}"/>
    <cellStyle name="20% - Accent4 5 6 3 3 2" xfId="39169" xr:uid="{00000000-0005-0000-0000-00000E310000}"/>
    <cellStyle name="20% - Accent4 5 6 3 4" xfId="27868" xr:uid="{00000000-0005-0000-0000-00000F310000}"/>
    <cellStyle name="20% - Accent4 5 6 4" xfId="7558" xr:uid="{00000000-0005-0000-0000-000010310000}"/>
    <cellStyle name="20% - Accent4 5 6 4 2" xfId="18859" xr:uid="{00000000-0005-0000-0000-000011310000}"/>
    <cellStyle name="20% - Accent4 5 6 4 2 2" xfId="41461" xr:uid="{00000000-0005-0000-0000-000012310000}"/>
    <cellStyle name="20% - Accent4 5 6 4 3" xfId="30160" xr:uid="{00000000-0005-0000-0000-000013310000}"/>
    <cellStyle name="20% - Accent4 5 6 5" xfId="13209" xr:uid="{00000000-0005-0000-0000-000014310000}"/>
    <cellStyle name="20% - Accent4 5 6 5 2" xfId="35811" xr:uid="{00000000-0005-0000-0000-000015310000}"/>
    <cellStyle name="20% - Accent4 5 6 6" xfId="24510" xr:uid="{00000000-0005-0000-0000-000016310000}"/>
    <cellStyle name="20% - Accent4 5 7" xfId="2239" xr:uid="{00000000-0005-0000-0000-000017310000}"/>
    <cellStyle name="20% - Accent4 5 7 2" xfId="8080" xr:uid="{00000000-0005-0000-0000-000018310000}"/>
    <cellStyle name="20% - Accent4 5 7 2 2" xfId="19381" xr:uid="{00000000-0005-0000-0000-000019310000}"/>
    <cellStyle name="20% - Accent4 5 7 2 2 2" xfId="41983" xr:uid="{00000000-0005-0000-0000-00001A310000}"/>
    <cellStyle name="20% - Accent4 5 7 2 3" xfId="30682" xr:uid="{00000000-0005-0000-0000-00001B310000}"/>
    <cellStyle name="20% - Accent4 5 7 3" xfId="13731" xr:uid="{00000000-0005-0000-0000-00001C310000}"/>
    <cellStyle name="20% - Accent4 5 7 3 2" xfId="36333" xr:uid="{00000000-0005-0000-0000-00001D310000}"/>
    <cellStyle name="20% - Accent4 5 7 4" xfId="25032" xr:uid="{00000000-0005-0000-0000-00001E310000}"/>
    <cellStyle name="20% - Accent4 5 8" xfId="4032" xr:uid="{00000000-0005-0000-0000-00001F310000}"/>
    <cellStyle name="20% - Accent4 5 8 2" xfId="9682" xr:uid="{00000000-0005-0000-0000-000020310000}"/>
    <cellStyle name="20% - Accent4 5 8 2 2" xfId="20983" xr:uid="{00000000-0005-0000-0000-000021310000}"/>
    <cellStyle name="20% - Accent4 5 8 2 2 2" xfId="43585" xr:uid="{00000000-0005-0000-0000-000022310000}"/>
    <cellStyle name="20% - Accent4 5 8 2 3" xfId="32284" xr:uid="{00000000-0005-0000-0000-000023310000}"/>
    <cellStyle name="20% - Accent4 5 8 3" xfId="15333" xr:uid="{00000000-0005-0000-0000-000024310000}"/>
    <cellStyle name="20% - Accent4 5 8 3 2" xfId="37935" xr:uid="{00000000-0005-0000-0000-000025310000}"/>
    <cellStyle name="20% - Accent4 5 8 4" xfId="26634" xr:uid="{00000000-0005-0000-0000-000026310000}"/>
    <cellStyle name="20% - Accent4 5 9" xfId="6483" xr:uid="{00000000-0005-0000-0000-000027310000}"/>
    <cellStyle name="20% - Accent4 5 9 2" xfId="17784" xr:uid="{00000000-0005-0000-0000-000028310000}"/>
    <cellStyle name="20% - Accent4 5 9 2 2" xfId="40386" xr:uid="{00000000-0005-0000-0000-000029310000}"/>
    <cellStyle name="20% - Accent4 5 9 3" xfId="29085" xr:uid="{00000000-0005-0000-0000-00002A310000}"/>
    <cellStyle name="20% - Accent4 6" xfId="288" xr:uid="{00000000-0005-0000-0000-00002B310000}"/>
    <cellStyle name="20% - Accent4 7" xfId="394" xr:uid="{00000000-0005-0000-0000-00002C310000}"/>
    <cellStyle name="20% - Accent4 7 10" xfId="23489" xr:uid="{00000000-0005-0000-0000-00002D310000}"/>
    <cellStyle name="20% - Accent4 7 2" xfId="639" xr:uid="{00000000-0005-0000-0000-00002E310000}"/>
    <cellStyle name="20% - Accent4 7 2 2" xfId="1349" xr:uid="{00000000-0005-0000-0000-00002F310000}"/>
    <cellStyle name="20% - Accent4 7 2 2 2" xfId="1712" xr:uid="{00000000-0005-0000-0000-000030310000}"/>
    <cellStyle name="20% - Accent4 7 2 2 2 2" xfId="3418" xr:uid="{00000000-0005-0000-0000-000031310000}"/>
    <cellStyle name="20% - Accent4 7 2 2 2 2 2" xfId="6390" xr:uid="{00000000-0005-0000-0000-000032310000}"/>
    <cellStyle name="20% - Accent4 7 2 2 2 2 2 2" xfId="12040" xr:uid="{00000000-0005-0000-0000-000033310000}"/>
    <cellStyle name="20% - Accent4 7 2 2 2 2 2 2 2" xfId="23341" xr:uid="{00000000-0005-0000-0000-000034310000}"/>
    <cellStyle name="20% - Accent4 7 2 2 2 2 2 2 2 2" xfId="45943" xr:uid="{00000000-0005-0000-0000-000035310000}"/>
    <cellStyle name="20% - Accent4 7 2 2 2 2 2 2 3" xfId="34642" xr:uid="{00000000-0005-0000-0000-000036310000}"/>
    <cellStyle name="20% - Accent4 7 2 2 2 2 2 3" xfId="17691" xr:uid="{00000000-0005-0000-0000-000037310000}"/>
    <cellStyle name="20% - Accent4 7 2 2 2 2 2 3 2" xfId="40293" xr:uid="{00000000-0005-0000-0000-000038310000}"/>
    <cellStyle name="20% - Accent4 7 2 2 2 2 2 4" xfId="28992" xr:uid="{00000000-0005-0000-0000-000039310000}"/>
    <cellStyle name="20% - Accent4 7 2 2 2 2 3" xfId="9208" xr:uid="{00000000-0005-0000-0000-00003A310000}"/>
    <cellStyle name="20% - Accent4 7 2 2 2 2 3 2" xfId="20509" xr:uid="{00000000-0005-0000-0000-00003B310000}"/>
    <cellStyle name="20% - Accent4 7 2 2 2 2 3 2 2" xfId="43111" xr:uid="{00000000-0005-0000-0000-00003C310000}"/>
    <cellStyle name="20% - Accent4 7 2 2 2 2 3 3" xfId="31810" xr:uid="{00000000-0005-0000-0000-00003D310000}"/>
    <cellStyle name="20% - Accent4 7 2 2 2 2 4" xfId="14859" xr:uid="{00000000-0005-0000-0000-00003E310000}"/>
    <cellStyle name="20% - Accent4 7 2 2 2 2 4 2" xfId="37461" xr:uid="{00000000-0005-0000-0000-00003F310000}"/>
    <cellStyle name="20% - Accent4 7 2 2 2 2 5" xfId="26160" xr:uid="{00000000-0005-0000-0000-000040310000}"/>
    <cellStyle name="20% - Accent4 7 2 2 2 3" xfId="5156" xr:uid="{00000000-0005-0000-0000-000041310000}"/>
    <cellStyle name="20% - Accent4 7 2 2 2 3 2" xfId="10806" xr:uid="{00000000-0005-0000-0000-000042310000}"/>
    <cellStyle name="20% - Accent4 7 2 2 2 3 2 2" xfId="22107" xr:uid="{00000000-0005-0000-0000-000043310000}"/>
    <cellStyle name="20% - Accent4 7 2 2 2 3 2 2 2" xfId="44709" xr:uid="{00000000-0005-0000-0000-000044310000}"/>
    <cellStyle name="20% - Accent4 7 2 2 2 3 2 3" xfId="33408" xr:uid="{00000000-0005-0000-0000-000045310000}"/>
    <cellStyle name="20% - Accent4 7 2 2 2 3 3" xfId="16457" xr:uid="{00000000-0005-0000-0000-000046310000}"/>
    <cellStyle name="20% - Accent4 7 2 2 2 3 3 2" xfId="39059" xr:uid="{00000000-0005-0000-0000-000047310000}"/>
    <cellStyle name="20% - Accent4 7 2 2 2 3 4" xfId="27758" xr:uid="{00000000-0005-0000-0000-000048310000}"/>
    <cellStyle name="20% - Accent4 7 2 2 2 4" xfId="7568" xr:uid="{00000000-0005-0000-0000-000049310000}"/>
    <cellStyle name="20% - Accent4 7 2 2 2 4 2" xfId="18869" xr:uid="{00000000-0005-0000-0000-00004A310000}"/>
    <cellStyle name="20% - Accent4 7 2 2 2 4 2 2" xfId="41471" xr:uid="{00000000-0005-0000-0000-00004B310000}"/>
    <cellStyle name="20% - Accent4 7 2 2 2 4 3" xfId="30170" xr:uid="{00000000-0005-0000-0000-00004C310000}"/>
    <cellStyle name="20% - Accent4 7 2 2 2 5" xfId="13219" xr:uid="{00000000-0005-0000-0000-00004D310000}"/>
    <cellStyle name="20% - Accent4 7 2 2 2 5 2" xfId="35821" xr:uid="{00000000-0005-0000-0000-00004E310000}"/>
    <cellStyle name="20% - Accent4 7 2 2 2 6" xfId="24520" xr:uid="{00000000-0005-0000-0000-00004F310000}"/>
    <cellStyle name="20% - Accent4 7 2 2 3" xfId="2747" xr:uid="{00000000-0005-0000-0000-000050310000}"/>
    <cellStyle name="20% - Accent4 7 2 2 3 2" xfId="5766" xr:uid="{00000000-0005-0000-0000-000051310000}"/>
    <cellStyle name="20% - Accent4 7 2 2 3 2 2" xfId="11416" xr:uid="{00000000-0005-0000-0000-000052310000}"/>
    <cellStyle name="20% - Accent4 7 2 2 3 2 2 2" xfId="22717" xr:uid="{00000000-0005-0000-0000-000053310000}"/>
    <cellStyle name="20% - Accent4 7 2 2 3 2 2 2 2" xfId="45319" xr:uid="{00000000-0005-0000-0000-000054310000}"/>
    <cellStyle name="20% - Accent4 7 2 2 3 2 2 3" xfId="34018" xr:uid="{00000000-0005-0000-0000-000055310000}"/>
    <cellStyle name="20% - Accent4 7 2 2 3 2 3" xfId="17067" xr:uid="{00000000-0005-0000-0000-000056310000}"/>
    <cellStyle name="20% - Accent4 7 2 2 3 2 3 2" xfId="39669" xr:uid="{00000000-0005-0000-0000-000057310000}"/>
    <cellStyle name="20% - Accent4 7 2 2 3 2 4" xfId="28368" xr:uid="{00000000-0005-0000-0000-000058310000}"/>
    <cellStyle name="20% - Accent4 7 2 2 3 3" xfId="8583" xr:uid="{00000000-0005-0000-0000-000059310000}"/>
    <cellStyle name="20% - Accent4 7 2 2 3 3 2" xfId="19884" xr:uid="{00000000-0005-0000-0000-00005A310000}"/>
    <cellStyle name="20% - Accent4 7 2 2 3 3 2 2" xfId="42486" xr:uid="{00000000-0005-0000-0000-00005B310000}"/>
    <cellStyle name="20% - Accent4 7 2 2 3 3 3" xfId="31185" xr:uid="{00000000-0005-0000-0000-00005C310000}"/>
    <cellStyle name="20% - Accent4 7 2 2 3 4" xfId="14234" xr:uid="{00000000-0005-0000-0000-00005D310000}"/>
    <cellStyle name="20% - Accent4 7 2 2 3 4 2" xfId="36836" xr:uid="{00000000-0005-0000-0000-00005E310000}"/>
    <cellStyle name="20% - Accent4 7 2 2 3 5" xfId="25535" xr:uid="{00000000-0005-0000-0000-00005F310000}"/>
    <cellStyle name="20% - Accent4 7 2 2 4" xfId="4532" xr:uid="{00000000-0005-0000-0000-000060310000}"/>
    <cellStyle name="20% - Accent4 7 2 2 4 2" xfId="10182" xr:uid="{00000000-0005-0000-0000-000061310000}"/>
    <cellStyle name="20% - Accent4 7 2 2 4 2 2" xfId="21483" xr:uid="{00000000-0005-0000-0000-000062310000}"/>
    <cellStyle name="20% - Accent4 7 2 2 4 2 2 2" xfId="44085" xr:uid="{00000000-0005-0000-0000-000063310000}"/>
    <cellStyle name="20% - Accent4 7 2 2 4 2 3" xfId="32784" xr:uid="{00000000-0005-0000-0000-000064310000}"/>
    <cellStyle name="20% - Accent4 7 2 2 4 3" xfId="15833" xr:uid="{00000000-0005-0000-0000-000065310000}"/>
    <cellStyle name="20% - Accent4 7 2 2 4 3 2" xfId="38435" xr:uid="{00000000-0005-0000-0000-000066310000}"/>
    <cellStyle name="20% - Accent4 7 2 2 4 4" xfId="27134" xr:uid="{00000000-0005-0000-0000-000067310000}"/>
    <cellStyle name="20% - Accent4 7 2 2 5" xfId="7328" xr:uid="{00000000-0005-0000-0000-000068310000}"/>
    <cellStyle name="20% - Accent4 7 2 2 5 2" xfId="18629" xr:uid="{00000000-0005-0000-0000-000069310000}"/>
    <cellStyle name="20% - Accent4 7 2 2 5 2 2" xfId="41231" xr:uid="{00000000-0005-0000-0000-00006A310000}"/>
    <cellStyle name="20% - Accent4 7 2 2 5 3" xfId="29930" xr:uid="{00000000-0005-0000-0000-00006B310000}"/>
    <cellStyle name="20% - Accent4 7 2 2 6" xfId="12979" xr:uid="{00000000-0005-0000-0000-00006C310000}"/>
    <cellStyle name="20% - Accent4 7 2 2 6 2" xfId="35581" xr:uid="{00000000-0005-0000-0000-00006D310000}"/>
    <cellStyle name="20% - Accent4 7 2 2 7" xfId="24280" xr:uid="{00000000-0005-0000-0000-00006E310000}"/>
    <cellStyle name="20% - Accent4 7 2 3" xfId="1047" xr:uid="{00000000-0005-0000-0000-00006F310000}"/>
    <cellStyle name="20% - Accent4 7 2 3 2" xfId="3110" xr:uid="{00000000-0005-0000-0000-000070310000}"/>
    <cellStyle name="20% - Accent4 7 2 3 2 2" xfId="6082" xr:uid="{00000000-0005-0000-0000-000071310000}"/>
    <cellStyle name="20% - Accent4 7 2 3 2 2 2" xfId="11732" xr:uid="{00000000-0005-0000-0000-000072310000}"/>
    <cellStyle name="20% - Accent4 7 2 3 2 2 2 2" xfId="23033" xr:uid="{00000000-0005-0000-0000-000073310000}"/>
    <cellStyle name="20% - Accent4 7 2 3 2 2 2 2 2" xfId="45635" xr:uid="{00000000-0005-0000-0000-000074310000}"/>
    <cellStyle name="20% - Accent4 7 2 3 2 2 2 3" xfId="34334" xr:uid="{00000000-0005-0000-0000-000075310000}"/>
    <cellStyle name="20% - Accent4 7 2 3 2 2 3" xfId="17383" xr:uid="{00000000-0005-0000-0000-000076310000}"/>
    <cellStyle name="20% - Accent4 7 2 3 2 2 3 2" xfId="39985" xr:uid="{00000000-0005-0000-0000-000077310000}"/>
    <cellStyle name="20% - Accent4 7 2 3 2 2 4" xfId="28684" xr:uid="{00000000-0005-0000-0000-000078310000}"/>
    <cellStyle name="20% - Accent4 7 2 3 2 3" xfId="8900" xr:uid="{00000000-0005-0000-0000-000079310000}"/>
    <cellStyle name="20% - Accent4 7 2 3 2 3 2" xfId="20201" xr:uid="{00000000-0005-0000-0000-00007A310000}"/>
    <cellStyle name="20% - Accent4 7 2 3 2 3 2 2" xfId="42803" xr:uid="{00000000-0005-0000-0000-00007B310000}"/>
    <cellStyle name="20% - Accent4 7 2 3 2 3 3" xfId="31502" xr:uid="{00000000-0005-0000-0000-00007C310000}"/>
    <cellStyle name="20% - Accent4 7 2 3 2 4" xfId="14551" xr:uid="{00000000-0005-0000-0000-00007D310000}"/>
    <cellStyle name="20% - Accent4 7 2 3 2 4 2" xfId="37153" xr:uid="{00000000-0005-0000-0000-00007E310000}"/>
    <cellStyle name="20% - Accent4 7 2 3 2 5" xfId="25852" xr:uid="{00000000-0005-0000-0000-00007F310000}"/>
    <cellStyle name="20% - Accent4 7 2 3 3" xfId="4848" xr:uid="{00000000-0005-0000-0000-000080310000}"/>
    <cellStyle name="20% - Accent4 7 2 3 3 2" xfId="10498" xr:uid="{00000000-0005-0000-0000-000081310000}"/>
    <cellStyle name="20% - Accent4 7 2 3 3 2 2" xfId="21799" xr:uid="{00000000-0005-0000-0000-000082310000}"/>
    <cellStyle name="20% - Accent4 7 2 3 3 2 2 2" xfId="44401" xr:uid="{00000000-0005-0000-0000-000083310000}"/>
    <cellStyle name="20% - Accent4 7 2 3 3 2 3" xfId="33100" xr:uid="{00000000-0005-0000-0000-000084310000}"/>
    <cellStyle name="20% - Accent4 7 2 3 3 3" xfId="16149" xr:uid="{00000000-0005-0000-0000-000085310000}"/>
    <cellStyle name="20% - Accent4 7 2 3 3 3 2" xfId="38751" xr:uid="{00000000-0005-0000-0000-000086310000}"/>
    <cellStyle name="20% - Accent4 7 2 3 3 4" xfId="27450" xr:uid="{00000000-0005-0000-0000-000087310000}"/>
    <cellStyle name="20% - Accent4 7 2 3 4" xfId="7035" xr:uid="{00000000-0005-0000-0000-000088310000}"/>
    <cellStyle name="20% - Accent4 7 2 3 4 2" xfId="18336" xr:uid="{00000000-0005-0000-0000-000089310000}"/>
    <cellStyle name="20% - Accent4 7 2 3 4 2 2" xfId="40938" xr:uid="{00000000-0005-0000-0000-00008A310000}"/>
    <cellStyle name="20% - Accent4 7 2 3 4 3" xfId="29637" xr:uid="{00000000-0005-0000-0000-00008B310000}"/>
    <cellStyle name="20% - Accent4 7 2 3 5" xfId="12686" xr:uid="{00000000-0005-0000-0000-00008C310000}"/>
    <cellStyle name="20% - Accent4 7 2 3 5 2" xfId="35288" xr:uid="{00000000-0005-0000-0000-00008D310000}"/>
    <cellStyle name="20% - Accent4 7 2 3 6" xfId="23987" xr:uid="{00000000-0005-0000-0000-00008E310000}"/>
    <cellStyle name="20% - Accent4 7 2 4" xfId="1711" xr:uid="{00000000-0005-0000-0000-00008F310000}"/>
    <cellStyle name="20% - Accent4 7 2 4 2" xfId="3650" xr:uid="{00000000-0005-0000-0000-000090310000}"/>
    <cellStyle name="20% - Accent4 7 2 4 2 2" xfId="9362" xr:uid="{00000000-0005-0000-0000-000091310000}"/>
    <cellStyle name="20% - Accent4 7 2 4 2 2 2" xfId="20663" xr:uid="{00000000-0005-0000-0000-000092310000}"/>
    <cellStyle name="20% - Accent4 7 2 4 2 2 2 2" xfId="43265" xr:uid="{00000000-0005-0000-0000-000093310000}"/>
    <cellStyle name="20% - Accent4 7 2 4 2 2 3" xfId="31964" xr:uid="{00000000-0005-0000-0000-000094310000}"/>
    <cellStyle name="20% - Accent4 7 2 4 2 3" xfId="15013" xr:uid="{00000000-0005-0000-0000-000095310000}"/>
    <cellStyle name="20% - Accent4 7 2 4 2 3 2" xfId="37615" xr:uid="{00000000-0005-0000-0000-000096310000}"/>
    <cellStyle name="20% - Accent4 7 2 4 2 4" xfId="26314" xr:uid="{00000000-0005-0000-0000-000097310000}"/>
    <cellStyle name="20% - Accent4 7 2 4 3" xfId="5458" xr:uid="{00000000-0005-0000-0000-000098310000}"/>
    <cellStyle name="20% - Accent4 7 2 4 3 2" xfId="11108" xr:uid="{00000000-0005-0000-0000-000099310000}"/>
    <cellStyle name="20% - Accent4 7 2 4 3 2 2" xfId="22409" xr:uid="{00000000-0005-0000-0000-00009A310000}"/>
    <cellStyle name="20% - Accent4 7 2 4 3 2 2 2" xfId="45011" xr:uid="{00000000-0005-0000-0000-00009B310000}"/>
    <cellStyle name="20% - Accent4 7 2 4 3 2 3" xfId="33710" xr:uid="{00000000-0005-0000-0000-00009C310000}"/>
    <cellStyle name="20% - Accent4 7 2 4 3 3" xfId="16759" xr:uid="{00000000-0005-0000-0000-00009D310000}"/>
    <cellStyle name="20% - Accent4 7 2 4 3 3 2" xfId="39361" xr:uid="{00000000-0005-0000-0000-00009E310000}"/>
    <cellStyle name="20% - Accent4 7 2 4 3 4" xfId="28060" xr:uid="{00000000-0005-0000-0000-00009F310000}"/>
    <cellStyle name="20% - Accent4 7 2 4 4" xfId="7567" xr:uid="{00000000-0005-0000-0000-0000A0310000}"/>
    <cellStyle name="20% - Accent4 7 2 4 4 2" xfId="18868" xr:uid="{00000000-0005-0000-0000-0000A1310000}"/>
    <cellStyle name="20% - Accent4 7 2 4 4 2 2" xfId="41470" xr:uid="{00000000-0005-0000-0000-0000A2310000}"/>
    <cellStyle name="20% - Accent4 7 2 4 4 3" xfId="30169" xr:uid="{00000000-0005-0000-0000-0000A3310000}"/>
    <cellStyle name="20% - Accent4 7 2 4 5" xfId="13218" xr:uid="{00000000-0005-0000-0000-0000A4310000}"/>
    <cellStyle name="20% - Accent4 7 2 4 5 2" xfId="35820" xr:uid="{00000000-0005-0000-0000-0000A5310000}"/>
    <cellStyle name="20% - Accent4 7 2 4 6" xfId="24519" xr:uid="{00000000-0005-0000-0000-0000A6310000}"/>
    <cellStyle name="20% - Accent4 7 2 5" xfId="2439" xr:uid="{00000000-0005-0000-0000-0000A7310000}"/>
    <cellStyle name="20% - Accent4 7 2 5 2" xfId="8275" xr:uid="{00000000-0005-0000-0000-0000A8310000}"/>
    <cellStyle name="20% - Accent4 7 2 5 2 2" xfId="19576" xr:uid="{00000000-0005-0000-0000-0000A9310000}"/>
    <cellStyle name="20% - Accent4 7 2 5 2 2 2" xfId="42178" xr:uid="{00000000-0005-0000-0000-0000AA310000}"/>
    <cellStyle name="20% - Accent4 7 2 5 2 3" xfId="30877" xr:uid="{00000000-0005-0000-0000-0000AB310000}"/>
    <cellStyle name="20% - Accent4 7 2 5 3" xfId="13926" xr:uid="{00000000-0005-0000-0000-0000AC310000}"/>
    <cellStyle name="20% - Accent4 7 2 5 3 2" xfId="36528" xr:uid="{00000000-0005-0000-0000-0000AD310000}"/>
    <cellStyle name="20% - Accent4 7 2 5 4" xfId="25227" xr:uid="{00000000-0005-0000-0000-0000AE310000}"/>
    <cellStyle name="20% - Accent4 7 2 6" xfId="4224" xr:uid="{00000000-0005-0000-0000-0000AF310000}"/>
    <cellStyle name="20% - Accent4 7 2 6 2" xfId="9874" xr:uid="{00000000-0005-0000-0000-0000B0310000}"/>
    <cellStyle name="20% - Accent4 7 2 6 2 2" xfId="21175" xr:uid="{00000000-0005-0000-0000-0000B1310000}"/>
    <cellStyle name="20% - Accent4 7 2 6 2 2 2" xfId="43777" xr:uid="{00000000-0005-0000-0000-0000B2310000}"/>
    <cellStyle name="20% - Accent4 7 2 6 2 3" xfId="32476" xr:uid="{00000000-0005-0000-0000-0000B3310000}"/>
    <cellStyle name="20% - Accent4 7 2 6 3" xfId="15525" xr:uid="{00000000-0005-0000-0000-0000B4310000}"/>
    <cellStyle name="20% - Accent4 7 2 6 3 2" xfId="38127" xr:uid="{00000000-0005-0000-0000-0000B5310000}"/>
    <cellStyle name="20% - Accent4 7 2 6 4" xfId="26826" xr:uid="{00000000-0005-0000-0000-0000B6310000}"/>
    <cellStyle name="20% - Accent4 7 2 7" xfId="6704" xr:uid="{00000000-0005-0000-0000-0000B7310000}"/>
    <cellStyle name="20% - Accent4 7 2 7 2" xfId="18005" xr:uid="{00000000-0005-0000-0000-0000B8310000}"/>
    <cellStyle name="20% - Accent4 7 2 7 2 2" xfId="40607" xr:uid="{00000000-0005-0000-0000-0000B9310000}"/>
    <cellStyle name="20% - Accent4 7 2 7 3" xfId="29306" xr:uid="{00000000-0005-0000-0000-0000BA310000}"/>
    <cellStyle name="20% - Accent4 7 2 8" xfId="12355" xr:uid="{00000000-0005-0000-0000-0000BB310000}"/>
    <cellStyle name="20% - Accent4 7 2 8 2" xfId="34957" xr:uid="{00000000-0005-0000-0000-0000BC310000}"/>
    <cellStyle name="20% - Accent4 7 2 9" xfId="23656" xr:uid="{00000000-0005-0000-0000-0000BD310000}"/>
    <cellStyle name="20% - Accent4 7 3" xfId="1211" xr:uid="{00000000-0005-0000-0000-0000BE310000}"/>
    <cellStyle name="20% - Accent4 7 3 2" xfId="1713" xr:uid="{00000000-0005-0000-0000-0000BF310000}"/>
    <cellStyle name="20% - Accent4 7 3 2 2" xfId="3279" xr:uid="{00000000-0005-0000-0000-0000C0310000}"/>
    <cellStyle name="20% - Accent4 7 3 2 2 2" xfId="6251" xr:uid="{00000000-0005-0000-0000-0000C1310000}"/>
    <cellStyle name="20% - Accent4 7 3 2 2 2 2" xfId="11901" xr:uid="{00000000-0005-0000-0000-0000C2310000}"/>
    <cellStyle name="20% - Accent4 7 3 2 2 2 2 2" xfId="23202" xr:uid="{00000000-0005-0000-0000-0000C3310000}"/>
    <cellStyle name="20% - Accent4 7 3 2 2 2 2 2 2" xfId="45804" xr:uid="{00000000-0005-0000-0000-0000C4310000}"/>
    <cellStyle name="20% - Accent4 7 3 2 2 2 2 3" xfId="34503" xr:uid="{00000000-0005-0000-0000-0000C5310000}"/>
    <cellStyle name="20% - Accent4 7 3 2 2 2 3" xfId="17552" xr:uid="{00000000-0005-0000-0000-0000C6310000}"/>
    <cellStyle name="20% - Accent4 7 3 2 2 2 3 2" xfId="40154" xr:uid="{00000000-0005-0000-0000-0000C7310000}"/>
    <cellStyle name="20% - Accent4 7 3 2 2 2 4" xfId="28853" xr:uid="{00000000-0005-0000-0000-0000C8310000}"/>
    <cellStyle name="20% - Accent4 7 3 2 2 3" xfId="9069" xr:uid="{00000000-0005-0000-0000-0000C9310000}"/>
    <cellStyle name="20% - Accent4 7 3 2 2 3 2" xfId="20370" xr:uid="{00000000-0005-0000-0000-0000CA310000}"/>
    <cellStyle name="20% - Accent4 7 3 2 2 3 2 2" xfId="42972" xr:uid="{00000000-0005-0000-0000-0000CB310000}"/>
    <cellStyle name="20% - Accent4 7 3 2 2 3 3" xfId="31671" xr:uid="{00000000-0005-0000-0000-0000CC310000}"/>
    <cellStyle name="20% - Accent4 7 3 2 2 4" xfId="14720" xr:uid="{00000000-0005-0000-0000-0000CD310000}"/>
    <cellStyle name="20% - Accent4 7 3 2 2 4 2" xfId="37322" xr:uid="{00000000-0005-0000-0000-0000CE310000}"/>
    <cellStyle name="20% - Accent4 7 3 2 2 5" xfId="26021" xr:uid="{00000000-0005-0000-0000-0000CF310000}"/>
    <cellStyle name="20% - Accent4 7 3 2 3" xfId="5017" xr:uid="{00000000-0005-0000-0000-0000D0310000}"/>
    <cellStyle name="20% - Accent4 7 3 2 3 2" xfId="10667" xr:uid="{00000000-0005-0000-0000-0000D1310000}"/>
    <cellStyle name="20% - Accent4 7 3 2 3 2 2" xfId="21968" xr:uid="{00000000-0005-0000-0000-0000D2310000}"/>
    <cellStyle name="20% - Accent4 7 3 2 3 2 2 2" xfId="44570" xr:uid="{00000000-0005-0000-0000-0000D3310000}"/>
    <cellStyle name="20% - Accent4 7 3 2 3 2 3" xfId="33269" xr:uid="{00000000-0005-0000-0000-0000D4310000}"/>
    <cellStyle name="20% - Accent4 7 3 2 3 3" xfId="16318" xr:uid="{00000000-0005-0000-0000-0000D5310000}"/>
    <cellStyle name="20% - Accent4 7 3 2 3 3 2" xfId="38920" xr:uid="{00000000-0005-0000-0000-0000D6310000}"/>
    <cellStyle name="20% - Accent4 7 3 2 3 4" xfId="27619" xr:uid="{00000000-0005-0000-0000-0000D7310000}"/>
    <cellStyle name="20% - Accent4 7 3 2 4" xfId="7569" xr:uid="{00000000-0005-0000-0000-0000D8310000}"/>
    <cellStyle name="20% - Accent4 7 3 2 4 2" xfId="18870" xr:uid="{00000000-0005-0000-0000-0000D9310000}"/>
    <cellStyle name="20% - Accent4 7 3 2 4 2 2" xfId="41472" xr:uid="{00000000-0005-0000-0000-0000DA310000}"/>
    <cellStyle name="20% - Accent4 7 3 2 4 3" xfId="30171" xr:uid="{00000000-0005-0000-0000-0000DB310000}"/>
    <cellStyle name="20% - Accent4 7 3 2 5" xfId="13220" xr:uid="{00000000-0005-0000-0000-0000DC310000}"/>
    <cellStyle name="20% - Accent4 7 3 2 5 2" xfId="35822" xr:uid="{00000000-0005-0000-0000-0000DD310000}"/>
    <cellStyle name="20% - Accent4 7 3 2 6" xfId="24521" xr:uid="{00000000-0005-0000-0000-0000DE310000}"/>
    <cellStyle name="20% - Accent4 7 3 3" xfId="2608" xr:uid="{00000000-0005-0000-0000-0000DF310000}"/>
    <cellStyle name="20% - Accent4 7 3 3 2" xfId="5627" xr:uid="{00000000-0005-0000-0000-0000E0310000}"/>
    <cellStyle name="20% - Accent4 7 3 3 2 2" xfId="11277" xr:uid="{00000000-0005-0000-0000-0000E1310000}"/>
    <cellStyle name="20% - Accent4 7 3 3 2 2 2" xfId="22578" xr:uid="{00000000-0005-0000-0000-0000E2310000}"/>
    <cellStyle name="20% - Accent4 7 3 3 2 2 2 2" xfId="45180" xr:uid="{00000000-0005-0000-0000-0000E3310000}"/>
    <cellStyle name="20% - Accent4 7 3 3 2 2 3" xfId="33879" xr:uid="{00000000-0005-0000-0000-0000E4310000}"/>
    <cellStyle name="20% - Accent4 7 3 3 2 3" xfId="16928" xr:uid="{00000000-0005-0000-0000-0000E5310000}"/>
    <cellStyle name="20% - Accent4 7 3 3 2 3 2" xfId="39530" xr:uid="{00000000-0005-0000-0000-0000E6310000}"/>
    <cellStyle name="20% - Accent4 7 3 3 2 4" xfId="28229" xr:uid="{00000000-0005-0000-0000-0000E7310000}"/>
    <cellStyle name="20% - Accent4 7 3 3 3" xfId="8444" xr:uid="{00000000-0005-0000-0000-0000E8310000}"/>
    <cellStyle name="20% - Accent4 7 3 3 3 2" xfId="19745" xr:uid="{00000000-0005-0000-0000-0000E9310000}"/>
    <cellStyle name="20% - Accent4 7 3 3 3 2 2" xfId="42347" xr:uid="{00000000-0005-0000-0000-0000EA310000}"/>
    <cellStyle name="20% - Accent4 7 3 3 3 3" xfId="31046" xr:uid="{00000000-0005-0000-0000-0000EB310000}"/>
    <cellStyle name="20% - Accent4 7 3 3 4" xfId="14095" xr:uid="{00000000-0005-0000-0000-0000EC310000}"/>
    <cellStyle name="20% - Accent4 7 3 3 4 2" xfId="36697" xr:uid="{00000000-0005-0000-0000-0000ED310000}"/>
    <cellStyle name="20% - Accent4 7 3 3 5" xfId="25396" xr:uid="{00000000-0005-0000-0000-0000EE310000}"/>
    <cellStyle name="20% - Accent4 7 3 4" xfId="4393" xr:uid="{00000000-0005-0000-0000-0000EF310000}"/>
    <cellStyle name="20% - Accent4 7 3 4 2" xfId="10043" xr:uid="{00000000-0005-0000-0000-0000F0310000}"/>
    <cellStyle name="20% - Accent4 7 3 4 2 2" xfId="21344" xr:uid="{00000000-0005-0000-0000-0000F1310000}"/>
    <cellStyle name="20% - Accent4 7 3 4 2 2 2" xfId="43946" xr:uid="{00000000-0005-0000-0000-0000F2310000}"/>
    <cellStyle name="20% - Accent4 7 3 4 2 3" xfId="32645" xr:uid="{00000000-0005-0000-0000-0000F3310000}"/>
    <cellStyle name="20% - Accent4 7 3 4 3" xfId="15694" xr:uid="{00000000-0005-0000-0000-0000F4310000}"/>
    <cellStyle name="20% - Accent4 7 3 4 3 2" xfId="38296" xr:uid="{00000000-0005-0000-0000-0000F5310000}"/>
    <cellStyle name="20% - Accent4 7 3 4 4" xfId="26995" xr:uid="{00000000-0005-0000-0000-0000F6310000}"/>
    <cellStyle name="20% - Accent4 7 3 5" xfId="7190" xr:uid="{00000000-0005-0000-0000-0000F7310000}"/>
    <cellStyle name="20% - Accent4 7 3 5 2" xfId="18491" xr:uid="{00000000-0005-0000-0000-0000F8310000}"/>
    <cellStyle name="20% - Accent4 7 3 5 2 2" xfId="41093" xr:uid="{00000000-0005-0000-0000-0000F9310000}"/>
    <cellStyle name="20% - Accent4 7 3 5 3" xfId="29792" xr:uid="{00000000-0005-0000-0000-0000FA310000}"/>
    <cellStyle name="20% - Accent4 7 3 6" xfId="12841" xr:uid="{00000000-0005-0000-0000-0000FB310000}"/>
    <cellStyle name="20% - Accent4 7 3 6 2" xfId="35443" xr:uid="{00000000-0005-0000-0000-0000FC310000}"/>
    <cellStyle name="20% - Accent4 7 3 7" xfId="24142" xr:uid="{00000000-0005-0000-0000-0000FD310000}"/>
    <cellStyle name="20% - Accent4 7 4" xfId="902" xr:uid="{00000000-0005-0000-0000-0000FE310000}"/>
    <cellStyle name="20% - Accent4 7 4 2" xfId="2972" xr:uid="{00000000-0005-0000-0000-0000FF310000}"/>
    <cellStyle name="20% - Accent4 7 4 2 2" xfId="5944" xr:uid="{00000000-0005-0000-0000-000000320000}"/>
    <cellStyle name="20% - Accent4 7 4 2 2 2" xfId="11594" xr:uid="{00000000-0005-0000-0000-000001320000}"/>
    <cellStyle name="20% - Accent4 7 4 2 2 2 2" xfId="22895" xr:uid="{00000000-0005-0000-0000-000002320000}"/>
    <cellStyle name="20% - Accent4 7 4 2 2 2 2 2" xfId="45497" xr:uid="{00000000-0005-0000-0000-000003320000}"/>
    <cellStyle name="20% - Accent4 7 4 2 2 2 3" xfId="34196" xr:uid="{00000000-0005-0000-0000-000004320000}"/>
    <cellStyle name="20% - Accent4 7 4 2 2 3" xfId="17245" xr:uid="{00000000-0005-0000-0000-000005320000}"/>
    <cellStyle name="20% - Accent4 7 4 2 2 3 2" xfId="39847" xr:uid="{00000000-0005-0000-0000-000006320000}"/>
    <cellStyle name="20% - Accent4 7 4 2 2 4" xfId="28546" xr:uid="{00000000-0005-0000-0000-000007320000}"/>
    <cellStyle name="20% - Accent4 7 4 2 3" xfId="8762" xr:uid="{00000000-0005-0000-0000-000008320000}"/>
    <cellStyle name="20% - Accent4 7 4 2 3 2" xfId="20063" xr:uid="{00000000-0005-0000-0000-000009320000}"/>
    <cellStyle name="20% - Accent4 7 4 2 3 2 2" xfId="42665" xr:uid="{00000000-0005-0000-0000-00000A320000}"/>
    <cellStyle name="20% - Accent4 7 4 2 3 3" xfId="31364" xr:uid="{00000000-0005-0000-0000-00000B320000}"/>
    <cellStyle name="20% - Accent4 7 4 2 4" xfId="14413" xr:uid="{00000000-0005-0000-0000-00000C320000}"/>
    <cellStyle name="20% - Accent4 7 4 2 4 2" xfId="37015" xr:uid="{00000000-0005-0000-0000-00000D320000}"/>
    <cellStyle name="20% - Accent4 7 4 2 5" xfId="25714" xr:uid="{00000000-0005-0000-0000-00000E320000}"/>
    <cellStyle name="20% - Accent4 7 4 3" xfId="4710" xr:uid="{00000000-0005-0000-0000-00000F320000}"/>
    <cellStyle name="20% - Accent4 7 4 3 2" xfId="10360" xr:uid="{00000000-0005-0000-0000-000010320000}"/>
    <cellStyle name="20% - Accent4 7 4 3 2 2" xfId="21661" xr:uid="{00000000-0005-0000-0000-000011320000}"/>
    <cellStyle name="20% - Accent4 7 4 3 2 2 2" xfId="44263" xr:uid="{00000000-0005-0000-0000-000012320000}"/>
    <cellStyle name="20% - Accent4 7 4 3 2 3" xfId="32962" xr:uid="{00000000-0005-0000-0000-000013320000}"/>
    <cellStyle name="20% - Accent4 7 4 3 3" xfId="16011" xr:uid="{00000000-0005-0000-0000-000014320000}"/>
    <cellStyle name="20% - Accent4 7 4 3 3 2" xfId="38613" xr:uid="{00000000-0005-0000-0000-000015320000}"/>
    <cellStyle name="20% - Accent4 7 4 3 4" xfId="27312" xr:uid="{00000000-0005-0000-0000-000016320000}"/>
    <cellStyle name="20% - Accent4 7 4 4" xfId="6897" xr:uid="{00000000-0005-0000-0000-000017320000}"/>
    <cellStyle name="20% - Accent4 7 4 4 2" xfId="18198" xr:uid="{00000000-0005-0000-0000-000018320000}"/>
    <cellStyle name="20% - Accent4 7 4 4 2 2" xfId="40800" xr:uid="{00000000-0005-0000-0000-000019320000}"/>
    <cellStyle name="20% - Accent4 7 4 4 3" xfId="29499" xr:uid="{00000000-0005-0000-0000-00001A320000}"/>
    <cellStyle name="20% - Accent4 7 4 5" xfId="12548" xr:uid="{00000000-0005-0000-0000-00001B320000}"/>
    <cellStyle name="20% - Accent4 7 4 5 2" xfId="35150" xr:uid="{00000000-0005-0000-0000-00001C320000}"/>
    <cellStyle name="20% - Accent4 7 4 6" xfId="23849" xr:uid="{00000000-0005-0000-0000-00001D320000}"/>
    <cellStyle name="20% - Accent4 7 5" xfId="1710" xr:uid="{00000000-0005-0000-0000-00001E320000}"/>
    <cellStyle name="20% - Accent4 7 5 2" xfId="3649" xr:uid="{00000000-0005-0000-0000-00001F320000}"/>
    <cellStyle name="20% - Accent4 7 5 2 2" xfId="9361" xr:uid="{00000000-0005-0000-0000-000020320000}"/>
    <cellStyle name="20% - Accent4 7 5 2 2 2" xfId="20662" xr:uid="{00000000-0005-0000-0000-000021320000}"/>
    <cellStyle name="20% - Accent4 7 5 2 2 2 2" xfId="43264" xr:uid="{00000000-0005-0000-0000-000022320000}"/>
    <cellStyle name="20% - Accent4 7 5 2 2 3" xfId="31963" xr:uid="{00000000-0005-0000-0000-000023320000}"/>
    <cellStyle name="20% - Accent4 7 5 2 3" xfId="15012" xr:uid="{00000000-0005-0000-0000-000024320000}"/>
    <cellStyle name="20% - Accent4 7 5 2 3 2" xfId="37614" xr:uid="{00000000-0005-0000-0000-000025320000}"/>
    <cellStyle name="20% - Accent4 7 5 2 4" xfId="26313" xr:uid="{00000000-0005-0000-0000-000026320000}"/>
    <cellStyle name="20% - Accent4 7 5 3" xfId="5320" xr:uid="{00000000-0005-0000-0000-000027320000}"/>
    <cellStyle name="20% - Accent4 7 5 3 2" xfId="10970" xr:uid="{00000000-0005-0000-0000-000028320000}"/>
    <cellStyle name="20% - Accent4 7 5 3 2 2" xfId="22271" xr:uid="{00000000-0005-0000-0000-000029320000}"/>
    <cellStyle name="20% - Accent4 7 5 3 2 2 2" xfId="44873" xr:uid="{00000000-0005-0000-0000-00002A320000}"/>
    <cellStyle name="20% - Accent4 7 5 3 2 3" xfId="33572" xr:uid="{00000000-0005-0000-0000-00002B320000}"/>
    <cellStyle name="20% - Accent4 7 5 3 3" xfId="16621" xr:uid="{00000000-0005-0000-0000-00002C320000}"/>
    <cellStyle name="20% - Accent4 7 5 3 3 2" xfId="39223" xr:uid="{00000000-0005-0000-0000-00002D320000}"/>
    <cellStyle name="20% - Accent4 7 5 3 4" xfId="27922" xr:uid="{00000000-0005-0000-0000-00002E320000}"/>
    <cellStyle name="20% - Accent4 7 5 4" xfId="7566" xr:uid="{00000000-0005-0000-0000-00002F320000}"/>
    <cellStyle name="20% - Accent4 7 5 4 2" xfId="18867" xr:uid="{00000000-0005-0000-0000-000030320000}"/>
    <cellStyle name="20% - Accent4 7 5 4 2 2" xfId="41469" xr:uid="{00000000-0005-0000-0000-000031320000}"/>
    <cellStyle name="20% - Accent4 7 5 4 3" xfId="30168" xr:uid="{00000000-0005-0000-0000-000032320000}"/>
    <cellStyle name="20% - Accent4 7 5 5" xfId="13217" xr:uid="{00000000-0005-0000-0000-000033320000}"/>
    <cellStyle name="20% - Accent4 7 5 5 2" xfId="35819" xr:uid="{00000000-0005-0000-0000-000034320000}"/>
    <cellStyle name="20% - Accent4 7 5 6" xfId="24518" xr:uid="{00000000-0005-0000-0000-000035320000}"/>
    <cellStyle name="20% - Accent4 7 6" xfId="2299" xr:uid="{00000000-0005-0000-0000-000036320000}"/>
    <cellStyle name="20% - Accent4 7 6 2" xfId="8135" xr:uid="{00000000-0005-0000-0000-000037320000}"/>
    <cellStyle name="20% - Accent4 7 6 2 2" xfId="19436" xr:uid="{00000000-0005-0000-0000-000038320000}"/>
    <cellStyle name="20% - Accent4 7 6 2 2 2" xfId="42038" xr:uid="{00000000-0005-0000-0000-000039320000}"/>
    <cellStyle name="20% - Accent4 7 6 2 3" xfId="30737" xr:uid="{00000000-0005-0000-0000-00003A320000}"/>
    <cellStyle name="20% - Accent4 7 6 3" xfId="13786" xr:uid="{00000000-0005-0000-0000-00003B320000}"/>
    <cellStyle name="20% - Accent4 7 6 3 2" xfId="36388" xr:uid="{00000000-0005-0000-0000-00003C320000}"/>
    <cellStyle name="20% - Accent4 7 6 4" xfId="25087" xr:uid="{00000000-0005-0000-0000-00003D320000}"/>
    <cellStyle name="20% - Accent4 7 7" xfId="4086" xr:uid="{00000000-0005-0000-0000-00003E320000}"/>
    <cellStyle name="20% - Accent4 7 7 2" xfId="9736" xr:uid="{00000000-0005-0000-0000-00003F320000}"/>
    <cellStyle name="20% - Accent4 7 7 2 2" xfId="21037" xr:uid="{00000000-0005-0000-0000-000040320000}"/>
    <cellStyle name="20% - Accent4 7 7 2 2 2" xfId="43639" xr:uid="{00000000-0005-0000-0000-000041320000}"/>
    <cellStyle name="20% - Accent4 7 7 2 3" xfId="32338" xr:uid="{00000000-0005-0000-0000-000042320000}"/>
    <cellStyle name="20% - Accent4 7 7 3" xfId="15387" xr:uid="{00000000-0005-0000-0000-000043320000}"/>
    <cellStyle name="20% - Accent4 7 7 3 2" xfId="37989" xr:uid="{00000000-0005-0000-0000-000044320000}"/>
    <cellStyle name="20% - Accent4 7 7 4" xfId="26688" xr:uid="{00000000-0005-0000-0000-000045320000}"/>
    <cellStyle name="20% - Accent4 7 8" xfId="6537" xr:uid="{00000000-0005-0000-0000-000046320000}"/>
    <cellStyle name="20% - Accent4 7 8 2" xfId="17838" xr:uid="{00000000-0005-0000-0000-000047320000}"/>
    <cellStyle name="20% - Accent4 7 8 2 2" xfId="40440" xr:uid="{00000000-0005-0000-0000-000048320000}"/>
    <cellStyle name="20% - Accent4 7 8 3" xfId="29139" xr:uid="{00000000-0005-0000-0000-000049320000}"/>
    <cellStyle name="20% - Accent4 7 9" xfId="12188" xr:uid="{00000000-0005-0000-0000-00004A320000}"/>
    <cellStyle name="20% - Accent4 7 9 2" xfId="34790" xr:uid="{00000000-0005-0000-0000-00004B320000}"/>
    <cellStyle name="20% - Accent4 8" xfId="497" xr:uid="{00000000-0005-0000-0000-00004C320000}"/>
    <cellStyle name="20% - Accent4 8 2" xfId="1268" xr:uid="{00000000-0005-0000-0000-00004D320000}"/>
    <cellStyle name="20% - Accent4 8 2 2" xfId="1715" xr:uid="{00000000-0005-0000-0000-00004E320000}"/>
    <cellStyle name="20% - Accent4 8 2 2 2" xfId="3337" xr:uid="{00000000-0005-0000-0000-00004F320000}"/>
    <cellStyle name="20% - Accent4 8 2 2 2 2" xfId="6309" xr:uid="{00000000-0005-0000-0000-000050320000}"/>
    <cellStyle name="20% - Accent4 8 2 2 2 2 2" xfId="11959" xr:uid="{00000000-0005-0000-0000-000051320000}"/>
    <cellStyle name="20% - Accent4 8 2 2 2 2 2 2" xfId="23260" xr:uid="{00000000-0005-0000-0000-000052320000}"/>
    <cellStyle name="20% - Accent4 8 2 2 2 2 2 2 2" xfId="45862" xr:uid="{00000000-0005-0000-0000-000053320000}"/>
    <cellStyle name="20% - Accent4 8 2 2 2 2 2 3" xfId="34561" xr:uid="{00000000-0005-0000-0000-000054320000}"/>
    <cellStyle name="20% - Accent4 8 2 2 2 2 3" xfId="17610" xr:uid="{00000000-0005-0000-0000-000055320000}"/>
    <cellStyle name="20% - Accent4 8 2 2 2 2 3 2" xfId="40212" xr:uid="{00000000-0005-0000-0000-000056320000}"/>
    <cellStyle name="20% - Accent4 8 2 2 2 2 4" xfId="28911" xr:uid="{00000000-0005-0000-0000-000057320000}"/>
    <cellStyle name="20% - Accent4 8 2 2 2 3" xfId="9127" xr:uid="{00000000-0005-0000-0000-000058320000}"/>
    <cellStyle name="20% - Accent4 8 2 2 2 3 2" xfId="20428" xr:uid="{00000000-0005-0000-0000-000059320000}"/>
    <cellStyle name="20% - Accent4 8 2 2 2 3 2 2" xfId="43030" xr:uid="{00000000-0005-0000-0000-00005A320000}"/>
    <cellStyle name="20% - Accent4 8 2 2 2 3 3" xfId="31729" xr:uid="{00000000-0005-0000-0000-00005B320000}"/>
    <cellStyle name="20% - Accent4 8 2 2 2 4" xfId="14778" xr:uid="{00000000-0005-0000-0000-00005C320000}"/>
    <cellStyle name="20% - Accent4 8 2 2 2 4 2" xfId="37380" xr:uid="{00000000-0005-0000-0000-00005D320000}"/>
    <cellStyle name="20% - Accent4 8 2 2 2 5" xfId="26079" xr:uid="{00000000-0005-0000-0000-00005E320000}"/>
    <cellStyle name="20% - Accent4 8 2 2 3" xfId="5075" xr:uid="{00000000-0005-0000-0000-00005F320000}"/>
    <cellStyle name="20% - Accent4 8 2 2 3 2" xfId="10725" xr:uid="{00000000-0005-0000-0000-000060320000}"/>
    <cellStyle name="20% - Accent4 8 2 2 3 2 2" xfId="22026" xr:uid="{00000000-0005-0000-0000-000061320000}"/>
    <cellStyle name="20% - Accent4 8 2 2 3 2 2 2" xfId="44628" xr:uid="{00000000-0005-0000-0000-000062320000}"/>
    <cellStyle name="20% - Accent4 8 2 2 3 2 3" xfId="33327" xr:uid="{00000000-0005-0000-0000-000063320000}"/>
    <cellStyle name="20% - Accent4 8 2 2 3 3" xfId="16376" xr:uid="{00000000-0005-0000-0000-000064320000}"/>
    <cellStyle name="20% - Accent4 8 2 2 3 3 2" xfId="38978" xr:uid="{00000000-0005-0000-0000-000065320000}"/>
    <cellStyle name="20% - Accent4 8 2 2 3 4" xfId="27677" xr:uid="{00000000-0005-0000-0000-000066320000}"/>
    <cellStyle name="20% - Accent4 8 2 2 4" xfId="7571" xr:uid="{00000000-0005-0000-0000-000067320000}"/>
    <cellStyle name="20% - Accent4 8 2 2 4 2" xfId="18872" xr:uid="{00000000-0005-0000-0000-000068320000}"/>
    <cellStyle name="20% - Accent4 8 2 2 4 2 2" xfId="41474" xr:uid="{00000000-0005-0000-0000-000069320000}"/>
    <cellStyle name="20% - Accent4 8 2 2 4 3" xfId="30173" xr:uid="{00000000-0005-0000-0000-00006A320000}"/>
    <cellStyle name="20% - Accent4 8 2 2 5" xfId="13222" xr:uid="{00000000-0005-0000-0000-00006B320000}"/>
    <cellStyle name="20% - Accent4 8 2 2 5 2" xfId="35824" xr:uid="{00000000-0005-0000-0000-00006C320000}"/>
    <cellStyle name="20% - Accent4 8 2 2 6" xfId="24523" xr:uid="{00000000-0005-0000-0000-00006D320000}"/>
    <cellStyle name="20% - Accent4 8 2 3" xfId="2666" xr:uid="{00000000-0005-0000-0000-00006E320000}"/>
    <cellStyle name="20% - Accent4 8 2 3 2" xfId="5685" xr:uid="{00000000-0005-0000-0000-00006F320000}"/>
    <cellStyle name="20% - Accent4 8 2 3 2 2" xfId="11335" xr:uid="{00000000-0005-0000-0000-000070320000}"/>
    <cellStyle name="20% - Accent4 8 2 3 2 2 2" xfId="22636" xr:uid="{00000000-0005-0000-0000-000071320000}"/>
    <cellStyle name="20% - Accent4 8 2 3 2 2 2 2" xfId="45238" xr:uid="{00000000-0005-0000-0000-000072320000}"/>
    <cellStyle name="20% - Accent4 8 2 3 2 2 3" xfId="33937" xr:uid="{00000000-0005-0000-0000-000073320000}"/>
    <cellStyle name="20% - Accent4 8 2 3 2 3" xfId="16986" xr:uid="{00000000-0005-0000-0000-000074320000}"/>
    <cellStyle name="20% - Accent4 8 2 3 2 3 2" xfId="39588" xr:uid="{00000000-0005-0000-0000-000075320000}"/>
    <cellStyle name="20% - Accent4 8 2 3 2 4" xfId="28287" xr:uid="{00000000-0005-0000-0000-000076320000}"/>
    <cellStyle name="20% - Accent4 8 2 3 3" xfId="8502" xr:uid="{00000000-0005-0000-0000-000077320000}"/>
    <cellStyle name="20% - Accent4 8 2 3 3 2" xfId="19803" xr:uid="{00000000-0005-0000-0000-000078320000}"/>
    <cellStyle name="20% - Accent4 8 2 3 3 2 2" xfId="42405" xr:uid="{00000000-0005-0000-0000-000079320000}"/>
    <cellStyle name="20% - Accent4 8 2 3 3 3" xfId="31104" xr:uid="{00000000-0005-0000-0000-00007A320000}"/>
    <cellStyle name="20% - Accent4 8 2 3 4" xfId="14153" xr:uid="{00000000-0005-0000-0000-00007B320000}"/>
    <cellStyle name="20% - Accent4 8 2 3 4 2" xfId="36755" xr:uid="{00000000-0005-0000-0000-00007C320000}"/>
    <cellStyle name="20% - Accent4 8 2 3 5" xfId="25454" xr:uid="{00000000-0005-0000-0000-00007D320000}"/>
    <cellStyle name="20% - Accent4 8 2 4" xfId="4451" xr:uid="{00000000-0005-0000-0000-00007E320000}"/>
    <cellStyle name="20% - Accent4 8 2 4 2" xfId="10101" xr:uid="{00000000-0005-0000-0000-00007F320000}"/>
    <cellStyle name="20% - Accent4 8 2 4 2 2" xfId="21402" xr:uid="{00000000-0005-0000-0000-000080320000}"/>
    <cellStyle name="20% - Accent4 8 2 4 2 2 2" xfId="44004" xr:uid="{00000000-0005-0000-0000-000081320000}"/>
    <cellStyle name="20% - Accent4 8 2 4 2 3" xfId="32703" xr:uid="{00000000-0005-0000-0000-000082320000}"/>
    <cellStyle name="20% - Accent4 8 2 4 3" xfId="15752" xr:uid="{00000000-0005-0000-0000-000083320000}"/>
    <cellStyle name="20% - Accent4 8 2 4 3 2" xfId="38354" xr:uid="{00000000-0005-0000-0000-000084320000}"/>
    <cellStyle name="20% - Accent4 8 2 4 4" xfId="27053" xr:uid="{00000000-0005-0000-0000-000085320000}"/>
    <cellStyle name="20% - Accent4 8 2 5" xfId="7247" xr:uid="{00000000-0005-0000-0000-000086320000}"/>
    <cellStyle name="20% - Accent4 8 2 5 2" xfId="18548" xr:uid="{00000000-0005-0000-0000-000087320000}"/>
    <cellStyle name="20% - Accent4 8 2 5 2 2" xfId="41150" xr:uid="{00000000-0005-0000-0000-000088320000}"/>
    <cellStyle name="20% - Accent4 8 2 5 3" xfId="29849" xr:uid="{00000000-0005-0000-0000-000089320000}"/>
    <cellStyle name="20% - Accent4 8 2 6" xfId="12898" xr:uid="{00000000-0005-0000-0000-00008A320000}"/>
    <cellStyle name="20% - Accent4 8 2 6 2" xfId="35500" xr:uid="{00000000-0005-0000-0000-00008B320000}"/>
    <cellStyle name="20% - Accent4 8 2 7" xfId="24199" xr:uid="{00000000-0005-0000-0000-00008C320000}"/>
    <cellStyle name="20% - Accent4 8 3" xfId="965" xr:uid="{00000000-0005-0000-0000-00008D320000}"/>
    <cellStyle name="20% - Accent4 8 3 2" xfId="3029" xr:uid="{00000000-0005-0000-0000-00008E320000}"/>
    <cellStyle name="20% - Accent4 8 3 2 2" xfId="6001" xr:uid="{00000000-0005-0000-0000-00008F320000}"/>
    <cellStyle name="20% - Accent4 8 3 2 2 2" xfId="11651" xr:uid="{00000000-0005-0000-0000-000090320000}"/>
    <cellStyle name="20% - Accent4 8 3 2 2 2 2" xfId="22952" xr:uid="{00000000-0005-0000-0000-000091320000}"/>
    <cellStyle name="20% - Accent4 8 3 2 2 2 2 2" xfId="45554" xr:uid="{00000000-0005-0000-0000-000092320000}"/>
    <cellStyle name="20% - Accent4 8 3 2 2 2 3" xfId="34253" xr:uid="{00000000-0005-0000-0000-000093320000}"/>
    <cellStyle name="20% - Accent4 8 3 2 2 3" xfId="17302" xr:uid="{00000000-0005-0000-0000-000094320000}"/>
    <cellStyle name="20% - Accent4 8 3 2 2 3 2" xfId="39904" xr:uid="{00000000-0005-0000-0000-000095320000}"/>
    <cellStyle name="20% - Accent4 8 3 2 2 4" xfId="28603" xr:uid="{00000000-0005-0000-0000-000096320000}"/>
    <cellStyle name="20% - Accent4 8 3 2 3" xfId="8819" xr:uid="{00000000-0005-0000-0000-000097320000}"/>
    <cellStyle name="20% - Accent4 8 3 2 3 2" xfId="20120" xr:uid="{00000000-0005-0000-0000-000098320000}"/>
    <cellStyle name="20% - Accent4 8 3 2 3 2 2" xfId="42722" xr:uid="{00000000-0005-0000-0000-000099320000}"/>
    <cellStyle name="20% - Accent4 8 3 2 3 3" xfId="31421" xr:uid="{00000000-0005-0000-0000-00009A320000}"/>
    <cellStyle name="20% - Accent4 8 3 2 4" xfId="14470" xr:uid="{00000000-0005-0000-0000-00009B320000}"/>
    <cellStyle name="20% - Accent4 8 3 2 4 2" xfId="37072" xr:uid="{00000000-0005-0000-0000-00009C320000}"/>
    <cellStyle name="20% - Accent4 8 3 2 5" xfId="25771" xr:uid="{00000000-0005-0000-0000-00009D320000}"/>
    <cellStyle name="20% - Accent4 8 3 3" xfId="4767" xr:uid="{00000000-0005-0000-0000-00009E320000}"/>
    <cellStyle name="20% - Accent4 8 3 3 2" xfId="10417" xr:uid="{00000000-0005-0000-0000-00009F320000}"/>
    <cellStyle name="20% - Accent4 8 3 3 2 2" xfId="21718" xr:uid="{00000000-0005-0000-0000-0000A0320000}"/>
    <cellStyle name="20% - Accent4 8 3 3 2 2 2" xfId="44320" xr:uid="{00000000-0005-0000-0000-0000A1320000}"/>
    <cellStyle name="20% - Accent4 8 3 3 2 3" xfId="33019" xr:uid="{00000000-0005-0000-0000-0000A2320000}"/>
    <cellStyle name="20% - Accent4 8 3 3 3" xfId="16068" xr:uid="{00000000-0005-0000-0000-0000A3320000}"/>
    <cellStyle name="20% - Accent4 8 3 3 3 2" xfId="38670" xr:uid="{00000000-0005-0000-0000-0000A4320000}"/>
    <cellStyle name="20% - Accent4 8 3 3 4" xfId="27369" xr:uid="{00000000-0005-0000-0000-0000A5320000}"/>
    <cellStyle name="20% - Accent4 8 3 4" xfId="6954" xr:uid="{00000000-0005-0000-0000-0000A6320000}"/>
    <cellStyle name="20% - Accent4 8 3 4 2" xfId="18255" xr:uid="{00000000-0005-0000-0000-0000A7320000}"/>
    <cellStyle name="20% - Accent4 8 3 4 2 2" xfId="40857" xr:uid="{00000000-0005-0000-0000-0000A8320000}"/>
    <cellStyle name="20% - Accent4 8 3 4 3" xfId="29556" xr:uid="{00000000-0005-0000-0000-0000A9320000}"/>
    <cellStyle name="20% - Accent4 8 3 5" xfId="12605" xr:uid="{00000000-0005-0000-0000-0000AA320000}"/>
    <cellStyle name="20% - Accent4 8 3 5 2" xfId="35207" xr:uid="{00000000-0005-0000-0000-0000AB320000}"/>
    <cellStyle name="20% - Accent4 8 3 6" xfId="23906" xr:uid="{00000000-0005-0000-0000-0000AC320000}"/>
    <cellStyle name="20% - Accent4 8 4" xfId="1714" xr:uid="{00000000-0005-0000-0000-0000AD320000}"/>
    <cellStyle name="20% - Accent4 8 4 2" xfId="3651" xr:uid="{00000000-0005-0000-0000-0000AE320000}"/>
    <cellStyle name="20% - Accent4 8 4 2 2" xfId="9363" xr:uid="{00000000-0005-0000-0000-0000AF320000}"/>
    <cellStyle name="20% - Accent4 8 4 2 2 2" xfId="20664" xr:uid="{00000000-0005-0000-0000-0000B0320000}"/>
    <cellStyle name="20% - Accent4 8 4 2 2 2 2" xfId="43266" xr:uid="{00000000-0005-0000-0000-0000B1320000}"/>
    <cellStyle name="20% - Accent4 8 4 2 2 3" xfId="31965" xr:uid="{00000000-0005-0000-0000-0000B2320000}"/>
    <cellStyle name="20% - Accent4 8 4 2 3" xfId="15014" xr:uid="{00000000-0005-0000-0000-0000B3320000}"/>
    <cellStyle name="20% - Accent4 8 4 2 3 2" xfId="37616" xr:uid="{00000000-0005-0000-0000-0000B4320000}"/>
    <cellStyle name="20% - Accent4 8 4 2 4" xfId="26315" xr:uid="{00000000-0005-0000-0000-0000B5320000}"/>
    <cellStyle name="20% - Accent4 8 4 3" xfId="5377" xr:uid="{00000000-0005-0000-0000-0000B6320000}"/>
    <cellStyle name="20% - Accent4 8 4 3 2" xfId="11027" xr:uid="{00000000-0005-0000-0000-0000B7320000}"/>
    <cellStyle name="20% - Accent4 8 4 3 2 2" xfId="22328" xr:uid="{00000000-0005-0000-0000-0000B8320000}"/>
    <cellStyle name="20% - Accent4 8 4 3 2 2 2" xfId="44930" xr:uid="{00000000-0005-0000-0000-0000B9320000}"/>
    <cellStyle name="20% - Accent4 8 4 3 2 3" xfId="33629" xr:uid="{00000000-0005-0000-0000-0000BA320000}"/>
    <cellStyle name="20% - Accent4 8 4 3 3" xfId="16678" xr:uid="{00000000-0005-0000-0000-0000BB320000}"/>
    <cellStyle name="20% - Accent4 8 4 3 3 2" xfId="39280" xr:uid="{00000000-0005-0000-0000-0000BC320000}"/>
    <cellStyle name="20% - Accent4 8 4 3 4" xfId="27979" xr:uid="{00000000-0005-0000-0000-0000BD320000}"/>
    <cellStyle name="20% - Accent4 8 4 4" xfId="7570" xr:uid="{00000000-0005-0000-0000-0000BE320000}"/>
    <cellStyle name="20% - Accent4 8 4 4 2" xfId="18871" xr:uid="{00000000-0005-0000-0000-0000BF320000}"/>
    <cellStyle name="20% - Accent4 8 4 4 2 2" xfId="41473" xr:uid="{00000000-0005-0000-0000-0000C0320000}"/>
    <cellStyle name="20% - Accent4 8 4 4 3" xfId="30172" xr:uid="{00000000-0005-0000-0000-0000C1320000}"/>
    <cellStyle name="20% - Accent4 8 4 5" xfId="13221" xr:uid="{00000000-0005-0000-0000-0000C2320000}"/>
    <cellStyle name="20% - Accent4 8 4 5 2" xfId="35823" xr:uid="{00000000-0005-0000-0000-0000C3320000}"/>
    <cellStyle name="20% - Accent4 8 4 6" xfId="24522" xr:uid="{00000000-0005-0000-0000-0000C4320000}"/>
    <cellStyle name="20% - Accent4 8 5" xfId="2358" xr:uid="{00000000-0005-0000-0000-0000C5320000}"/>
    <cellStyle name="20% - Accent4 8 5 2" xfId="8194" xr:uid="{00000000-0005-0000-0000-0000C6320000}"/>
    <cellStyle name="20% - Accent4 8 5 2 2" xfId="19495" xr:uid="{00000000-0005-0000-0000-0000C7320000}"/>
    <cellStyle name="20% - Accent4 8 5 2 2 2" xfId="42097" xr:uid="{00000000-0005-0000-0000-0000C8320000}"/>
    <cellStyle name="20% - Accent4 8 5 2 3" xfId="30796" xr:uid="{00000000-0005-0000-0000-0000C9320000}"/>
    <cellStyle name="20% - Accent4 8 5 3" xfId="13845" xr:uid="{00000000-0005-0000-0000-0000CA320000}"/>
    <cellStyle name="20% - Accent4 8 5 3 2" xfId="36447" xr:uid="{00000000-0005-0000-0000-0000CB320000}"/>
    <cellStyle name="20% - Accent4 8 5 4" xfId="25146" xr:uid="{00000000-0005-0000-0000-0000CC320000}"/>
    <cellStyle name="20% - Accent4 8 6" xfId="4143" xr:uid="{00000000-0005-0000-0000-0000CD320000}"/>
    <cellStyle name="20% - Accent4 8 6 2" xfId="9793" xr:uid="{00000000-0005-0000-0000-0000CE320000}"/>
    <cellStyle name="20% - Accent4 8 6 2 2" xfId="21094" xr:uid="{00000000-0005-0000-0000-0000CF320000}"/>
    <cellStyle name="20% - Accent4 8 6 2 2 2" xfId="43696" xr:uid="{00000000-0005-0000-0000-0000D0320000}"/>
    <cellStyle name="20% - Accent4 8 6 2 3" xfId="32395" xr:uid="{00000000-0005-0000-0000-0000D1320000}"/>
    <cellStyle name="20% - Accent4 8 6 3" xfId="15444" xr:uid="{00000000-0005-0000-0000-0000D2320000}"/>
    <cellStyle name="20% - Accent4 8 6 3 2" xfId="38046" xr:uid="{00000000-0005-0000-0000-0000D3320000}"/>
    <cellStyle name="20% - Accent4 8 6 4" xfId="26745" xr:uid="{00000000-0005-0000-0000-0000D4320000}"/>
    <cellStyle name="20% - Accent4 8 7" xfId="6594" xr:uid="{00000000-0005-0000-0000-0000D5320000}"/>
    <cellStyle name="20% - Accent4 8 7 2" xfId="17895" xr:uid="{00000000-0005-0000-0000-0000D6320000}"/>
    <cellStyle name="20% - Accent4 8 7 2 2" xfId="40497" xr:uid="{00000000-0005-0000-0000-0000D7320000}"/>
    <cellStyle name="20% - Accent4 8 7 3" xfId="29196" xr:uid="{00000000-0005-0000-0000-0000D8320000}"/>
    <cellStyle name="20% - Accent4 8 8" xfId="12245" xr:uid="{00000000-0005-0000-0000-0000D9320000}"/>
    <cellStyle name="20% - Accent4 8 8 2" xfId="34847" xr:uid="{00000000-0005-0000-0000-0000DA320000}"/>
    <cellStyle name="20% - Accent4 8 9" xfId="23546" xr:uid="{00000000-0005-0000-0000-0000DB320000}"/>
    <cellStyle name="20% - Accent4 9" xfId="699" xr:uid="{00000000-0005-0000-0000-0000DC320000}"/>
    <cellStyle name="20% - Accent4 9 2" xfId="760" xr:uid="{00000000-0005-0000-0000-0000DD320000}"/>
    <cellStyle name="20% - Accent4 9 2 2" xfId="3169" xr:uid="{00000000-0005-0000-0000-0000DE320000}"/>
    <cellStyle name="20% - Accent4 9 2 2 2" xfId="6141" xr:uid="{00000000-0005-0000-0000-0000DF320000}"/>
    <cellStyle name="20% - Accent4 9 2 2 2 2" xfId="11791" xr:uid="{00000000-0005-0000-0000-0000E0320000}"/>
    <cellStyle name="20% - Accent4 9 2 2 2 2 2" xfId="23092" xr:uid="{00000000-0005-0000-0000-0000E1320000}"/>
    <cellStyle name="20% - Accent4 9 2 2 2 2 2 2" xfId="45694" xr:uid="{00000000-0005-0000-0000-0000E2320000}"/>
    <cellStyle name="20% - Accent4 9 2 2 2 2 3" xfId="34393" xr:uid="{00000000-0005-0000-0000-0000E3320000}"/>
    <cellStyle name="20% - Accent4 9 2 2 2 3" xfId="17442" xr:uid="{00000000-0005-0000-0000-0000E4320000}"/>
    <cellStyle name="20% - Accent4 9 2 2 2 3 2" xfId="40044" xr:uid="{00000000-0005-0000-0000-0000E5320000}"/>
    <cellStyle name="20% - Accent4 9 2 2 2 4" xfId="28743" xr:uid="{00000000-0005-0000-0000-0000E6320000}"/>
    <cellStyle name="20% - Accent4 9 2 2 3" xfId="8959" xr:uid="{00000000-0005-0000-0000-0000E7320000}"/>
    <cellStyle name="20% - Accent4 9 2 2 3 2" xfId="20260" xr:uid="{00000000-0005-0000-0000-0000E8320000}"/>
    <cellStyle name="20% - Accent4 9 2 2 3 2 2" xfId="42862" xr:uid="{00000000-0005-0000-0000-0000E9320000}"/>
    <cellStyle name="20% - Accent4 9 2 2 3 3" xfId="31561" xr:uid="{00000000-0005-0000-0000-0000EA320000}"/>
    <cellStyle name="20% - Accent4 9 2 2 4" xfId="14610" xr:uid="{00000000-0005-0000-0000-0000EB320000}"/>
    <cellStyle name="20% - Accent4 9 2 2 4 2" xfId="37212" xr:uid="{00000000-0005-0000-0000-0000EC320000}"/>
    <cellStyle name="20% - Accent4 9 2 2 5" xfId="25911" xr:uid="{00000000-0005-0000-0000-0000ED320000}"/>
    <cellStyle name="20% - Accent4 9 2 3" xfId="4907" xr:uid="{00000000-0005-0000-0000-0000EE320000}"/>
    <cellStyle name="20% - Accent4 9 2 3 2" xfId="10557" xr:uid="{00000000-0005-0000-0000-0000EF320000}"/>
    <cellStyle name="20% - Accent4 9 2 3 2 2" xfId="21858" xr:uid="{00000000-0005-0000-0000-0000F0320000}"/>
    <cellStyle name="20% - Accent4 9 2 3 2 2 2" xfId="44460" xr:uid="{00000000-0005-0000-0000-0000F1320000}"/>
    <cellStyle name="20% - Accent4 9 2 3 2 3" xfId="33159" xr:uid="{00000000-0005-0000-0000-0000F2320000}"/>
    <cellStyle name="20% - Accent4 9 2 3 3" xfId="16208" xr:uid="{00000000-0005-0000-0000-0000F3320000}"/>
    <cellStyle name="20% - Accent4 9 2 3 3 2" xfId="38810" xr:uid="{00000000-0005-0000-0000-0000F4320000}"/>
    <cellStyle name="20% - Accent4 9 2 3 4" xfId="27509" xr:uid="{00000000-0005-0000-0000-0000F5320000}"/>
    <cellStyle name="20% - Accent4 9 2 4" xfId="6783" xr:uid="{00000000-0005-0000-0000-0000F6320000}"/>
    <cellStyle name="20% - Accent4 9 2 4 2" xfId="18084" xr:uid="{00000000-0005-0000-0000-0000F7320000}"/>
    <cellStyle name="20% - Accent4 9 2 4 2 2" xfId="40686" xr:uid="{00000000-0005-0000-0000-0000F8320000}"/>
    <cellStyle name="20% - Accent4 9 2 4 3" xfId="29385" xr:uid="{00000000-0005-0000-0000-0000F9320000}"/>
    <cellStyle name="20% - Accent4 9 2 5" xfId="12434" xr:uid="{00000000-0005-0000-0000-0000FA320000}"/>
    <cellStyle name="20% - Accent4 9 2 5 2" xfId="35036" xr:uid="{00000000-0005-0000-0000-0000FB320000}"/>
    <cellStyle name="20% - Accent4 9 2 6" xfId="23735" xr:uid="{00000000-0005-0000-0000-0000FC320000}"/>
    <cellStyle name="20% - Accent4 9 3" xfId="1716" xr:uid="{00000000-0005-0000-0000-0000FD320000}"/>
    <cellStyle name="20% - Accent4 9 3 2" xfId="3652" xr:uid="{00000000-0005-0000-0000-0000FE320000}"/>
    <cellStyle name="20% - Accent4 9 3 2 2" xfId="9364" xr:uid="{00000000-0005-0000-0000-0000FF320000}"/>
    <cellStyle name="20% - Accent4 9 3 2 2 2" xfId="20665" xr:uid="{00000000-0005-0000-0000-000000330000}"/>
    <cellStyle name="20% - Accent4 9 3 2 2 2 2" xfId="43267" xr:uid="{00000000-0005-0000-0000-000001330000}"/>
    <cellStyle name="20% - Accent4 9 3 2 2 3" xfId="31966" xr:uid="{00000000-0005-0000-0000-000002330000}"/>
    <cellStyle name="20% - Accent4 9 3 2 3" xfId="15015" xr:uid="{00000000-0005-0000-0000-000003330000}"/>
    <cellStyle name="20% - Accent4 9 3 2 3 2" xfId="37617" xr:uid="{00000000-0005-0000-0000-000004330000}"/>
    <cellStyle name="20% - Accent4 9 3 2 4" xfId="26316" xr:uid="{00000000-0005-0000-0000-000005330000}"/>
    <cellStyle name="20% - Accent4 9 3 3" xfId="5517" xr:uid="{00000000-0005-0000-0000-000006330000}"/>
    <cellStyle name="20% - Accent4 9 3 3 2" xfId="11167" xr:uid="{00000000-0005-0000-0000-000007330000}"/>
    <cellStyle name="20% - Accent4 9 3 3 2 2" xfId="22468" xr:uid="{00000000-0005-0000-0000-000008330000}"/>
    <cellStyle name="20% - Accent4 9 3 3 2 2 2" xfId="45070" xr:uid="{00000000-0005-0000-0000-000009330000}"/>
    <cellStyle name="20% - Accent4 9 3 3 2 3" xfId="33769" xr:uid="{00000000-0005-0000-0000-00000A330000}"/>
    <cellStyle name="20% - Accent4 9 3 3 3" xfId="16818" xr:uid="{00000000-0005-0000-0000-00000B330000}"/>
    <cellStyle name="20% - Accent4 9 3 3 3 2" xfId="39420" xr:uid="{00000000-0005-0000-0000-00000C330000}"/>
    <cellStyle name="20% - Accent4 9 3 3 4" xfId="28119" xr:uid="{00000000-0005-0000-0000-00000D330000}"/>
    <cellStyle name="20% - Accent4 9 3 4" xfId="7572" xr:uid="{00000000-0005-0000-0000-00000E330000}"/>
    <cellStyle name="20% - Accent4 9 3 4 2" xfId="18873" xr:uid="{00000000-0005-0000-0000-00000F330000}"/>
    <cellStyle name="20% - Accent4 9 3 4 2 2" xfId="41475" xr:uid="{00000000-0005-0000-0000-000010330000}"/>
    <cellStyle name="20% - Accent4 9 3 4 3" xfId="30174" xr:uid="{00000000-0005-0000-0000-000011330000}"/>
    <cellStyle name="20% - Accent4 9 3 5" xfId="13223" xr:uid="{00000000-0005-0000-0000-000012330000}"/>
    <cellStyle name="20% - Accent4 9 3 5 2" xfId="35825" xr:uid="{00000000-0005-0000-0000-000013330000}"/>
    <cellStyle name="20% - Accent4 9 3 6" xfId="24524" xr:uid="{00000000-0005-0000-0000-000014330000}"/>
    <cellStyle name="20% - Accent4 9 4" xfId="2498" xr:uid="{00000000-0005-0000-0000-000015330000}"/>
    <cellStyle name="20% - Accent4 9 4 2" xfId="8334" xr:uid="{00000000-0005-0000-0000-000016330000}"/>
    <cellStyle name="20% - Accent4 9 4 2 2" xfId="19635" xr:uid="{00000000-0005-0000-0000-000017330000}"/>
    <cellStyle name="20% - Accent4 9 4 2 2 2" xfId="42237" xr:uid="{00000000-0005-0000-0000-000018330000}"/>
    <cellStyle name="20% - Accent4 9 4 2 3" xfId="30936" xr:uid="{00000000-0005-0000-0000-000019330000}"/>
    <cellStyle name="20% - Accent4 9 4 3" xfId="13985" xr:uid="{00000000-0005-0000-0000-00001A330000}"/>
    <cellStyle name="20% - Accent4 9 4 3 2" xfId="36587" xr:uid="{00000000-0005-0000-0000-00001B330000}"/>
    <cellStyle name="20% - Accent4 9 4 4" xfId="25286" xr:uid="{00000000-0005-0000-0000-00001C330000}"/>
    <cellStyle name="20% - Accent4 9 5" xfId="4283" xr:uid="{00000000-0005-0000-0000-00001D330000}"/>
    <cellStyle name="20% - Accent4 9 5 2" xfId="9933" xr:uid="{00000000-0005-0000-0000-00001E330000}"/>
    <cellStyle name="20% - Accent4 9 5 2 2" xfId="21234" xr:uid="{00000000-0005-0000-0000-00001F330000}"/>
    <cellStyle name="20% - Accent4 9 5 2 2 2" xfId="43836" xr:uid="{00000000-0005-0000-0000-000020330000}"/>
    <cellStyle name="20% - Accent4 9 5 2 3" xfId="32535" xr:uid="{00000000-0005-0000-0000-000021330000}"/>
    <cellStyle name="20% - Accent4 9 5 3" xfId="15584" xr:uid="{00000000-0005-0000-0000-000022330000}"/>
    <cellStyle name="20% - Accent4 9 5 3 2" xfId="38186" xr:uid="{00000000-0005-0000-0000-000023330000}"/>
    <cellStyle name="20% - Accent4 9 5 4" xfId="26885" xr:uid="{00000000-0005-0000-0000-000024330000}"/>
    <cellStyle name="20% - Accent4 9 6" xfId="6762" xr:uid="{00000000-0005-0000-0000-000025330000}"/>
    <cellStyle name="20% - Accent4 9 6 2" xfId="18063" xr:uid="{00000000-0005-0000-0000-000026330000}"/>
    <cellStyle name="20% - Accent4 9 6 2 2" xfId="40665" xr:uid="{00000000-0005-0000-0000-000027330000}"/>
    <cellStyle name="20% - Accent4 9 6 3" xfId="29364" xr:uid="{00000000-0005-0000-0000-000028330000}"/>
    <cellStyle name="20% - Accent4 9 7" xfId="12413" xr:uid="{00000000-0005-0000-0000-000029330000}"/>
    <cellStyle name="20% - Accent4 9 7 2" xfId="35015" xr:uid="{00000000-0005-0000-0000-00002A330000}"/>
    <cellStyle name="20% - Accent4 9 8" xfId="23714" xr:uid="{00000000-0005-0000-0000-00002B330000}"/>
    <cellStyle name="20% - Accent5" xfId="35" builtinId="46" customBuiltin="1"/>
    <cellStyle name="20% - Accent5 10" xfId="1478" xr:uid="{00000000-0005-0000-0000-00002D330000}"/>
    <cellStyle name="20% - Accent5 10 2" xfId="1717" xr:uid="{00000000-0005-0000-0000-00002E330000}"/>
    <cellStyle name="20% - Accent5 10 2 2" xfId="3468" xr:uid="{00000000-0005-0000-0000-00002F330000}"/>
    <cellStyle name="20% - Accent5 10 2 2 2" xfId="6440" xr:uid="{00000000-0005-0000-0000-000030330000}"/>
    <cellStyle name="20% - Accent5 10 2 2 2 2" xfId="12090" xr:uid="{00000000-0005-0000-0000-000031330000}"/>
    <cellStyle name="20% - Accent5 10 2 2 2 2 2" xfId="23391" xr:uid="{00000000-0005-0000-0000-000032330000}"/>
    <cellStyle name="20% - Accent5 10 2 2 2 2 2 2" xfId="45993" xr:uid="{00000000-0005-0000-0000-000033330000}"/>
    <cellStyle name="20% - Accent5 10 2 2 2 2 3" xfId="34692" xr:uid="{00000000-0005-0000-0000-000034330000}"/>
    <cellStyle name="20% - Accent5 10 2 2 2 3" xfId="17741" xr:uid="{00000000-0005-0000-0000-000035330000}"/>
    <cellStyle name="20% - Accent5 10 2 2 2 3 2" xfId="40343" xr:uid="{00000000-0005-0000-0000-000036330000}"/>
    <cellStyle name="20% - Accent5 10 2 2 2 4" xfId="29042" xr:uid="{00000000-0005-0000-0000-000037330000}"/>
    <cellStyle name="20% - Accent5 10 2 2 3" xfId="9258" xr:uid="{00000000-0005-0000-0000-000038330000}"/>
    <cellStyle name="20% - Accent5 10 2 2 3 2" xfId="20559" xr:uid="{00000000-0005-0000-0000-000039330000}"/>
    <cellStyle name="20% - Accent5 10 2 2 3 2 2" xfId="43161" xr:uid="{00000000-0005-0000-0000-00003A330000}"/>
    <cellStyle name="20% - Accent5 10 2 2 3 3" xfId="31860" xr:uid="{00000000-0005-0000-0000-00003B330000}"/>
    <cellStyle name="20% - Accent5 10 2 2 4" xfId="14909" xr:uid="{00000000-0005-0000-0000-00003C330000}"/>
    <cellStyle name="20% - Accent5 10 2 2 4 2" xfId="37511" xr:uid="{00000000-0005-0000-0000-00003D330000}"/>
    <cellStyle name="20% - Accent5 10 2 2 5" xfId="26210" xr:uid="{00000000-0005-0000-0000-00003E330000}"/>
    <cellStyle name="20% - Accent5 10 2 3" xfId="5206" xr:uid="{00000000-0005-0000-0000-00003F330000}"/>
    <cellStyle name="20% - Accent5 10 2 3 2" xfId="10856" xr:uid="{00000000-0005-0000-0000-000040330000}"/>
    <cellStyle name="20% - Accent5 10 2 3 2 2" xfId="22157" xr:uid="{00000000-0005-0000-0000-000041330000}"/>
    <cellStyle name="20% - Accent5 10 2 3 2 2 2" xfId="44759" xr:uid="{00000000-0005-0000-0000-000042330000}"/>
    <cellStyle name="20% - Accent5 10 2 3 2 3" xfId="33458" xr:uid="{00000000-0005-0000-0000-000043330000}"/>
    <cellStyle name="20% - Accent5 10 2 3 3" xfId="16507" xr:uid="{00000000-0005-0000-0000-000044330000}"/>
    <cellStyle name="20% - Accent5 10 2 3 3 2" xfId="39109" xr:uid="{00000000-0005-0000-0000-000045330000}"/>
    <cellStyle name="20% - Accent5 10 2 3 4" xfId="27808" xr:uid="{00000000-0005-0000-0000-000046330000}"/>
    <cellStyle name="20% - Accent5 10 2 4" xfId="7573" xr:uid="{00000000-0005-0000-0000-000047330000}"/>
    <cellStyle name="20% - Accent5 10 2 4 2" xfId="18874" xr:uid="{00000000-0005-0000-0000-000048330000}"/>
    <cellStyle name="20% - Accent5 10 2 4 2 2" xfId="41476" xr:uid="{00000000-0005-0000-0000-000049330000}"/>
    <cellStyle name="20% - Accent5 10 2 4 3" xfId="30175" xr:uid="{00000000-0005-0000-0000-00004A330000}"/>
    <cellStyle name="20% - Accent5 10 2 5" xfId="13224" xr:uid="{00000000-0005-0000-0000-00004B330000}"/>
    <cellStyle name="20% - Accent5 10 2 5 2" xfId="35826" xr:uid="{00000000-0005-0000-0000-00004C330000}"/>
    <cellStyle name="20% - Accent5 10 2 6" xfId="24525" xr:uid="{00000000-0005-0000-0000-00004D330000}"/>
    <cellStyle name="20% - Accent5 10 3" xfId="2799" xr:uid="{00000000-0005-0000-0000-00004E330000}"/>
    <cellStyle name="20% - Accent5 10 3 2" xfId="5816" xr:uid="{00000000-0005-0000-0000-00004F330000}"/>
    <cellStyle name="20% - Accent5 10 3 2 2" xfId="11466" xr:uid="{00000000-0005-0000-0000-000050330000}"/>
    <cellStyle name="20% - Accent5 10 3 2 2 2" xfId="22767" xr:uid="{00000000-0005-0000-0000-000051330000}"/>
    <cellStyle name="20% - Accent5 10 3 2 2 2 2" xfId="45369" xr:uid="{00000000-0005-0000-0000-000052330000}"/>
    <cellStyle name="20% - Accent5 10 3 2 2 3" xfId="34068" xr:uid="{00000000-0005-0000-0000-000053330000}"/>
    <cellStyle name="20% - Accent5 10 3 2 3" xfId="17117" xr:uid="{00000000-0005-0000-0000-000054330000}"/>
    <cellStyle name="20% - Accent5 10 3 2 3 2" xfId="39719" xr:uid="{00000000-0005-0000-0000-000055330000}"/>
    <cellStyle name="20% - Accent5 10 3 2 4" xfId="28418" xr:uid="{00000000-0005-0000-0000-000056330000}"/>
    <cellStyle name="20% - Accent5 10 3 3" xfId="8633" xr:uid="{00000000-0005-0000-0000-000057330000}"/>
    <cellStyle name="20% - Accent5 10 3 3 2" xfId="19934" xr:uid="{00000000-0005-0000-0000-000058330000}"/>
    <cellStyle name="20% - Accent5 10 3 3 2 2" xfId="42536" xr:uid="{00000000-0005-0000-0000-000059330000}"/>
    <cellStyle name="20% - Accent5 10 3 3 3" xfId="31235" xr:uid="{00000000-0005-0000-0000-00005A330000}"/>
    <cellStyle name="20% - Accent5 10 3 4" xfId="14284" xr:uid="{00000000-0005-0000-0000-00005B330000}"/>
    <cellStyle name="20% - Accent5 10 3 4 2" xfId="36886" xr:uid="{00000000-0005-0000-0000-00005C330000}"/>
    <cellStyle name="20% - Accent5 10 3 5" xfId="25585" xr:uid="{00000000-0005-0000-0000-00005D330000}"/>
    <cellStyle name="20% - Accent5 10 4" xfId="4582" xr:uid="{00000000-0005-0000-0000-00005E330000}"/>
    <cellStyle name="20% - Accent5 10 4 2" xfId="10232" xr:uid="{00000000-0005-0000-0000-00005F330000}"/>
    <cellStyle name="20% - Accent5 10 4 2 2" xfId="21533" xr:uid="{00000000-0005-0000-0000-000060330000}"/>
    <cellStyle name="20% - Accent5 10 4 2 2 2" xfId="44135" xr:uid="{00000000-0005-0000-0000-000061330000}"/>
    <cellStyle name="20% - Accent5 10 4 2 3" xfId="32834" xr:uid="{00000000-0005-0000-0000-000062330000}"/>
    <cellStyle name="20% - Accent5 10 4 3" xfId="15883" xr:uid="{00000000-0005-0000-0000-000063330000}"/>
    <cellStyle name="20% - Accent5 10 4 3 2" xfId="38485" xr:uid="{00000000-0005-0000-0000-000064330000}"/>
    <cellStyle name="20% - Accent5 10 4 4" xfId="27184" xr:uid="{00000000-0005-0000-0000-000065330000}"/>
    <cellStyle name="20% - Accent5 10 5" xfId="7385" xr:uid="{00000000-0005-0000-0000-000066330000}"/>
    <cellStyle name="20% - Accent5 10 5 2" xfId="18686" xr:uid="{00000000-0005-0000-0000-000067330000}"/>
    <cellStyle name="20% - Accent5 10 5 2 2" xfId="41288" xr:uid="{00000000-0005-0000-0000-000068330000}"/>
    <cellStyle name="20% - Accent5 10 5 3" xfId="29987" xr:uid="{00000000-0005-0000-0000-000069330000}"/>
    <cellStyle name="20% - Accent5 10 6" xfId="13036" xr:uid="{00000000-0005-0000-0000-00006A330000}"/>
    <cellStyle name="20% - Accent5 10 6 2" xfId="35638" xr:uid="{00000000-0005-0000-0000-00006B330000}"/>
    <cellStyle name="20% - Accent5 10 7" xfId="24337" xr:uid="{00000000-0005-0000-0000-00006C330000}"/>
    <cellStyle name="20% - Accent5 11" xfId="1442" xr:uid="{00000000-0005-0000-0000-00006D330000}"/>
    <cellStyle name="20% - Accent5 11 2" xfId="1718" xr:uid="{00000000-0005-0000-0000-00006E330000}"/>
    <cellStyle name="20% - Accent5 11 2 2" xfId="3653" xr:uid="{00000000-0005-0000-0000-00006F330000}"/>
    <cellStyle name="20% - Accent5 11 2 2 2" xfId="9365" xr:uid="{00000000-0005-0000-0000-000070330000}"/>
    <cellStyle name="20% - Accent5 11 2 2 2 2" xfId="20666" xr:uid="{00000000-0005-0000-0000-000071330000}"/>
    <cellStyle name="20% - Accent5 11 2 2 2 2 2" xfId="43268" xr:uid="{00000000-0005-0000-0000-000072330000}"/>
    <cellStyle name="20% - Accent5 11 2 2 2 3" xfId="31967" xr:uid="{00000000-0005-0000-0000-000073330000}"/>
    <cellStyle name="20% - Accent5 11 2 2 3" xfId="15016" xr:uid="{00000000-0005-0000-0000-000074330000}"/>
    <cellStyle name="20% - Accent5 11 2 2 3 2" xfId="37618" xr:uid="{00000000-0005-0000-0000-000075330000}"/>
    <cellStyle name="20% - Accent5 11 2 2 4" xfId="26317" xr:uid="{00000000-0005-0000-0000-000076330000}"/>
    <cellStyle name="20% - Accent5 11 2 3" xfId="7574" xr:uid="{00000000-0005-0000-0000-000077330000}"/>
    <cellStyle name="20% - Accent5 11 2 3 2" xfId="18875" xr:uid="{00000000-0005-0000-0000-000078330000}"/>
    <cellStyle name="20% - Accent5 11 2 3 2 2" xfId="41477" xr:uid="{00000000-0005-0000-0000-000079330000}"/>
    <cellStyle name="20% - Accent5 11 2 3 3" xfId="30176" xr:uid="{00000000-0005-0000-0000-00007A330000}"/>
    <cellStyle name="20% - Accent5 11 2 4" xfId="13225" xr:uid="{00000000-0005-0000-0000-00007B330000}"/>
    <cellStyle name="20% - Accent5 11 2 4 2" xfId="35827" xr:uid="{00000000-0005-0000-0000-00007C330000}"/>
    <cellStyle name="20% - Accent5 11 2 5" xfId="24526" xr:uid="{00000000-0005-0000-0000-00007D330000}"/>
    <cellStyle name="20% - Accent5 11 3" xfId="2182" xr:uid="{00000000-0005-0000-0000-00007E330000}"/>
    <cellStyle name="20% - Accent5 11 3 2" xfId="8026" xr:uid="{00000000-0005-0000-0000-00007F330000}"/>
    <cellStyle name="20% - Accent5 11 3 2 2" xfId="19327" xr:uid="{00000000-0005-0000-0000-000080330000}"/>
    <cellStyle name="20% - Accent5 11 3 2 2 2" xfId="41929" xr:uid="{00000000-0005-0000-0000-000081330000}"/>
    <cellStyle name="20% - Accent5 11 3 2 3" xfId="30628" xr:uid="{00000000-0005-0000-0000-000082330000}"/>
    <cellStyle name="20% - Accent5 11 3 3" xfId="13677" xr:uid="{00000000-0005-0000-0000-000083330000}"/>
    <cellStyle name="20% - Accent5 11 3 3 2" xfId="36279" xr:uid="{00000000-0005-0000-0000-000084330000}"/>
    <cellStyle name="20% - Accent5 11 3 4" xfId="24978" xr:uid="{00000000-0005-0000-0000-000085330000}"/>
    <cellStyle name="20% - Accent5 11 4" xfId="3978" xr:uid="{00000000-0005-0000-0000-000086330000}"/>
    <cellStyle name="20% - Accent5 11 4 2" xfId="9628" xr:uid="{00000000-0005-0000-0000-000087330000}"/>
    <cellStyle name="20% - Accent5 11 4 2 2" xfId="20929" xr:uid="{00000000-0005-0000-0000-000088330000}"/>
    <cellStyle name="20% - Accent5 11 4 2 2 2" xfId="43531" xr:uid="{00000000-0005-0000-0000-000089330000}"/>
    <cellStyle name="20% - Accent5 11 4 2 3" xfId="32230" xr:uid="{00000000-0005-0000-0000-00008A330000}"/>
    <cellStyle name="20% - Accent5 11 4 3" xfId="15279" xr:uid="{00000000-0005-0000-0000-00008B330000}"/>
    <cellStyle name="20% - Accent5 11 4 3 2" xfId="37881" xr:uid="{00000000-0005-0000-0000-00008C330000}"/>
    <cellStyle name="20% - Accent5 11 4 4" xfId="26580" xr:uid="{00000000-0005-0000-0000-00008D330000}"/>
    <cellStyle name="20% - Accent5 11 5" xfId="7381" xr:uid="{00000000-0005-0000-0000-00008E330000}"/>
    <cellStyle name="20% - Accent5 11 5 2" xfId="18682" xr:uid="{00000000-0005-0000-0000-00008F330000}"/>
    <cellStyle name="20% - Accent5 11 5 2 2" xfId="41284" xr:uid="{00000000-0005-0000-0000-000090330000}"/>
    <cellStyle name="20% - Accent5 11 5 3" xfId="29983" xr:uid="{00000000-0005-0000-0000-000091330000}"/>
    <cellStyle name="20% - Accent5 11 6" xfId="13032" xr:uid="{00000000-0005-0000-0000-000092330000}"/>
    <cellStyle name="20% - Accent5 11 6 2" xfId="35634" xr:uid="{00000000-0005-0000-0000-000093330000}"/>
    <cellStyle name="20% - Accent5 11 7" xfId="24333" xr:uid="{00000000-0005-0000-0000-000094330000}"/>
    <cellStyle name="20% - Accent5 12" xfId="1436" xr:uid="{00000000-0005-0000-0000-000095330000}"/>
    <cellStyle name="20% - Accent5 12 2" xfId="3545" xr:uid="{00000000-0005-0000-0000-000096330000}"/>
    <cellStyle name="20% - Accent5 12 2 2" xfId="9291" xr:uid="{00000000-0005-0000-0000-000097330000}"/>
    <cellStyle name="20% - Accent5 12 2 2 2" xfId="20592" xr:uid="{00000000-0005-0000-0000-000098330000}"/>
    <cellStyle name="20% - Accent5 12 2 2 2 2" xfId="43194" xr:uid="{00000000-0005-0000-0000-000099330000}"/>
    <cellStyle name="20% - Accent5 12 2 2 3" xfId="31893" xr:uid="{00000000-0005-0000-0000-00009A330000}"/>
    <cellStyle name="20% - Accent5 12 2 3" xfId="14942" xr:uid="{00000000-0005-0000-0000-00009B330000}"/>
    <cellStyle name="20% - Accent5 12 2 3 2" xfId="37544" xr:uid="{00000000-0005-0000-0000-00009C330000}"/>
    <cellStyle name="20% - Accent5 12 2 4" xfId="26243" xr:uid="{00000000-0005-0000-0000-00009D330000}"/>
    <cellStyle name="20% - Accent5 13" xfId="2164" xr:uid="{00000000-0005-0000-0000-00009E330000}"/>
    <cellStyle name="20% - Accent5 14" xfId="107" xr:uid="{00000000-0005-0000-0000-00009F330000}"/>
    <cellStyle name="20% - Accent5 2" xfId="54" xr:uid="{00000000-0005-0000-0000-0000A0330000}"/>
    <cellStyle name="20% - Accent5 2 2" xfId="271" xr:uid="{00000000-0005-0000-0000-0000A1330000}"/>
    <cellStyle name="20% - Accent5 2 2 10" xfId="23437" xr:uid="{00000000-0005-0000-0000-0000A2330000}"/>
    <cellStyle name="20% - Accent5 2 2 2" xfId="586" xr:uid="{00000000-0005-0000-0000-0000A3330000}"/>
    <cellStyle name="20% - Accent5 2 2 2 2" xfId="1299" xr:uid="{00000000-0005-0000-0000-0000A4330000}"/>
    <cellStyle name="20% - Accent5 2 2 2 2 2" xfId="1721" xr:uid="{00000000-0005-0000-0000-0000A5330000}"/>
    <cellStyle name="20% - Accent5 2 2 2 2 2 2" xfId="3368" xr:uid="{00000000-0005-0000-0000-0000A6330000}"/>
    <cellStyle name="20% - Accent5 2 2 2 2 2 2 2" xfId="6340" xr:uid="{00000000-0005-0000-0000-0000A7330000}"/>
    <cellStyle name="20% - Accent5 2 2 2 2 2 2 2 2" xfId="11990" xr:uid="{00000000-0005-0000-0000-0000A8330000}"/>
    <cellStyle name="20% - Accent5 2 2 2 2 2 2 2 2 2" xfId="23291" xr:uid="{00000000-0005-0000-0000-0000A9330000}"/>
    <cellStyle name="20% - Accent5 2 2 2 2 2 2 2 2 2 2" xfId="45893" xr:uid="{00000000-0005-0000-0000-0000AA330000}"/>
    <cellStyle name="20% - Accent5 2 2 2 2 2 2 2 2 3" xfId="34592" xr:uid="{00000000-0005-0000-0000-0000AB330000}"/>
    <cellStyle name="20% - Accent5 2 2 2 2 2 2 2 3" xfId="17641" xr:uid="{00000000-0005-0000-0000-0000AC330000}"/>
    <cellStyle name="20% - Accent5 2 2 2 2 2 2 2 3 2" xfId="40243" xr:uid="{00000000-0005-0000-0000-0000AD330000}"/>
    <cellStyle name="20% - Accent5 2 2 2 2 2 2 2 4" xfId="28942" xr:uid="{00000000-0005-0000-0000-0000AE330000}"/>
    <cellStyle name="20% - Accent5 2 2 2 2 2 2 3" xfId="9158" xr:uid="{00000000-0005-0000-0000-0000AF330000}"/>
    <cellStyle name="20% - Accent5 2 2 2 2 2 2 3 2" xfId="20459" xr:uid="{00000000-0005-0000-0000-0000B0330000}"/>
    <cellStyle name="20% - Accent5 2 2 2 2 2 2 3 2 2" xfId="43061" xr:uid="{00000000-0005-0000-0000-0000B1330000}"/>
    <cellStyle name="20% - Accent5 2 2 2 2 2 2 3 3" xfId="31760" xr:uid="{00000000-0005-0000-0000-0000B2330000}"/>
    <cellStyle name="20% - Accent5 2 2 2 2 2 2 4" xfId="14809" xr:uid="{00000000-0005-0000-0000-0000B3330000}"/>
    <cellStyle name="20% - Accent5 2 2 2 2 2 2 4 2" xfId="37411" xr:uid="{00000000-0005-0000-0000-0000B4330000}"/>
    <cellStyle name="20% - Accent5 2 2 2 2 2 2 5" xfId="26110" xr:uid="{00000000-0005-0000-0000-0000B5330000}"/>
    <cellStyle name="20% - Accent5 2 2 2 2 2 3" xfId="5106" xr:uid="{00000000-0005-0000-0000-0000B6330000}"/>
    <cellStyle name="20% - Accent5 2 2 2 2 2 3 2" xfId="10756" xr:uid="{00000000-0005-0000-0000-0000B7330000}"/>
    <cellStyle name="20% - Accent5 2 2 2 2 2 3 2 2" xfId="22057" xr:uid="{00000000-0005-0000-0000-0000B8330000}"/>
    <cellStyle name="20% - Accent5 2 2 2 2 2 3 2 2 2" xfId="44659" xr:uid="{00000000-0005-0000-0000-0000B9330000}"/>
    <cellStyle name="20% - Accent5 2 2 2 2 2 3 2 3" xfId="33358" xr:uid="{00000000-0005-0000-0000-0000BA330000}"/>
    <cellStyle name="20% - Accent5 2 2 2 2 2 3 3" xfId="16407" xr:uid="{00000000-0005-0000-0000-0000BB330000}"/>
    <cellStyle name="20% - Accent5 2 2 2 2 2 3 3 2" xfId="39009" xr:uid="{00000000-0005-0000-0000-0000BC330000}"/>
    <cellStyle name="20% - Accent5 2 2 2 2 2 3 4" xfId="27708" xr:uid="{00000000-0005-0000-0000-0000BD330000}"/>
    <cellStyle name="20% - Accent5 2 2 2 2 2 4" xfId="7577" xr:uid="{00000000-0005-0000-0000-0000BE330000}"/>
    <cellStyle name="20% - Accent5 2 2 2 2 2 4 2" xfId="18878" xr:uid="{00000000-0005-0000-0000-0000BF330000}"/>
    <cellStyle name="20% - Accent5 2 2 2 2 2 4 2 2" xfId="41480" xr:uid="{00000000-0005-0000-0000-0000C0330000}"/>
    <cellStyle name="20% - Accent5 2 2 2 2 2 4 3" xfId="30179" xr:uid="{00000000-0005-0000-0000-0000C1330000}"/>
    <cellStyle name="20% - Accent5 2 2 2 2 2 5" xfId="13228" xr:uid="{00000000-0005-0000-0000-0000C2330000}"/>
    <cellStyle name="20% - Accent5 2 2 2 2 2 5 2" xfId="35830" xr:uid="{00000000-0005-0000-0000-0000C3330000}"/>
    <cellStyle name="20% - Accent5 2 2 2 2 2 6" xfId="24529" xr:uid="{00000000-0005-0000-0000-0000C4330000}"/>
    <cellStyle name="20% - Accent5 2 2 2 2 3" xfId="2697" xr:uid="{00000000-0005-0000-0000-0000C5330000}"/>
    <cellStyle name="20% - Accent5 2 2 2 2 3 2" xfId="5716" xr:uid="{00000000-0005-0000-0000-0000C6330000}"/>
    <cellStyle name="20% - Accent5 2 2 2 2 3 2 2" xfId="11366" xr:uid="{00000000-0005-0000-0000-0000C7330000}"/>
    <cellStyle name="20% - Accent5 2 2 2 2 3 2 2 2" xfId="22667" xr:uid="{00000000-0005-0000-0000-0000C8330000}"/>
    <cellStyle name="20% - Accent5 2 2 2 2 3 2 2 2 2" xfId="45269" xr:uid="{00000000-0005-0000-0000-0000C9330000}"/>
    <cellStyle name="20% - Accent5 2 2 2 2 3 2 2 3" xfId="33968" xr:uid="{00000000-0005-0000-0000-0000CA330000}"/>
    <cellStyle name="20% - Accent5 2 2 2 2 3 2 3" xfId="17017" xr:uid="{00000000-0005-0000-0000-0000CB330000}"/>
    <cellStyle name="20% - Accent5 2 2 2 2 3 2 3 2" xfId="39619" xr:uid="{00000000-0005-0000-0000-0000CC330000}"/>
    <cellStyle name="20% - Accent5 2 2 2 2 3 2 4" xfId="28318" xr:uid="{00000000-0005-0000-0000-0000CD330000}"/>
    <cellStyle name="20% - Accent5 2 2 2 2 3 3" xfId="8533" xr:uid="{00000000-0005-0000-0000-0000CE330000}"/>
    <cellStyle name="20% - Accent5 2 2 2 2 3 3 2" xfId="19834" xr:uid="{00000000-0005-0000-0000-0000CF330000}"/>
    <cellStyle name="20% - Accent5 2 2 2 2 3 3 2 2" xfId="42436" xr:uid="{00000000-0005-0000-0000-0000D0330000}"/>
    <cellStyle name="20% - Accent5 2 2 2 2 3 3 3" xfId="31135" xr:uid="{00000000-0005-0000-0000-0000D1330000}"/>
    <cellStyle name="20% - Accent5 2 2 2 2 3 4" xfId="14184" xr:uid="{00000000-0005-0000-0000-0000D2330000}"/>
    <cellStyle name="20% - Accent5 2 2 2 2 3 4 2" xfId="36786" xr:uid="{00000000-0005-0000-0000-0000D3330000}"/>
    <cellStyle name="20% - Accent5 2 2 2 2 3 5" xfId="25485" xr:uid="{00000000-0005-0000-0000-0000D4330000}"/>
    <cellStyle name="20% - Accent5 2 2 2 2 4" xfId="4482" xr:uid="{00000000-0005-0000-0000-0000D5330000}"/>
    <cellStyle name="20% - Accent5 2 2 2 2 4 2" xfId="10132" xr:uid="{00000000-0005-0000-0000-0000D6330000}"/>
    <cellStyle name="20% - Accent5 2 2 2 2 4 2 2" xfId="21433" xr:uid="{00000000-0005-0000-0000-0000D7330000}"/>
    <cellStyle name="20% - Accent5 2 2 2 2 4 2 2 2" xfId="44035" xr:uid="{00000000-0005-0000-0000-0000D8330000}"/>
    <cellStyle name="20% - Accent5 2 2 2 2 4 2 3" xfId="32734" xr:uid="{00000000-0005-0000-0000-0000D9330000}"/>
    <cellStyle name="20% - Accent5 2 2 2 2 4 3" xfId="15783" xr:uid="{00000000-0005-0000-0000-0000DA330000}"/>
    <cellStyle name="20% - Accent5 2 2 2 2 4 3 2" xfId="38385" xr:uid="{00000000-0005-0000-0000-0000DB330000}"/>
    <cellStyle name="20% - Accent5 2 2 2 2 4 4" xfId="27084" xr:uid="{00000000-0005-0000-0000-0000DC330000}"/>
    <cellStyle name="20% - Accent5 2 2 2 2 5" xfId="7278" xr:uid="{00000000-0005-0000-0000-0000DD330000}"/>
    <cellStyle name="20% - Accent5 2 2 2 2 5 2" xfId="18579" xr:uid="{00000000-0005-0000-0000-0000DE330000}"/>
    <cellStyle name="20% - Accent5 2 2 2 2 5 2 2" xfId="41181" xr:uid="{00000000-0005-0000-0000-0000DF330000}"/>
    <cellStyle name="20% - Accent5 2 2 2 2 5 3" xfId="29880" xr:uid="{00000000-0005-0000-0000-0000E0330000}"/>
    <cellStyle name="20% - Accent5 2 2 2 2 6" xfId="12929" xr:uid="{00000000-0005-0000-0000-0000E1330000}"/>
    <cellStyle name="20% - Accent5 2 2 2 2 6 2" xfId="35531" xr:uid="{00000000-0005-0000-0000-0000E2330000}"/>
    <cellStyle name="20% - Accent5 2 2 2 2 7" xfId="24230" xr:uid="{00000000-0005-0000-0000-0000E3330000}"/>
    <cellStyle name="20% - Accent5 2 2 2 3" xfId="997" xr:uid="{00000000-0005-0000-0000-0000E4330000}"/>
    <cellStyle name="20% - Accent5 2 2 2 3 2" xfId="3060" xr:uid="{00000000-0005-0000-0000-0000E5330000}"/>
    <cellStyle name="20% - Accent5 2 2 2 3 2 2" xfId="6032" xr:uid="{00000000-0005-0000-0000-0000E6330000}"/>
    <cellStyle name="20% - Accent5 2 2 2 3 2 2 2" xfId="11682" xr:uid="{00000000-0005-0000-0000-0000E7330000}"/>
    <cellStyle name="20% - Accent5 2 2 2 3 2 2 2 2" xfId="22983" xr:uid="{00000000-0005-0000-0000-0000E8330000}"/>
    <cellStyle name="20% - Accent5 2 2 2 3 2 2 2 2 2" xfId="45585" xr:uid="{00000000-0005-0000-0000-0000E9330000}"/>
    <cellStyle name="20% - Accent5 2 2 2 3 2 2 2 3" xfId="34284" xr:uid="{00000000-0005-0000-0000-0000EA330000}"/>
    <cellStyle name="20% - Accent5 2 2 2 3 2 2 3" xfId="17333" xr:uid="{00000000-0005-0000-0000-0000EB330000}"/>
    <cellStyle name="20% - Accent5 2 2 2 3 2 2 3 2" xfId="39935" xr:uid="{00000000-0005-0000-0000-0000EC330000}"/>
    <cellStyle name="20% - Accent5 2 2 2 3 2 2 4" xfId="28634" xr:uid="{00000000-0005-0000-0000-0000ED330000}"/>
    <cellStyle name="20% - Accent5 2 2 2 3 2 3" xfId="8850" xr:uid="{00000000-0005-0000-0000-0000EE330000}"/>
    <cellStyle name="20% - Accent5 2 2 2 3 2 3 2" xfId="20151" xr:uid="{00000000-0005-0000-0000-0000EF330000}"/>
    <cellStyle name="20% - Accent5 2 2 2 3 2 3 2 2" xfId="42753" xr:uid="{00000000-0005-0000-0000-0000F0330000}"/>
    <cellStyle name="20% - Accent5 2 2 2 3 2 3 3" xfId="31452" xr:uid="{00000000-0005-0000-0000-0000F1330000}"/>
    <cellStyle name="20% - Accent5 2 2 2 3 2 4" xfId="14501" xr:uid="{00000000-0005-0000-0000-0000F2330000}"/>
    <cellStyle name="20% - Accent5 2 2 2 3 2 4 2" xfId="37103" xr:uid="{00000000-0005-0000-0000-0000F3330000}"/>
    <cellStyle name="20% - Accent5 2 2 2 3 2 5" xfId="25802" xr:uid="{00000000-0005-0000-0000-0000F4330000}"/>
    <cellStyle name="20% - Accent5 2 2 2 3 3" xfId="4798" xr:uid="{00000000-0005-0000-0000-0000F5330000}"/>
    <cellStyle name="20% - Accent5 2 2 2 3 3 2" xfId="10448" xr:uid="{00000000-0005-0000-0000-0000F6330000}"/>
    <cellStyle name="20% - Accent5 2 2 2 3 3 2 2" xfId="21749" xr:uid="{00000000-0005-0000-0000-0000F7330000}"/>
    <cellStyle name="20% - Accent5 2 2 2 3 3 2 2 2" xfId="44351" xr:uid="{00000000-0005-0000-0000-0000F8330000}"/>
    <cellStyle name="20% - Accent5 2 2 2 3 3 2 3" xfId="33050" xr:uid="{00000000-0005-0000-0000-0000F9330000}"/>
    <cellStyle name="20% - Accent5 2 2 2 3 3 3" xfId="16099" xr:uid="{00000000-0005-0000-0000-0000FA330000}"/>
    <cellStyle name="20% - Accent5 2 2 2 3 3 3 2" xfId="38701" xr:uid="{00000000-0005-0000-0000-0000FB330000}"/>
    <cellStyle name="20% - Accent5 2 2 2 3 3 4" xfId="27400" xr:uid="{00000000-0005-0000-0000-0000FC330000}"/>
    <cellStyle name="20% - Accent5 2 2 2 3 4" xfId="6985" xr:uid="{00000000-0005-0000-0000-0000FD330000}"/>
    <cellStyle name="20% - Accent5 2 2 2 3 4 2" xfId="18286" xr:uid="{00000000-0005-0000-0000-0000FE330000}"/>
    <cellStyle name="20% - Accent5 2 2 2 3 4 2 2" xfId="40888" xr:uid="{00000000-0005-0000-0000-0000FF330000}"/>
    <cellStyle name="20% - Accent5 2 2 2 3 4 3" xfId="29587" xr:uid="{00000000-0005-0000-0000-000000340000}"/>
    <cellStyle name="20% - Accent5 2 2 2 3 5" xfId="12636" xr:uid="{00000000-0005-0000-0000-000001340000}"/>
    <cellStyle name="20% - Accent5 2 2 2 3 5 2" xfId="35238" xr:uid="{00000000-0005-0000-0000-000002340000}"/>
    <cellStyle name="20% - Accent5 2 2 2 3 6" xfId="23937" xr:uid="{00000000-0005-0000-0000-000003340000}"/>
    <cellStyle name="20% - Accent5 2 2 2 4" xfId="1720" xr:uid="{00000000-0005-0000-0000-000004340000}"/>
    <cellStyle name="20% - Accent5 2 2 2 4 2" xfId="3655" xr:uid="{00000000-0005-0000-0000-000005340000}"/>
    <cellStyle name="20% - Accent5 2 2 2 4 2 2" xfId="9367" xr:uid="{00000000-0005-0000-0000-000006340000}"/>
    <cellStyle name="20% - Accent5 2 2 2 4 2 2 2" xfId="20668" xr:uid="{00000000-0005-0000-0000-000007340000}"/>
    <cellStyle name="20% - Accent5 2 2 2 4 2 2 2 2" xfId="43270" xr:uid="{00000000-0005-0000-0000-000008340000}"/>
    <cellStyle name="20% - Accent5 2 2 2 4 2 2 3" xfId="31969" xr:uid="{00000000-0005-0000-0000-000009340000}"/>
    <cellStyle name="20% - Accent5 2 2 2 4 2 3" xfId="15018" xr:uid="{00000000-0005-0000-0000-00000A340000}"/>
    <cellStyle name="20% - Accent5 2 2 2 4 2 3 2" xfId="37620" xr:uid="{00000000-0005-0000-0000-00000B340000}"/>
    <cellStyle name="20% - Accent5 2 2 2 4 2 4" xfId="26319" xr:uid="{00000000-0005-0000-0000-00000C340000}"/>
    <cellStyle name="20% - Accent5 2 2 2 4 3" xfId="5408" xr:uid="{00000000-0005-0000-0000-00000D340000}"/>
    <cellStyle name="20% - Accent5 2 2 2 4 3 2" xfId="11058" xr:uid="{00000000-0005-0000-0000-00000E340000}"/>
    <cellStyle name="20% - Accent5 2 2 2 4 3 2 2" xfId="22359" xr:uid="{00000000-0005-0000-0000-00000F340000}"/>
    <cellStyle name="20% - Accent5 2 2 2 4 3 2 2 2" xfId="44961" xr:uid="{00000000-0005-0000-0000-000010340000}"/>
    <cellStyle name="20% - Accent5 2 2 2 4 3 2 3" xfId="33660" xr:uid="{00000000-0005-0000-0000-000011340000}"/>
    <cellStyle name="20% - Accent5 2 2 2 4 3 3" xfId="16709" xr:uid="{00000000-0005-0000-0000-000012340000}"/>
    <cellStyle name="20% - Accent5 2 2 2 4 3 3 2" xfId="39311" xr:uid="{00000000-0005-0000-0000-000013340000}"/>
    <cellStyle name="20% - Accent5 2 2 2 4 3 4" xfId="28010" xr:uid="{00000000-0005-0000-0000-000014340000}"/>
    <cellStyle name="20% - Accent5 2 2 2 4 4" xfId="7576" xr:uid="{00000000-0005-0000-0000-000015340000}"/>
    <cellStyle name="20% - Accent5 2 2 2 4 4 2" xfId="18877" xr:uid="{00000000-0005-0000-0000-000016340000}"/>
    <cellStyle name="20% - Accent5 2 2 2 4 4 2 2" xfId="41479" xr:uid="{00000000-0005-0000-0000-000017340000}"/>
    <cellStyle name="20% - Accent5 2 2 2 4 4 3" xfId="30178" xr:uid="{00000000-0005-0000-0000-000018340000}"/>
    <cellStyle name="20% - Accent5 2 2 2 4 5" xfId="13227" xr:uid="{00000000-0005-0000-0000-000019340000}"/>
    <cellStyle name="20% - Accent5 2 2 2 4 5 2" xfId="35829" xr:uid="{00000000-0005-0000-0000-00001A340000}"/>
    <cellStyle name="20% - Accent5 2 2 2 4 6" xfId="24528" xr:uid="{00000000-0005-0000-0000-00001B340000}"/>
    <cellStyle name="20% - Accent5 2 2 2 5" xfId="2389" xr:uid="{00000000-0005-0000-0000-00001C340000}"/>
    <cellStyle name="20% - Accent5 2 2 2 5 2" xfId="8225" xr:uid="{00000000-0005-0000-0000-00001D340000}"/>
    <cellStyle name="20% - Accent5 2 2 2 5 2 2" xfId="19526" xr:uid="{00000000-0005-0000-0000-00001E340000}"/>
    <cellStyle name="20% - Accent5 2 2 2 5 2 2 2" xfId="42128" xr:uid="{00000000-0005-0000-0000-00001F340000}"/>
    <cellStyle name="20% - Accent5 2 2 2 5 2 3" xfId="30827" xr:uid="{00000000-0005-0000-0000-000020340000}"/>
    <cellStyle name="20% - Accent5 2 2 2 5 3" xfId="13876" xr:uid="{00000000-0005-0000-0000-000021340000}"/>
    <cellStyle name="20% - Accent5 2 2 2 5 3 2" xfId="36478" xr:uid="{00000000-0005-0000-0000-000022340000}"/>
    <cellStyle name="20% - Accent5 2 2 2 5 4" xfId="25177" xr:uid="{00000000-0005-0000-0000-000023340000}"/>
    <cellStyle name="20% - Accent5 2 2 2 6" xfId="4174" xr:uid="{00000000-0005-0000-0000-000024340000}"/>
    <cellStyle name="20% - Accent5 2 2 2 6 2" xfId="9824" xr:uid="{00000000-0005-0000-0000-000025340000}"/>
    <cellStyle name="20% - Accent5 2 2 2 6 2 2" xfId="21125" xr:uid="{00000000-0005-0000-0000-000026340000}"/>
    <cellStyle name="20% - Accent5 2 2 2 6 2 2 2" xfId="43727" xr:uid="{00000000-0005-0000-0000-000027340000}"/>
    <cellStyle name="20% - Accent5 2 2 2 6 2 3" xfId="32426" xr:uid="{00000000-0005-0000-0000-000028340000}"/>
    <cellStyle name="20% - Accent5 2 2 2 6 3" xfId="15475" xr:uid="{00000000-0005-0000-0000-000029340000}"/>
    <cellStyle name="20% - Accent5 2 2 2 6 3 2" xfId="38077" xr:uid="{00000000-0005-0000-0000-00002A340000}"/>
    <cellStyle name="20% - Accent5 2 2 2 6 4" xfId="26776" xr:uid="{00000000-0005-0000-0000-00002B340000}"/>
    <cellStyle name="20% - Accent5 2 2 2 7" xfId="6652" xr:uid="{00000000-0005-0000-0000-00002C340000}"/>
    <cellStyle name="20% - Accent5 2 2 2 7 2" xfId="17953" xr:uid="{00000000-0005-0000-0000-00002D340000}"/>
    <cellStyle name="20% - Accent5 2 2 2 7 2 2" xfId="40555" xr:uid="{00000000-0005-0000-0000-00002E340000}"/>
    <cellStyle name="20% - Accent5 2 2 2 7 3" xfId="29254" xr:uid="{00000000-0005-0000-0000-00002F340000}"/>
    <cellStyle name="20% - Accent5 2 2 2 8" xfId="12303" xr:uid="{00000000-0005-0000-0000-000030340000}"/>
    <cellStyle name="20% - Accent5 2 2 2 8 2" xfId="34905" xr:uid="{00000000-0005-0000-0000-000031340000}"/>
    <cellStyle name="20% - Accent5 2 2 2 9" xfId="23604" xr:uid="{00000000-0005-0000-0000-000032340000}"/>
    <cellStyle name="20% - Accent5 2 2 3" xfId="1159" xr:uid="{00000000-0005-0000-0000-000033340000}"/>
    <cellStyle name="20% - Accent5 2 2 3 2" xfId="1722" xr:uid="{00000000-0005-0000-0000-000034340000}"/>
    <cellStyle name="20% - Accent5 2 2 3 2 2" xfId="3227" xr:uid="{00000000-0005-0000-0000-000035340000}"/>
    <cellStyle name="20% - Accent5 2 2 3 2 2 2" xfId="6199" xr:uid="{00000000-0005-0000-0000-000036340000}"/>
    <cellStyle name="20% - Accent5 2 2 3 2 2 2 2" xfId="11849" xr:uid="{00000000-0005-0000-0000-000037340000}"/>
    <cellStyle name="20% - Accent5 2 2 3 2 2 2 2 2" xfId="23150" xr:uid="{00000000-0005-0000-0000-000038340000}"/>
    <cellStyle name="20% - Accent5 2 2 3 2 2 2 2 2 2" xfId="45752" xr:uid="{00000000-0005-0000-0000-000039340000}"/>
    <cellStyle name="20% - Accent5 2 2 3 2 2 2 2 3" xfId="34451" xr:uid="{00000000-0005-0000-0000-00003A340000}"/>
    <cellStyle name="20% - Accent5 2 2 3 2 2 2 3" xfId="17500" xr:uid="{00000000-0005-0000-0000-00003B340000}"/>
    <cellStyle name="20% - Accent5 2 2 3 2 2 2 3 2" xfId="40102" xr:uid="{00000000-0005-0000-0000-00003C340000}"/>
    <cellStyle name="20% - Accent5 2 2 3 2 2 2 4" xfId="28801" xr:uid="{00000000-0005-0000-0000-00003D340000}"/>
    <cellStyle name="20% - Accent5 2 2 3 2 2 3" xfId="9017" xr:uid="{00000000-0005-0000-0000-00003E340000}"/>
    <cellStyle name="20% - Accent5 2 2 3 2 2 3 2" xfId="20318" xr:uid="{00000000-0005-0000-0000-00003F340000}"/>
    <cellStyle name="20% - Accent5 2 2 3 2 2 3 2 2" xfId="42920" xr:uid="{00000000-0005-0000-0000-000040340000}"/>
    <cellStyle name="20% - Accent5 2 2 3 2 2 3 3" xfId="31619" xr:uid="{00000000-0005-0000-0000-000041340000}"/>
    <cellStyle name="20% - Accent5 2 2 3 2 2 4" xfId="14668" xr:uid="{00000000-0005-0000-0000-000042340000}"/>
    <cellStyle name="20% - Accent5 2 2 3 2 2 4 2" xfId="37270" xr:uid="{00000000-0005-0000-0000-000043340000}"/>
    <cellStyle name="20% - Accent5 2 2 3 2 2 5" xfId="25969" xr:uid="{00000000-0005-0000-0000-000044340000}"/>
    <cellStyle name="20% - Accent5 2 2 3 2 3" xfId="4965" xr:uid="{00000000-0005-0000-0000-000045340000}"/>
    <cellStyle name="20% - Accent5 2 2 3 2 3 2" xfId="10615" xr:uid="{00000000-0005-0000-0000-000046340000}"/>
    <cellStyle name="20% - Accent5 2 2 3 2 3 2 2" xfId="21916" xr:uid="{00000000-0005-0000-0000-000047340000}"/>
    <cellStyle name="20% - Accent5 2 2 3 2 3 2 2 2" xfId="44518" xr:uid="{00000000-0005-0000-0000-000048340000}"/>
    <cellStyle name="20% - Accent5 2 2 3 2 3 2 3" xfId="33217" xr:uid="{00000000-0005-0000-0000-000049340000}"/>
    <cellStyle name="20% - Accent5 2 2 3 2 3 3" xfId="16266" xr:uid="{00000000-0005-0000-0000-00004A340000}"/>
    <cellStyle name="20% - Accent5 2 2 3 2 3 3 2" xfId="38868" xr:uid="{00000000-0005-0000-0000-00004B340000}"/>
    <cellStyle name="20% - Accent5 2 2 3 2 3 4" xfId="27567" xr:uid="{00000000-0005-0000-0000-00004C340000}"/>
    <cellStyle name="20% - Accent5 2 2 3 2 4" xfId="7578" xr:uid="{00000000-0005-0000-0000-00004D340000}"/>
    <cellStyle name="20% - Accent5 2 2 3 2 4 2" xfId="18879" xr:uid="{00000000-0005-0000-0000-00004E340000}"/>
    <cellStyle name="20% - Accent5 2 2 3 2 4 2 2" xfId="41481" xr:uid="{00000000-0005-0000-0000-00004F340000}"/>
    <cellStyle name="20% - Accent5 2 2 3 2 4 3" xfId="30180" xr:uid="{00000000-0005-0000-0000-000050340000}"/>
    <cellStyle name="20% - Accent5 2 2 3 2 5" xfId="13229" xr:uid="{00000000-0005-0000-0000-000051340000}"/>
    <cellStyle name="20% - Accent5 2 2 3 2 5 2" xfId="35831" xr:uid="{00000000-0005-0000-0000-000052340000}"/>
    <cellStyle name="20% - Accent5 2 2 3 2 6" xfId="24530" xr:uid="{00000000-0005-0000-0000-000053340000}"/>
    <cellStyle name="20% - Accent5 2 2 3 3" xfId="2556" xr:uid="{00000000-0005-0000-0000-000054340000}"/>
    <cellStyle name="20% - Accent5 2 2 3 3 2" xfId="5575" xr:uid="{00000000-0005-0000-0000-000055340000}"/>
    <cellStyle name="20% - Accent5 2 2 3 3 2 2" xfId="11225" xr:uid="{00000000-0005-0000-0000-000056340000}"/>
    <cellStyle name="20% - Accent5 2 2 3 3 2 2 2" xfId="22526" xr:uid="{00000000-0005-0000-0000-000057340000}"/>
    <cellStyle name="20% - Accent5 2 2 3 3 2 2 2 2" xfId="45128" xr:uid="{00000000-0005-0000-0000-000058340000}"/>
    <cellStyle name="20% - Accent5 2 2 3 3 2 2 3" xfId="33827" xr:uid="{00000000-0005-0000-0000-000059340000}"/>
    <cellStyle name="20% - Accent5 2 2 3 3 2 3" xfId="16876" xr:uid="{00000000-0005-0000-0000-00005A340000}"/>
    <cellStyle name="20% - Accent5 2 2 3 3 2 3 2" xfId="39478" xr:uid="{00000000-0005-0000-0000-00005B340000}"/>
    <cellStyle name="20% - Accent5 2 2 3 3 2 4" xfId="28177" xr:uid="{00000000-0005-0000-0000-00005C340000}"/>
    <cellStyle name="20% - Accent5 2 2 3 3 3" xfId="8392" xr:uid="{00000000-0005-0000-0000-00005D340000}"/>
    <cellStyle name="20% - Accent5 2 2 3 3 3 2" xfId="19693" xr:uid="{00000000-0005-0000-0000-00005E340000}"/>
    <cellStyle name="20% - Accent5 2 2 3 3 3 2 2" xfId="42295" xr:uid="{00000000-0005-0000-0000-00005F340000}"/>
    <cellStyle name="20% - Accent5 2 2 3 3 3 3" xfId="30994" xr:uid="{00000000-0005-0000-0000-000060340000}"/>
    <cellStyle name="20% - Accent5 2 2 3 3 4" xfId="14043" xr:uid="{00000000-0005-0000-0000-000061340000}"/>
    <cellStyle name="20% - Accent5 2 2 3 3 4 2" xfId="36645" xr:uid="{00000000-0005-0000-0000-000062340000}"/>
    <cellStyle name="20% - Accent5 2 2 3 3 5" xfId="25344" xr:uid="{00000000-0005-0000-0000-000063340000}"/>
    <cellStyle name="20% - Accent5 2 2 3 4" xfId="4341" xr:uid="{00000000-0005-0000-0000-000064340000}"/>
    <cellStyle name="20% - Accent5 2 2 3 4 2" xfId="9991" xr:uid="{00000000-0005-0000-0000-000065340000}"/>
    <cellStyle name="20% - Accent5 2 2 3 4 2 2" xfId="21292" xr:uid="{00000000-0005-0000-0000-000066340000}"/>
    <cellStyle name="20% - Accent5 2 2 3 4 2 2 2" xfId="43894" xr:uid="{00000000-0005-0000-0000-000067340000}"/>
    <cellStyle name="20% - Accent5 2 2 3 4 2 3" xfId="32593" xr:uid="{00000000-0005-0000-0000-000068340000}"/>
    <cellStyle name="20% - Accent5 2 2 3 4 3" xfId="15642" xr:uid="{00000000-0005-0000-0000-000069340000}"/>
    <cellStyle name="20% - Accent5 2 2 3 4 3 2" xfId="38244" xr:uid="{00000000-0005-0000-0000-00006A340000}"/>
    <cellStyle name="20% - Accent5 2 2 3 4 4" xfId="26943" xr:uid="{00000000-0005-0000-0000-00006B340000}"/>
    <cellStyle name="20% - Accent5 2 2 3 5" xfId="7138" xr:uid="{00000000-0005-0000-0000-00006C340000}"/>
    <cellStyle name="20% - Accent5 2 2 3 5 2" xfId="18439" xr:uid="{00000000-0005-0000-0000-00006D340000}"/>
    <cellStyle name="20% - Accent5 2 2 3 5 2 2" xfId="41041" xr:uid="{00000000-0005-0000-0000-00006E340000}"/>
    <cellStyle name="20% - Accent5 2 2 3 5 3" xfId="29740" xr:uid="{00000000-0005-0000-0000-00006F340000}"/>
    <cellStyle name="20% - Accent5 2 2 3 6" xfId="12789" xr:uid="{00000000-0005-0000-0000-000070340000}"/>
    <cellStyle name="20% - Accent5 2 2 3 6 2" xfId="35391" xr:uid="{00000000-0005-0000-0000-000071340000}"/>
    <cellStyle name="20% - Accent5 2 2 3 7" xfId="24090" xr:uid="{00000000-0005-0000-0000-000072340000}"/>
    <cellStyle name="20% - Accent5 2 2 4" xfId="839" xr:uid="{00000000-0005-0000-0000-000073340000}"/>
    <cellStyle name="20% - Accent5 2 2 4 2" xfId="2920" xr:uid="{00000000-0005-0000-0000-000074340000}"/>
    <cellStyle name="20% - Accent5 2 2 4 2 2" xfId="5892" xr:uid="{00000000-0005-0000-0000-000075340000}"/>
    <cellStyle name="20% - Accent5 2 2 4 2 2 2" xfId="11542" xr:uid="{00000000-0005-0000-0000-000076340000}"/>
    <cellStyle name="20% - Accent5 2 2 4 2 2 2 2" xfId="22843" xr:uid="{00000000-0005-0000-0000-000077340000}"/>
    <cellStyle name="20% - Accent5 2 2 4 2 2 2 2 2" xfId="45445" xr:uid="{00000000-0005-0000-0000-000078340000}"/>
    <cellStyle name="20% - Accent5 2 2 4 2 2 2 3" xfId="34144" xr:uid="{00000000-0005-0000-0000-000079340000}"/>
    <cellStyle name="20% - Accent5 2 2 4 2 2 3" xfId="17193" xr:uid="{00000000-0005-0000-0000-00007A340000}"/>
    <cellStyle name="20% - Accent5 2 2 4 2 2 3 2" xfId="39795" xr:uid="{00000000-0005-0000-0000-00007B340000}"/>
    <cellStyle name="20% - Accent5 2 2 4 2 2 4" xfId="28494" xr:uid="{00000000-0005-0000-0000-00007C340000}"/>
    <cellStyle name="20% - Accent5 2 2 4 2 3" xfId="8710" xr:uid="{00000000-0005-0000-0000-00007D340000}"/>
    <cellStyle name="20% - Accent5 2 2 4 2 3 2" xfId="20011" xr:uid="{00000000-0005-0000-0000-00007E340000}"/>
    <cellStyle name="20% - Accent5 2 2 4 2 3 2 2" xfId="42613" xr:uid="{00000000-0005-0000-0000-00007F340000}"/>
    <cellStyle name="20% - Accent5 2 2 4 2 3 3" xfId="31312" xr:uid="{00000000-0005-0000-0000-000080340000}"/>
    <cellStyle name="20% - Accent5 2 2 4 2 4" xfId="14361" xr:uid="{00000000-0005-0000-0000-000081340000}"/>
    <cellStyle name="20% - Accent5 2 2 4 2 4 2" xfId="36963" xr:uid="{00000000-0005-0000-0000-000082340000}"/>
    <cellStyle name="20% - Accent5 2 2 4 2 5" xfId="25662" xr:uid="{00000000-0005-0000-0000-000083340000}"/>
    <cellStyle name="20% - Accent5 2 2 4 3" xfId="4658" xr:uid="{00000000-0005-0000-0000-000084340000}"/>
    <cellStyle name="20% - Accent5 2 2 4 3 2" xfId="10308" xr:uid="{00000000-0005-0000-0000-000085340000}"/>
    <cellStyle name="20% - Accent5 2 2 4 3 2 2" xfId="21609" xr:uid="{00000000-0005-0000-0000-000086340000}"/>
    <cellStyle name="20% - Accent5 2 2 4 3 2 2 2" xfId="44211" xr:uid="{00000000-0005-0000-0000-000087340000}"/>
    <cellStyle name="20% - Accent5 2 2 4 3 2 3" xfId="32910" xr:uid="{00000000-0005-0000-0000-000088340000}"/>
    <cellStyle name="20% - Accent5 2 2 4 3 3" xfId="15959" xr:uid="{00000000-0005-0000-0000-000089340000}"/>
    <cellStyle name="20% - Accent5 2 2 4 3 3 2" xfId="38561" xr:uid="{00000000-0005-0000-0000-00008A340000}"/>
    <cellStyle name="20% - Accent5 2 2 4 3 4" xfId="27260" xr:uid="{00000000-0005-0000-0000-00008B340000}"/>
    <cellStyle name="20% - Accent5 2 2 4 4" xfId="6844" xr:uid="{00000000-0005-0000-0000-00008C340000}"/>
    <cellStyle name="20% - Accent5 2 2 4 4 2" xfId="18145" xr:uid="{00000000-0005-0000-0000-00008D340000}"/>
    <cellStyle name="20% - Accent5 2 2 4 4 2 2" xfId="40747" xr:uid="{00000000-0005-0000-0000-00008E340000}"/>
    <cellStyle name="20% - Accent5 2 2 4 4 3" xfId="29446" xr:uid="{00000000-0005-0000-0000-00008F340000}"/>
    <cellStyle name="20% - Accent5 2 2 4 5" xfId="12495" xr:uid="{00000000-0005-0000-0000-000090340000}"/>
    <cellStyle name="20% - Accent5 2 2 4 5 2" xfId="35097" xr:uid="{00000000-0005-0000-0000-000091340000}"/>
    <cellStyle name="20% - Accent5 2 2 4 6" xfId="23796" xr:uid="{00000000-0005-0000-0000-000092340000}"/>
    <cellStyle name="20% - Accent5 2 2 5" xfId="1719" xr:uid="{00000000-0005-0000-0000-000093340000}"/>
    <cellStyle name="20% - Accent5 2 2 5 2" xfId="3654" xr:uid="{00000000-0005-0000-0000-000094340000}"/>
    <cellStyle name="20% - Accent5 2 2 5 2 2" xfId="9366" xr:uid="{00000000-0005-0000-0000-000095340000}"/>
    <cellStyle name="20% - Accent5 2 2 5 2 2 2" xfId="20667" xr:uid="{00000000-0005-0000-0000-000096340000}"/>
    <cellStyle name="20% - Accent5 2 2 5 2 2 2 2" xfId="43269" xr:uid="{00000000-0005-0000-0000-000097340000}"/>
    <cellStyle name="20% - Accent5 2 2 5 2 2 3" xfId="31968" xr:uid="{00000000-0005-0000-0000-000098340000}"/>
    <cellStyle name="20% - Accent5 2 2 5 2 3" xfId="15017" xr:uid="{00000000-0005-0000-0000-000099340000}"/>
    <cellStyle name="20% - Accent5 2 2 5 2 3 2" xfId="37619" xr:uid="{00000000-0005-0000-0000-00009A340000}"/>
    <cellStyle name="20% - Accent5 2 2 5 2 4" xfId="26318" xr:uid="{00000000-0005-0000-0000-00009B340000}"/>
    <cellStyle name="20% - Accent5 2 2 5 3" xfId="5268" xr:uid="{00000000-0005-0000-0000-00009C340000}"/>
    <cellStyle name="20% - Accent5 2 2 5 3 2" xfId="10918" xr:uid="{00000000-0005-0000-0000-00009D340000}"/>
    <cellStyle name="20% - Accent5 2 2 5 3 2 2" xfId="22219" xr:uid="{00000000-0005-0000-0000-00009E340000}"/>
    <cellStyle name="20% - Accent5 2 2 5 3 2 2 2" xfId="44821" xr:uid="{00000000-0005-0000-0000-00009F340000}"/>
    <cellStyle name="20% - Accent5 2 2 5 3 2 3" xfId="33520" xr:uid="{00000000-0005-0000-0000-0000A0340000}"/>
    <cellStyle name="20% - Accent5 2 2 5 3 3" xfId="16569" xr:uid="{00000000-0005-0000-0000-0000A1340000}"/>
    <cellStyle name="20% - Accent5 2 2 5 3 3 2" xfId="39171" xr:uid="{00000000-0005-0000-0000-0000A2340000}"/>
    <cellStyle name="20% - Accent5 2 2 5 3 4" xfId="27870" xr:uid="{00000000-0005-0000-0000-0000A3340000}"/>
    <cellStyle name="20% - Accent5 2 2 5 4" xfId="7575" xr:uid="{00000000-0005-0000-0000-0000A4340000}"/>
    <cellStyle name="20% - Accent5 2 2 5 4 2" xfId="18876" xr:uid="{00000000-0005-0000-0000-0000A5340000}"/>
    <cellStyle name="20% - Accent5 2 2 5 4 2 2" xfId="41478" xr:uid="{00000000-0005-0000-0000-0000A6340000}"/>
    <cellStyle name="20% - Accent5 2 2 5 4 3" xfId="30177" xr:uid="{00000000-0005-0000-0000-0000A7340000}"/>
    <cellStyle name="20% - Accent5 2 2 5 5" xfId="13226" xr:uid="{00000000-0005-0000-0000-0000A8340000}"/>
    <cellStyle name="20% - Accent5 2 2 5 5 2" xfId="35828" xr:uid="{00000000-0005-0000-0000-0000A9340000}"/>
    <cellStyle name="20% - Accent5 2 2 5 6" xfId="24527" xr:uid="{00000000-0005-0000-0000-0000AA340000}"/>
    <cellStyle name="20% - Accent5 2 2 6" xfId="2241" xr:uid="{00000000-0005-0000-0000-0000AB340000}"/>
    <cellStyle name="20% - Accent5 2 2 6 2" xfId="8082" xr:uid="{00000000-0005-0000-0000-0000AC340000}"/>
    <cellStyle name="20% - Accent5 2 2 6 2 2" xfId="19383" xr:uid="{00000000-0005-0000-0000-0000AD340000}"/>
    <cellStyle name="20% - Accent5 2 2 6 2 2 2" xfId="41985" xr:uid="{00000000-0005-0000-0000-0000AE340000}"/>
    <cellStyle name="20% - Accent5 2 2 6 2 3" xfId="30684" xr:uid="{00000000-0005-0000-0000-0000AF340000}"/>
    <cellStyle name="20% - Accent5 2 2 6 3" xfId="13733" xr:uid="{00000000-0005-0000-0000-0000B0340000}"/>
    <cellStyle name="20% - Accent5 2 2 6 3 2" xfId="36335" xr:uid="{00000000-0005-0000-0000-0000B1340000}"/>
    <cellStyle name="20% - Accent5 2 2 6 4" xfId="25034" xr:uid="{00000000-0005-0000-0000-0000B2340000}"/>
    <cellStyle name="20% - Accent5 2 2 7" xfId="4034" xr:uid="{00000000-0005-0000-0000-0000B3340000}"/>
    <cellStyle name="20% - Accent5 2 2 7 2" xfId="9684" xr:uid="{00000000-0005-0000-0000-0000B4340000}"/>
    <cellStyle name="20% - Accent5 2 2 7 2 2" xfId="20985" xr:uid="{00000000-0005-0000-0000-0000B5340000}"/>
    <cellStyle name="20% - Accent5 2 2 7 2 2 2" xfId="43587" xr:uid="{00000000-0005-0000-0000-0000B6340000}"/>
    <cellStyle name="20% - Accent5 2 2 7 2 3" xfId="32286" xr:uid="{00000000-0005-0000-0000-0000B7340000}"/>
    <cellStyle name="20% - Accent5 2 2 7 3" xfId="15335" xr:uid="{00000000-0005-0000-0000-0000B8340000}"/>
    <cellStyle name="20% - Accent5 2 2 7 3 2" xfId="37937" xr:uid="{00000000-0005-0000-0000-0000B9340000}"/>
    <cellStyle name="20% - Accent5 2 2 7 4" xfId="26636" xr:uid="{00000000-0005-0000-0000-0000BA340000}"/>
    <cellStyle name="20% - Accent5 2 2 8" xfId="6485" xr:uid="{00000000-0005-0000-0000-0000BB340000}"/>
    <cellStyle name="20% - Accent5 2 2 8 2" xfId="17786" xr:uid="{00000000-0005-0000-0000-0000BC340000}"/>
    <cellStyle name="20% - Accent5 2 2 8 2 2" xfId="40388" xr:uid="{00000000-0005-0000-0000-0000BD340000}"/>
    <cellStyle name="20% - Accent5 2 2 8 3" xfId="29087" xr:uid="{00000000-0005-0000-0000-0000BE340000}"/>
    <cellStyle name="20% - Accent5 2 2 9" xfId="12136" xr:uid="{00000000-0005-0000-0000-0000BF340000}"/>
    <cellStyle name="20% - Accent5 2 2 9 2" xfId="34738" xr:uid="{00000000-0005-0000-0000-0000C0340000}"/>
    <cellStyle name="20% - Accent5 2 3" xfId="2812" xr:uid="{00000000-0005-0000-0000-0000C1340000}"/>
    <cellStyle name="20% - Accent5 2 3 2" xfId="3900" xr:uid="{00000000-0005-0000-0000-0000C2340000}"/>
    <cellStyle name="20% - Accent5 2 3 2 2" xfId="5827" xr:uid="{00000000-0005-0000-0000-0000C3340000}"/>
    <cellStyle name="20% - Accent5 2 3 2 2 2" xfId="11477" xr:uid="{00000000-0005-0000-0000-0000C4340000}"/>
    <cellStyle name="20% - Accent5 2 3 2 2 2 2" xfId="22778" xr:uid="{00000000-0005-0000-0000-0000C5340000}"/>
    <cellStyle name="20% - Accent5 2 3 2 2 2 2 2" xfId="45380" xr:uid="{00000000-0005-0000-0000-0000C6340000}"/>
    <cellStyle name="20% - Accent5 2 3 2 2 2 3" xfId="34079" xr:uid="{00000000-0005-0000-0000-0000C7340000}"/>
    <cellStyle name="20% - Accent5 2 3 2 2 3" xfId="17128" xr:uid="{00000000-0005-0000-0000-0000C8340000}"/>
    <cellStyle name="20% - Accent5 2 3 2 2 3 2" xfId="39730" xr:uid="{00000000-0005-0000-0000-0000C9340000}"/>
    <cellStyle name="20% - Accent5 2 3 2 2 4" xfId="28429" xr:uid="{00000000-0005-0000-0000-0000CA340000}"/>
    <cellStyle name="20% - Accent5 2 3 2 3" xfId="9599" xr:uid="{00000000-0005-0000-0000-0000CB340000}"/>
    <cellStyle name="20% - Accent5 2 3 2 3 2" xfId="20900" xr:uid="{00000000-0005-0000-0000-0000CC340000}"/>
    <cellStyle name="20% - Accent5 2 3 2 3 2 2" xfId="43502" xr:uid="{00000000-0005-0000-0000-0000CD340000}"/>
    <cellStyle name="20% - Accent5 2 3 2 3 3" xfId="32201" xr:uid="{00000000-0005-0000-0000-0000CE340000}"/>
    <cellStyle name="20% - Accent5 2 3 2 4" xfId="15250" xr:uid="{00000000-0005-0000-0000-0000CF340000}"/>
    <cellStyle name="20% - Accent5 2 3 2 4 2" xfId="37852" xr:uid="{00000000-0005-0000-0000-0000D0340000}"/>
    <cellStyle name="20% - Accent5 2 3 2 5" xfId="26551" xr:uid="{00000000-0005-0000-0000-0000D1340000}"/>
    <cellStyle name="20% - Accent5 2 3 3" xfId="4593" xr:uid="{00000000-0005-0000-0000-0000D2340000}"/>
    <cellStyle name="20% - Accent5 2 3 3 2" xfId="10243" xr:uid="{00000000-0005-0000-0000-0000D3340000}"/>
    <cellStyle name="20% - Accent5 2 3 3 2 2" xfId="21544" xr:uid="{00000000-0005-0000-0000-0000D4340000}"/>
    <cellStyle name="20% - Accent5 2 3 3 2 2 2" xfId="44146" xr:uid="{00000000-0005-0000-0000-0000D5340000}"/>
    <cellStyle name="20% - Accent5 2 3 3 2 3" xfId="32845" xr:uid="{00000000-0005-0000-0000-0000D6340000}"/>
    <cellStyle name="20% - Accent5 2 3 3 3" xfId="15894" xr:uid="{00000000-0005-0000-0000-0000D7340000}"/>
    <cellStyle name="20% - Accent5 2 3 3 3 2" xfId="38496" xr:uid="{00000000-0005-0000-0000-0000D8340000}"/>
    <cellStyle name="20% - Accent5 2 3 3 4" xfId="27195" xr:uid="{00000000-0005-0000-0000-0000D9340000}"/>
    <cellStyle name="20% - Accent5 2 3 4" xfId="8645" xr:uid="{00000000-0005-0000-0000-0000DA340000}"/>
    <cellStyle name="20% - Accent5 2 3 4 2" xfId="19946" xr:uid="{00000000-0005-0000-0000-0000DB340000}"/>
    <cellStyle name="20% - Accent5 2 3 4 2 2" xfId="42548" xr:uid="{00000000-0005-0000-0000-0000DC340000}"/>
    <cellStyle name="20% - Accent5 2 3 4 3" xfId="31247" xr:uid="{00000000-0005-0000-0000-0000DD340000}"/>
    <cellStyle name="20% - Accent5 2 3 5" xfId="14296" xr:uid="{00000000-0005-0000-0000-0000DE340000}"/>
    <cellStyle name="20% - Accent5 2 3 5 2" xfId="36898" xr:uid="{00000000-0005-0000-0000-0000DF340000}"/>
    <cellStyle name="20% - Accent5 2 3 6" xfId="25597" xr:uid="{00000000-0005-0000-0000-0000E0340000}"/>
    <cellStyle name="20% - Accent5 2 4" xfId="2834" xr:uid="{00000000-0005-0000-0000-0000E1340000}"/>
    <cellStyle name="20% - Accent5 2 5" xfId="3901" xr:uid="{00000000-0005-0000-0000-0000E2340000}"/>
    <cellStyle name="20% - Accent5 2 5 2" xfId="9600" xr:uid="{00000000-0005-0000-0000-0000E3340000}"/>
    <cellStyle name="20% - Accent5 2 5 2 2" xfId="20901" xr:uid="{00000000-0005-0000-0000-0000E4340000}"/>
    <cellStyle name="20% - Accent5 2 5 2 2 2" xfId="43503" xr:uid="{00000000-0005-0000-0000-0000E5340000}"/>
    <cellStyle name="20% - Accent5 2 5 2 3" xfId="32202" xr:uid="{00000000-0005-0000-0000-0000E6340000}"/>
    <cellStyle name="20% - Accent5 2 5 3" xfId="15251" xr:uid="{00000000-0005-0000-0000-0000E7340000}"/>
    <cellStyle name="20% - Accent5 2 5 3 2" xfId="37853" xr:uid="{00000000-0005-0000-0000-0000E8340000}"/>
    <cellStyle name="20% - Accent5 2 5 4" xfId="26552" xr:uid="{00000000-0005-0000-0000-0000E9340000}"/>
    <cellStyle name="20% - Accent5 2 6" xfId="3916" xr:uid="{00000000-0005-0000-0000-0000EA340000}"/>
    <cellStyle name="20% - Accent5 2 7" xfId="154" xr:uid="{00000000-0005-0000-0000-0000EB340000}"/>
    <cellStyle name="20% - Accent5 3" xfId="223" xr:uid="{00000000-0005-0000-0000-0000EC340000}"/>
    <cellStyle name="20% - Accent5 3 2" xfId="348" xr:uid="{00000000-0005-0000-0000-0000ED340000}"/>
    <cellStyle name="20% - Accent5 3 2 10" xfId="23458" xr:uid="{00000000-0005-0000-0000-0000EE340000}"/>
    <cellStyle name="20% - Accent5 3 2 2" xfId="608" xr:uid="{00000000-0005-0000-0000-0000EF340000}"/>
    <cellStyle name="20% - Accent5 3 2 2 2" xfId="1318" xr:uid="{00000000-0005-0000-0000-0000F0340000}"/>
    <cellStyle name="20% - Accent5 3 2 2 2 2" xfId="1725" xr:uid="{00000000-0005-0000-0000-0000F1340000}"/>
    <cellStyle name="20% - Accent5 3 2 2 2 2 2" xfId="3387" xr:uid="{00000000-0005-0000-0000-0000F2340000}"/>
    <cellStyle name="20% - Accent5 3 2 2 2 2 2 2" xfId="6359" xr:uid="{00000000-0005-0000-0000-0000F3340000}"/>
    <cellStyle name="20% - Accent5 3 2 2 2 2 2 2 2" xfId="12009" xr:uid="{00000000-0005-0000-0000-0000F4340000}"/>
    <cellStyle name="20% - Accent5 3 2 2 2 2 2 2 2 2" xfId="23310" xr:uid="{00000000-0005-0000-0000-0000F5340000}"/>
    <cellStyle name="20% - Accent5 3 2 2 2 2 2 2 2 2 2" xfId="45912" xr:uid="{00000000-0005-0000-0000-0000F6340000}"/>
    <cellStyle name="20% - Accent5 3 2 2 2 2 2 2 2 3" xfId="34611" xr:uid="{00000000-0005-0000-0000-0000F7340000}"/>
    <cellStyle name="20% - Accent5 3 2 2 2 2 2 2 3" xfId="17660" xr:uid="{00000000-0005-0000-0000-0000F8340000}"/>
    <cellStyle name="20% - Accent5 3 2 2 2 2 2 2 3 2" xfId="40262" xr:uid="{00000000-0005-0000-0000-0000F9340000}"/>
    <cellStyle name="20% - Accent5 3 2 2 2 2 2 2 4" xfId="28961" xr:uid="{00000000-0005-0000-0000-0000FA340000}"/>
    <cellStyle name="20% - Accent5 3 2 2 2 2 2 3" xfId="9177" xr:uid="{00000000-0005-0000-0000-0000FB340000}"/>
    <cellStyle name="20% - Accent5 3 2 2 2 2 2 3 2" xfId="20478" xr:uid="{00000000-0005-0000-0000-0000FC340000}"/>
    <cellStyle name="20% - Accent5 3 2 2 2 2 2 3 2 2" xfId="43080" xr:uid="{00000000-0005-0000-0000-0000FD340000}"/>
    <cellStyle name="20% - Accent5 3 2 2 2 2 2 3 3" xfId="31779" xr:uid="{00000000-0005-0000-0000-0000FE340000}"/>
    <cellStyle name="20% - Accent5 3 2 2 2 2 2 4" xfId="14828" xr:uid="{00000000-0005-0000-0000-0000FF340000}"/>
    <cellStyle name="20% - Accent5 3 2 2 2 2 2 4 2" xfId="37430" xr:uid="{00000000-0005-0000-0000-000000350000}"/>
    <cellStyle name="20% - Accent5 3 2 2 2 2 2 5" xfId="26129" xr:uid="{00000000-0005-0000-0000-000001350000}"/>
    <cellStyle name="20% - Accent5 3 2 2 2 2 3" xfId="5125" xr:uid="{00000000-0005-0000-0000-000002350000}"/>
    <cellStyle name="20% - Accent5 3 2 2 2 2 3 2" xfId="10775" xr:uid="{00000000-0005-0000-0000-000003350000}"/>
    <cellStyle name="20% - Accent5 3 2 2 2 2 3 2 2" xfId="22076" xr:uid="{00000000-0005-0000-0000-000004350000}"/>
    <cellStyle name="20% - Accent5 3 2 2 2 2 3 2 2 2" xfId="44678" xr:uid="{00000000-0005-0000-0000-000005350000}"/>
    <cellStyle name="20% - Accent5 3 2 2 2 2 3 2 3" xfId="33377" xr:uid="{00000000-0005-0000-0000-000006350000}"/>
    <cellStyle name="20% - Accent5 3 2 2 2 2 3 3" xfId="16426" xr:uid="{00000000-0005-0000-0000-000007350000}"/>
    <cellStyle name="20% - Accent5 3 2 2 2 2 3 3 2" xfId="39028" xr:uid="{00000000-0005-0000-0000-000008350000}"/>
    <cellStyle name="20% - Accent5 3 2 2 2 2 3 4" xfId="27727" xr:uid="{00000000-0005-0000-0000-000009350000}"/>
    <cellStyle name="20% - Accent5 3 2 2 2 2 4" xfId="7581" xr:uid="{00000000-0005-0000-0000-00000A350000}"/>
    <cellStyle name="20% - Accent5 3 2 2 2 2 4 2" xfId="18882" xr:uid="{00000000-0005-0000-0000-00000B350000}"/>
    <cellStyle name="20% - Accent5 3 2 2 2 2 4 2 2" xfId="41484" xr:uid="{00000000-0005-0000-0000-00000C350000}"/>
    <cellStyle name="20% - Accent5 3 2 2 2 2 4 3" xfId="30183" xr:uid="{00000000-0005-0000-0000-00000D350000}"/>
    <cellStyle name="20% - Accent5 3 2 2 2 2 5" xfId="13232" xr:uid="{00000000-0005-0000-0000-00000E350000}"/>
    <cellStyle name="20% - Accent5 3 2 2 2 2 5 2" xfId="35834" xr:uid="{00000000-0005-0000-0000-00000F350000}"/>
    <cellStyle name="20% - Accent5 3 2 2 2 2 6" xfId="24533" xr:uid="{00000000-0005-0000-0000-000010350000}"/>
    <cellStyle name="20% - Accent5 3 2 2 2 3" xfId="2716" xr:uid="{00000000-0005-0000-0000-000011350000}"/>
    <cellStyle name="20% - Accent5 3 2 2 2 3 2" xfId="5735" xr:uid="{00000000-0005-0000-0000-000012350000}"/>
    <cellStyle name="20% - Accent5 3 2 2 2 3 2 2" xfId="11385" xr:uid="{00000000-0005-0000-0000-000013350000}"/>
    <cellStyle name="20% - Accent5 3 2 2 2 3 2 2 2" xfId="22686" xr:uid="{00000000-0005-0000-0000-000014350000}"/>
    <cellStyle name="20% - Accent5 3 2 2 2 3 2 2 2 2" xfId="45288" xr:uid="{00000000-0005-0000-0000-000015350000}"/>
    <cellStyle name="20% - Accent5 3 2 2 2 3 2 2 3" xfId="33987" xr:uid="{00000000-0005-0000-0000-000016350000}"/>
    <cellStyle name="20% - Accent5 3 2 2 2 3 2 3" xfId="17036" xr:uid="{00000000-0005-0000-0000-000017350000}"/>
    <cellStyle name="20% - Accent5 3 2 2 2 3 2 3 2" xfId="39638" xr:uid="{00000000-0005-0000-0000-000018350000}"/>
    <cellStyle name="20% - Accent5 3 2 2 2 3 2 4" xfId="28337" xr:uid="{00000000-0005-0000-0000-000019350000}"/>
    <cellStyle name="20% - Accent5 3 2 2 2 3 3" xfId="8552" xr:uid="{00000000-0005-0000-0000-00001A350000}"/>
    <cellStyle name="20% - Accent5 3 2 2 2 3 3 2" xfId="19853" xr:uid="{00000000-0005-0000-0000-00001B350000}"/>
    <cellStyle name="20% - Accent5 3 2 2 2 3 3 2 2" xfId="42455" xr:uid="{00000000-0005-0000-0000-00001C350000}"/>
    <cellStyle name="20% - Accent5 3 2 2 2 3 3 3" xfId="31154" xr:uid="{00000000-0005-0000-0000-00001D350000}"/>
    <cellStyle name="20% - Accent5 3 2 2 2 3 4" xfId="14203" xr:uid="{00000000-0005-0000-0000-00001E350000}"/>
    <cellStyle name="20% - Accent5 3 2 2 2 3 4 2" xfId="36805" xr:uid="{00000000-0005-0000-0000-00001F350000}"/>
    <cellStyle name="20% - Accent5 3 2 2 2 3 5" xfId="25504" xr:uid="{00000000-0005-0000-0000-000020350000}"/>
    <cellStyle name="20% - Accent5 3 2 2 2 4" xfId="4501" xr:uid="{00000000-0005-0000-0000-000021350000}"/>
    <cellStyle name="20% - Accent5 3 2 2 2 4 2" xfId="10151" xr:uid="{00000000-0005-0000-0000-000022350000}"/>
    <cellStyle name="20% - Accent5 3 2 2 2 4 2 2" xfId="21452" xr:uid="{00000000-0005-0000-0000-000023350000}"/>
    <cellStyle name="20% - Accent5 3 2 2 2 4 2 2 2" xfId="44054" xr:uid="{00000000-0005-0000-0000-000024350000}"/>
    <cellStyle name="20% - Accent5 3 2 2 2 4 2 3" xfId="32753" xr:uid="{00000000-0005-0000-0000-000025350000}"/>
    <cellStyle name="20% - Accent5 3 2 2 2 4 3" xfId="15802" xr:uid="{00000000-0005-0000-0000-000026350000}"/>
    <cellStyle name="20% - Accent5 3 2 2 2 4 3 2" xfId="38404" xr:uid="{00000000-0005-0000-0000-000027350000}"/>
    <cellStyle name="20% - Accent5 3 2 2 2 4 4" xfId="27103" xr:uid="{00000000-0005-0000-0000-000028350000}"/>
    <cellStyle name="20% - Accent5 3 2 2 2 5" xfId="7297" xr:uid="{00000000-0005-0000-0000-000029350000}"/>
    <cellStyle name="20% - Accent5 3 2 2 2 5 2" xfId="18598" xr:uid="{00000000-0005-0000-0000-00002A350000}"/>
    <cellStyle name="20% - Accent5 3 2 2 2 5 2 2" xfId="41200" xr:uid="{00000000-0005-0000-0000-00002B350000}"/>
    <cellStyle name="20% - Accent5 3 2 2 2 5 3" xfId="29899" xr:uid="{00000000-0005-0000-0000-00002C350000}"/>
    <cellStyle name="20% - Accent5 3 2 2 2 6" xfId="12948" xr:uid="{00000000-0005-0000-0000-00002D350000}"/>
    <cellStyle name="20% - Accent5 3 2 2 2 6 2" xfId="35550" xr:uid="{00000000-0005-0000-0000-00002E350000}"/>
    <cellStyle name="20% - Accent5 3 2 2 2 7" xfId="24249" xr:uid="{00000000-0005-0000-0000-00002F350000}"/>
    <cellStyle name="20% - Accent5 3 2 2 3" xfId="1016" xr:uid="{00000000-0005-0000-0000-000030350000}"/>
    <cellStyle name="20% - Accent5 3 2 2 3 2" xfId="3079" xr:uid="{00000000-0005-0000-0000-000031350000}"/>
    <cellStyle name="20% - Accent5 3 2 2 3 2 2" xfId="6051" xr:uid="{00000000-0005-0000-0000-000032350000}"/>
    <cellStyle name="20% - Accent5 3 2 2 3 2 2 2" xfId="11701" xr:uid="{00000000-0005-0000-0000-000033350000}"/>
    <cellStyle name="20% - Accent5 3 2 2 3 2 2 2 2" xfId="23002" xr:uid="{00000000-0005-0000-0000-000034350000}"/>
    <cellStyle name="20% - Accent5 3 2 2 3 2 2 2 2 2" xfId="45604" xr:uid="{00000000-0005-0000-0000-000035350000}"/>
    <cellStyle name="20% - Accent5 3 2 2 3 2 2 2 3" xfId="34303" xr:uid="{00000000-0005-0000-0000-000036350000}"/>
    <cellStyle name="20% - Accent5 3 2 2 3 2 2 3" xfId="17352" xr:uid="{00000000-0005-0000-0000-000037350000}"/>
    <cellStyle name="20% - Accent5 3 2 2 3 2 2 3 2" xfId="39954" xr:uid="{00000000-0005-0000-0000-000038350000}"/>
    <cellStyle name="20% - Accent5 3 2 2 3 2 2 4" xfId="28653" xr:uid="{00000000-0005-0000-0000-000039350000}"/>
    <cellStyle name="20% - Accent5 3 2 2 3 2 3" xfId="8869" xr:uid="{00000000-0005-0000-0000-00003A350000}"/>
    <cellStyle name="20% - Accent5 3 2 2 3 2 3 2" xfId="20170" xr:uid="{00000000-0005-0000-0000-00003B350000}"/>
    <cellStyle name="20% - Accent5 3 2 2 3 2 3 2 2" xfId="42772" xr:uid="{00000000-0005-0000-0000-00003C350000}"/>
    <cellStyle name="20% - Accent5 3 2 2 3 2 3 3" xfId="31471" xr:uid="{00000000-0005-0000-0000-00003D350000}"/>
    <cellStyle name="20% - Accent5 3 2 2 3 2 4" xfId="14520" xr:uid="{00000000-0005-0000-0000-00003E350000}"/>
    <cellStyle name="20% - Accent5 3 2 2 3 2 4 2" xfId="37122" xr:uid="{00000000-0005-0000-0000-00003F350000}"/>
    <cellStyle name="20% - Accent5 3 2 2 3 2 5" xfId="25821" xr:uid="{00000000-0005-0000-0000-000040350000}"/>
    <cellStyle name="20% - Accent5 3 2 2 3 3" xfId="4817" xr:uid="{00000000-0005-0000-0000-000041350000}"/>
    <cellStyle name="20% - Accent5 3 2 2 3 3 2" xfId="10467" xr:uid="{00000000-0005-0000-0000-000042350000}"/>
    <cellStyle name="20% - Accent5 3 2 2 3 3 2 2" xfId="21768" xr:uid="{00000000-0005-0000-0000-000043350000}"/>
    <cellStyle name="20% - Accent5 3 2 2 3 3 2 2 2" xfId="44370" xr:uid="{00000000-0005-0000-0000-000044350000}"/>
    <cellStyle name="20% - Accent5 3 2 2 3 3 2 3" xfId="33069" xr:uid="{00000000-0005-0000-0000-000045350000}"/>
    <cellStyle name="20% - Accent5 3 2 2 3 3 3" xfId="16118" xr:uid="{00000000-0005-0000-0000-000046350000}"/>
    <cellStyle name="20% - Accent5 3 2 2 3 3 3 2" xfId="38720" xr:uid="{00000000-0005-0000-0000-000047350000}"/>
    <cellStyle name="20% - Accent5 3 2 2 3 3 4" xfId="27419" xr:uid="{00000000-0005-0000-0000-000048350000}"/>
    <cellStyle name="20% - Accent5 3 2 2 3 4" xfId="7004" xr:uid="{00000000-0005-0000-0000-000049350000}"/>
    <cellStyle name="20% - Accent5 3 2 2 3 4 2" xfId="18305" xr:uid="{00000000-0005-0000-0000-00004A350000}"/>
    <cellStyle name="20% - Accent5 3 2 2 3 4 2 2" xfId="40907" xr:uid="{00000000-0005-0000-0000-00004B350000}"/>
    <cellStyle name="20% - Accent5 3 2 2 3 4 3" xfId="29606" xr:uid="{00000000-0005-0000-0000-00004C350000}"/>
    <cellStyle name="20% - Accent5 3 2 2 3 5" xfId="12655" xr:uid="{00000000-0005-0000-0000-00004D350000}"/>
    <cellStyle name="20% - Accent5 3 2 2 3 5 2" xfId="35257" xr:uid="{00000000-0005-0000-0000-00004E350000}"/>
    <cellStyle name="20% - Accent5 3 2 2 3 6" xfId="23956" xr:uid="{00000000-0005-0000-0000-00004F350000}"/>
    <cellStyle name="20% - Accent5 3 2 2 4" xfId="1724" xr:uid="{00000000-0005-0000-0000-000050350000}"/>
    <cellStyle name="20% - Accent5 3 2 2 4 2" xfId="3657" xr:uid="{00000000-0005-0000-0000-000051350000}"/>
    <cellStyle name="20% - Accent5 3 2 2 4 2 2" xfId="9369" xr:uid="{00000000-0005-0000-0000-000052350000}"/>
    <cellStyle name="20% - Accent5 3 2 2 4 2 2 2" xfId="20670" xr:uid="{00000000-0005-0000-0000-000053350000}"/>
    <cellStyle name="20% - Accent5 3 2 2 4 2 2 2 2" xfId="43272" xr:uid="{00000000-0005-0000-0000-000054350000}"/>
    <cellStyle name="20% - Accent5 3 2 2 4 2 2 3" xfId="31971" xr:uid="{00000000-0005-0000-0000-000055350000}"/>
    <cellStyle name="20% - Accent5 3 2 2 4 2 3" xfId="15020" xr:uid="{00000000-0005-0000-0000-000056350000}"/>
    <cellStyle name="20% - Accent5 3 2 2 4 2 3 2" xfId="37622" xr:uid="{00000000-0005-0000-0000-000057350000}"/>
    <cellStyle name="20% - Accent5 3 2 2 4 2 4" xfId="26321" xr:uid="{00000000-0005-0000-0000-000058350000}"/>
    <cellStyle name="20% - Accent5 3 2 2 4 3" xfId="5427" xr:uid="{00000000-0005-0000-0000-000059350000}"/>
    <cellStyle name="20% - Accent5 3 2 2 4 3 2" xfId="11077" xr:uid="{00000000-0005-0000-0000-00005A350000}"/>
    <cellStyle name="20% - Accent5 3 2 2 4 3 2 2" xfId="22378" xr:uid="{00000000-0005-0000-0000-00005B350000}"/>
    <cellStyle name="20% - Accent5 3 2 2 4 3 2 2 2" xfId="44980" xr:uid="{00000000-0005-0000-0000-00005C350000}"/>
    <cellStyle name="20% - Accent5 3 2 2 4 3 2 3" xfId="33679" xr:uid="{00000000-0005-0000-0000-00005D350000}"/>
    <cellStyle name="20% - Accent5 3 2 2 4 3 3" xfId="16728" xr:uid="{00000000-0005-0000-0000-00005E350000}"/>
    <cellStyle name="20% - Accent5 3 2 2 4 3 3 2" xfId="39330" xr:uid="{00000000-0005-0000-0000-00005F350000}"/>
    <cellStyle name="20% - Accent5 3 2 2 4 3 4" xfId="28029" xr:uid="{00000000-0005-0000-0000-000060350000}"/>
    <cellStyle name="20% - Accent5 3 2 2 4 4" xfId="7580" xr:uid="{00000000-0005-0000-0000-000061350000}"/>
    <cellStyle name="20% - Accent5 3 2 2 4 4 2" xfId="18881" xr:uid="{00000000-0005-0000-0000-000062350000}"/>
    <cellStyle name="20% - Accent5 3 2 2 4 4 2 2" xfId="41483" xr:uid="{00000000-0005-0000-0000-000063350000}"/>
    <cellStyle name="20% - Accent5 3 2 2 4 4 3" xfId="30182" xr:uid="{00000000-0005-0000-0000-000064350000}"/>
    <cellStyle name="20% - Accent5 3 2 2 4 5" xfId="13231" xr:uid="{00000000-0005-0000-0000-000065350000}"/>
    <cellStyle name="20% - Accent5 3 2 2 4 5 2" xfId="35833" xr:uid="{00000000-0005-0000-0000-000066350000}"/>
    <cellStyle name="20% - Accent5 3 2 2 4 6" xfId="24532" xr:uid="{00000000-0005-0000-0000-000067350000}"/>
    <cellStyle name="20% - Accent5 3 2 2 5" xfId="2408" xr:uid="{00000000-0005-0000-0000-000068350000}"/>
    <cellStyle name="20% - Accent5 3 2 2 5 2" xfId="8244" xr:uid="{00000000-0005-0000-0000-000069350000}"/>
    <cellStyle name="20% - Accent5 3 2 2 5 2 2" xfId="19545" xr:uid="{00000000-0005-0000-0000-00006A350000}"/>
    <cellStyle name="20% - Accent5 3 2 2 5 2 2 2" xfId="42147" xr:uid="{00000000-0005-0000-0000-00006B350000}"/>
    <cellStyle name="20% - Accent5 3 2 2 5 2 3" xfId="30846" xr:uid="{00000000-0005-0000-0000-00006C350000}"/>
    <cellStyle name="20% - Accent5 3 2 2 5 3" xfId="13895" xr:uid="{00000000-0005-0000-0000-00006D350000}"/>
    <cellStyle name="20% - Accent5 3 2 2 5 3 2" xfId="36497" xr:uid="{00000000-0005-0000-0000-00006E350000}"/>
    <cellStyle name="20% - Accent5 3 2 2 5 4" xfId="25196" xr:uid="{00000000-0005-0000-0000-00006F350000}"/>
    <cellStyle name="20% - Accent5 3 2 2 6" xfId="4193" xr:uid="{00000000-0005-0000-0000-000070350000}"/>
    <cellStyle name="20% - Accent5 3 2 2 6 2" xfId="9843" xr:uid="{00000000-0005-0000-0000-000071350000}"/>
    <cellStyle name="20% - Accent5 3 2 2 6 2 2" xfId="21144" xr:uid="{00000000-0005-0000-0000-000072350000}"/>
    <cellStyle name="20% - Accent5 3 2 2 6 2 2 2" xfId="43746" xr:uid="{00000000-0005-0000-0000-000073350000}"/>
    <cellStyle name="20% - Accent5 3 2 2 6 2 3" xfId="32445" xr:uid="{00000000-0005-0000-0000-000074350000}"/>
    <cellStyle name="20% - Accent5 3 2 2 6 3" xfId="15494" xr:uid="{00000000-0005-0000-0000-000075350000}"/>
    <cellStyle name="20% - Accent5 3 2 2 6 3 2" xfId="38096" xr:uid="{00000000-0005-0000-0000-000076350000}"/>
    <cellStyle name="20% - Accent5 3 2 2 6 4" xfId="26795" xr:uid="{00000000-0005-0000-0000-000077350000}"/>
    <cellStyle name="20% - Accent5 3 2 2 7" xfId="6673" xr:uid="{00000000-0005-0000-0000-000078350000}"/>
    <cellStyle name="20% - Accent5 3 2 2 7 2" xfId="17974" xr:uid="{00000000-0005-0000-0000-000079350000}"/>
    <cellStyle name="20% - Accent5 3 2 2 7 2 2" xfId="40576" xr:uid="{00000000-0005-0000-0000-00007A350000}"/>
    <cellStyle name="20% - Accent5 3 2 2 7 3" xfId="29275" xr:uid="{00000000-0005-0000-0000-00007B350000}"/>
    <cellStyle name="20% - Accent5 3 2 2 8" xfId="12324" xr:uid="{00000000-0005-0000-0000-00007C350000}"/>
    <cellStyle name="20% - Accent5 3 2 2 8 2" xfId="34926" xr:uid="{00000000-0005-0000-0000-00007D350000}"/>
    <cellStyle name="20% - Accent5 3 2 2 9" xfId="23625" xr:uid="{00000000-0005-0000-0000-00007E350000}"/>
    <cellStyle name="20% - Accent5 3 2 3" xfId="1180" xr:uid="{00000000-0005-0000-0000-00007F350000}"/>
    <cellStyle name="20% - Accent5 3 2 3 2" xfId="1726" xr:uid="{00000000-0005-0000-0000-000080350000}"/>
    <cellStyle name="20% - Accent5 3 2 3 2 2" xfId="3248" xr:uid="{00000000-0005-0000-0000-000081350000}"/>
    <cellStyle name="20% - Accent5 3 2 3 2 2 2" xfId="6220" xr:uid="{00000000-0005-0000-0000-000082350000}"/>
    <cellStyle name="20% - Accent5 3 2 3 2 2 2 2" xfId="11870" xr:uid="{00000000-0005-0000-0000-000083350000}"/>
    <cellStyle name="20% - Accent5 3 2 3 2 2 2 2 2" xfId="23171" xr:uid="{00000000-0005-0000-0000-000084350000}"/>
    <cellStyle name="20% - Accent5 3 2 3 2 2 2 2 2 2" xfId="45773" xr:uid="{00000000-0005-0000-0000-000085350000}"/>
    <cellStyle name="20% - Accent5 3 2 3 2 2 2 2 3" xfId="34472" xr:uid="{00000000-0005-0000-0000-000086350000}"/>
    <cellStyle name="20% - Accent5 3 2 3 2 2 2 3" xfId="17521" xr:uid="{00000000-0005-0000-0000-000087350000}"/>
    <cellStyle name="20% - Accent5 3 2 3 2 2 2 3 2" xfId="40123" xr:uid="{00000000-0005-0000-0000-000088350000}"/>
    <cellStyle name="20% - Accent5 3 2 3 2 2 2 4" xfId="28822" xr:uid="{00000000-0005-0000-0000-000089350000}"/>
    <cellStyle name="20% - Accent5 3 2 3 2 2 3" xfId="9038" xr:uid="{00000000-0005-0000-0000-00008A350000}"/>
    <cellStyle name="20% - Accent5 3 2 3 2 2 3 2" xfId="20339" xr:uid="{00000000-0005-0000-0000-00008B350000}"/>
    <cellStyle name="20% - Accent5 3 2 3 2 2 3 2 2" xfId="42941" xr:uid="{00000000-0005-0000-0000-00008C350000}"/>
    <cellStyle name="20% - Accent5 3 2 3 2 2 3 3" xfId="31640" xr:uid="{00000000-0005-0000-0000-00008D350000}"/>
    <cellStyle name="20% - Accent5 3 2 3 2 2 4" xfId="14689" xr:uid="{00000000-0005-0000-0000-00008E350000}"/>
    <cellStyle name="20% - Accent5 3 2 3 2 2 4 2" xfId="37291" xr:uid="{00000000-0005-0000-0000-00008F350000}"/>
    <cellStyle name="20% - Accent5 3 2 3 2 2 5" xfId="25990" xr:uid="{00000000-0005-0000-0000-000090350000}"/>
    <cellStyle name="20% - Accent5 3 2 3 2 3" xfId="4986" xr:uid="{00000000-0005-0000-0000-000091350000}"/>
    <cellStyle name="20% - Accent5 3 2 3 2 3 2" xfId="10636" xr:uid="{00000000-0005-0000-0000-000092350000}"/>
    <cellStyle name="20% - Accent5 3 2 3 2 3 2 2" xfId="21937" xr:uid="{00000000-0005-0000-0000-000093350000}"/>
    <cellStyle name="20% - Accent5 3 2 3 2 3 2 2 2" xfId="44539" xr:uid="{00000000-0005-0000-0000-000094350000}"/>
    <cellStyle name="20% - Accent5 3 2 3 2 3 2 3" xfId="33238" xr:uid="{00000000-0005-0000-0000-000095350000}"/>
    <cellStyle name="20% - Accent5 3 2 3 2 3 3" xfId="16287" xr:uid="{00000000-0005-0000-0000-000096350000}"/>
    <cellStyle name="20% - Accent5 3 2 3 2 3 3 2" xfId="38889" xr:uid="{00000000-0005-0000-0000-000097350000}"/>
    <cellStyle name="20% - Accent5 3 2 3 2 3 4" xfId="27588" xr:uid="{00000000-0005-0000-0000-000098350000}"/>
    <cellStyle name="20% - Accent5 3 2 3 2 4" xfId="7582" xr:uid="{00000000-0005-0000-0000-000099350000}"/>
    <cellStyle name="20% - Accent5 3 2 3 2 4 2" xfId="18883" xr:uid="{00000000-0005-0000-0000-00009A350000}"/>
    <cellStyle name="20% - Accent5 3 2 3 2 4 2 2" xfId="41485" xr:uid="{00000000-0005-0000-0000-00009B350000}"/>
    <cellStyle name="20% - Accent5 3 2 3 2 4 3" xfId="30184" xr:uid="{00000000-0005-0000-0000-00009C350000}"/>
    <cellStyle name="20% - Accent5 3 2 3 2 5" xfId="13233" xr:uid="{00000000-0005-0000-0000-00009D350000}"/>
    <cellStyle name="20% - Accent5 3 2 3 2 5 2" xfId="35835" xr:uid="{00000000-0005-0000-0000-00009E350000}"/>
    <cellStyle name="20% - Accent5 3 2 3 2 6" xfId="24534" xr:uid="{00000000-0005-0000-0000-00009F350000}"/>
    <cellStyle name="20% - Accent5 3 2 3 3" xfId="2577" xr:uid="{00000000-0005-0000-0000-0000A0350000}"/>
    <cellStyle name="20% - Accent5 3 2 3 3 2" xfId="5596" xr:uid="{00000000-0005-0000-0000-0000A1350000}"/>
    <cellStyle name="20% - Accent5 3 2 3 3 2 2" xfId="11246" xr:uid="{00000000-0005-0000-0000-0000A2350000}"/>
    <cellStyle name="20% - Accent5 3 2 3 3 2 2 2" xfId="22547" xr:uid="{00000000-0005-0000-0000-0000A3350000}"/>
    <cellStyle name="20% - Accent5 3 2 3 3 2 2 2 2" xfId="45149" xr:uid="{00000000-0005-0000-0000-0000A4350000}"/>
    <cellStyle name="20% - Accent5 3 2 3 3 2 2 3" xfId="33848" xr:uid="{00000000-0005-0000-0000-0000A5350000}"/>
    <cellStyle name="20% - Accent5 3 2 3 3 2 3" xfId="16897" xr:uid="{00000000-0005-0000-0000-0000A6350000}"/>
    <cellStyle name="20% - Accent5 3 2 3 3 2 3 2" xfId="39499" xr:uid="{00000000-0005-0000-0000-0000A7350000}"/>
    <cellStyle name="20% - Accent5 3 2 3 3 2 4" xfId="28198" xr:uid="{00000000-0005-0000-0000-0000A8350000}"/>
    <cellStyle name="20% - Accent5 3 2 3 3 3" xfId="8413" xr:uid="{00000000-0005-0000-0000-0000A9350000}"/>
    <cellStyle name="20% - Accent5 3 2 3 3 3 2" xfId="19714" xr:uid="{00000000-0005-0000-0000-0000AA350000}"/>
    <cellStyle name="20% - Accent5 3 2 3 3 3 2 2" xfId="42316" xr:uid="{00000000-0005-0000-0000-0000AB350000}"/>
    <cellStyle name="20% - Accent5 3 2 3 3 3 3" xfId="31015" xr:uid="{00000000-0005-0000-0000-0000AC350000}"/>
    <cellStyle name="20% - Accent5 3 2 3 3 4" xfId="14064" xr:uid="{00000000-0005-0000-0000-0000AD350000}"/>
    <cellStyle name="20% - Accent5 3 2 3 3 4 2" xfId="36666" xr:uid="{00000000-0005-0000-0000-0000AE350000}"/>
    <cellStyle name="20% - Accent5 3 2 3 3 5" xfId="25365" xr:uid="{00000000-0005-0000-0000-0000AF350000}"/>
    <cellStyle name="20% - Accent5 3 2 3 4" xfId="4362" xr:uid="{00000000-0005-0000-0000-0000B0350000}"/>
    <cellStyle name="20% - Accent5 3 2 3 4 2" xfId="10012" xr:uid="{00000000-0005-0000-0000-0000B1350000}"/>
    <cellStyle name="20% - Accent5 3 2 3 4 2 2" xfId="21313" xr:uid="{00000000-0005-0000-0000-0000B2350000}"/>
    <cellStyle name="20% - Accent5 3 2 3 4 2 2 2" xfId="43915" xr:uid="{00000000-0005-0000-0000-0000B3350000}"/>
    <cellStyle name="20% - Accent5 3 2 3 4 2 3" xfId="32614" xr:uid="{00000000-0005-0000-0000-0000B4350000}"/>
    <cellStyle name="20% - Accent5 3 2 3 4 3" xfId="15663" xr:uid="{00000000-0005-0000-0000-0000B5350000}"/>
    <cellStyle name="20% - Accent5 3 2 3 4 3 2" xfId="38265" xr:uid="{00000000-0005-0000-0000-0000B6350000}"/>
    <cellStyle name="20% - Accent5 3 2 3 4 4" xfId="26964" xr:uid="{00000000-0005-0000-0000-0000B7350000}"/>
    <cellStyle name="20% - Accent5 3 2 3 5" xfId="7159" xr:uid="{00000000-0005-0000-0000-0000B8350000}"/>
    <cellStyle name="20% - Accent5 3 2 3 5 2" xfId="18460" xr:uid="{00000000-0005-0000-0000-0000B9350000}"/>
    <cellStyle name="20% - Accent5 3 2 3 5 2 2" xfId="41062" xr:uid="{00000000-0005-0000-0000-0000BA350000}"/>
    <cellStyle name="20% - Accent5 3 2 3 5 3" xfId="29761" xr:uid="{00000000-0005-0000-0000-0000BB350000}"/>
    <cellStyle name="20% - Accent5 3 2 3 6" xfId="12810" xr:uid="{00000000-0005-0000-0000-0000BC350000}"/>
    <cellStyle name="20% - Accent5 3 2 3 6 2" xfId="35412" xr:uid="{00000000-0005-0000-0000-0000BD350000}"/>
    <cellStyle name="20% - Accent5 3 2 3 7" xfId="24111" xr:uid="{00000000-0005-0000-0000-0000BE350000}"/>
    <cellStyle name="20% - Accent5 3 2 4" xfId="869" xr:uid="{00000000-0005-0000-0000-0000BF350000}"/>
    <cellStyle name="20% - Accent5 3 2 4 2" xfId="2941" xr:uid="{00000000-0005-0000-0000-0000C0350000}"/>
    <cellStyle name="20% - Accent5 3 2 4 2 2" xfId="5913" xr:uid="{00000000-0005-0000-0000-0000C1350000}"/>
    <cellStyle name="20% - Accent5 3 2 4 2 2 2" xfId="11563" xr:uid="{00000000-0005-0000-0000-0000C2350000}"/>
    <cellStyle name="20% - Accent5 3 2 4 2 2 2 2" xfId="22864" xr:uid="{00000000-0005-0000-0000-0000C3350000}"/>
    <cellStyle name="20% - Accent5 3 2 4 2 2 2 2 2" xfId="45466" xr:uid="{00000000-0005-0000-0000-0000C4350000}"/>
    <cellStyle name="20% - Accent5 3 2 4 2 2 2 3" xfId="34165" xr:uid="{00000000-0005-0000-0000-0000C5350000}"/>
    <cellStyle name="20% - Accent5 3 2 4 2 2 3" xfId="17214" xr:uid="{00000000-0005-0000-0000-0000C6350000}"/>
    <cellStyle name="20% - Accent5 3 2 4 2 2 3 2" xfId="39816" xr:uid="{00000000-0005-0000-0000-0000C7350000}"/>
    <cellStyle name="20% - Accent5 3 2 4 2 2 4" xfId="28515" xr:uid="{00000000-0005-0000-0000-0000C8350000}"/>
    <cellStyle name="20% - Accent5 3 2 4 2 3" xfId="8731" xr:uid="{00000000-0005-0000-0000-0000C9350000}"/>
    <cellStyle name="20% - Accent5 3 2 4 2 3 2" xfId="20032" xr:uid="{00000000-0005-0000-0000-0000CA350000}"/>
    <cellStyle name="20% - Accent5 3 2 4 2 3 2 2" xfId="42634" xr:uid="{00000000-0005-0000-0000-0000CB350000}"/>
    <cellStyle name="20% - Accent5 3 2 4 2 3 3" xfId="31333" xr:uid="{00000000-0005-0000-0000-0000CC350000}"/>
    <cellStyle name="20% - Accent5 3 2 4 2 4" xfId="14382" xr:uid="{00000000-0005-0000-0000-0000CD350000}"/>
    <cellStyle name="20% - Accent5 3 2 4 2 4 2" xfId="36984" xr:uid="{00000000-0005-0000-0000-0000CE350000}"/>
    <cellStyle name="20% - Accent5 3 2 4 2 5" xfId="25683" xr:uid="{00000000-0005-0000-0000-0000CF350000}"/>
    <cellStyle name="20% - Accent5 3 2 4 3" xfId="4679" xr:uid="{00000000-0005-0000-0000-0000D0350000}"/>
    <cellStyle name="20% - Accent5 3 2 4 3 2" xfId="10329" xr:uid="{00000000-0005-0000-0000-0000D1350000}"/>
    <cellStyle name="20% - Accent5 3 2 4 3 2 2" xfId="21630" xr:uid="{00000000-0005-0000-0000-0000D2350000}"/>
    <cellStyle name="20% - Accent5 3 2 4 3 2 2 2" xfId="44232" xr:uid="{00000000-0005-0000-0000-0000D3350000}"/>
    <cellStyle name="20% - Accent5 3 2 4 3 2 3" xfId="32931" xr:uid="{00000000-0005-0000-0000-0000D4350000}"/>
    <cellStyle name="20% - Accent5 3 2 4 3 3" xfId="15980" xr:uid="{00000000-0005-0000-0000-0000D5350000}"/>
    <cellStyle name="20% - Accent5 3 2 4 3 3 2" xfId="38582" xr:uid="{00000000-0005-0000-0000-0000D6350000}"/>
    <cellStyle name="20% - Accent5 3 2 4 3 4" xfId="27281" xr:uid="{00000000-0005-0000-0000-0000D7350000}"/>
    <cellStyle name="20% - Accent5 3 2 4 4" xfId="6866" xr:uid="{00000000-0005-0000-0000-0000D8350000}"/>
    <cellStyle name="20% - Accent5 3 2 4 4 2" xfId="18167" xr:uid="{00000000-0005-0000-0000-0000D9350000}"/>
    <cellStyle name="20% - Accent5 3 2 4 4 2 2" xfId="40769" xr:uid="{00000000-0005-0000-0000-0000DA350000}"/>
    <cellStyle name="20% - Accent5 3 2 4 4 3" xfId="29468" xr:uid="{00000000-0005-0000-0000-0000DB350000}"/>
    <cellStyle name="20% - Accent5 3 2 4 5" xfId="12517" xr:uid="{00000000-0005-0000-0000-0000DC350000}"/>
    <cellStyle name="20% - Accent5 3 2 4 5 2" xfId="35119" xr:uid="{00000000-0005-0000-0000-0000DD350000}"/>
    <cellStyle name="20% - Accent5 3 2 4 6" xfId="23818" xr:uid="{00000000-0005-0000-0000-0000DE350000}"/>
    <cellStyle name="20% - Accent5 3 2 5" xfId="1723" xr:uid="{00000000-0005-0000-0000-0000DF350000}"/>
    <cellStyle name="20% - Accent5 3 2 5 2" xfId="3656" xr:uid="{00000000-0005-0000-0000-0000E0350000}"/>
    <cellStyle name="20% - Accent5 3 2 5 2 2" xfId="9368" xr:uid="{00000000-0005-0000-0000-0000E1350000}"/>
    <cellStyle name="20% - Accent5 3 2 5 2 2 2" xfId="20669" xr:uid="{00000000-0005-0000-0000-0000E2350000}"/>
    <cellStyle name="20% - Accent5 3 2 5 2 2 2 2" xfId="43271" xr:uid="{00000000-0005-0000-0000-0000E3350000}"/>
    <cellStyle name="20% - Accent5 3 2 5 2 2 3" xfId="31970" xr:uid="{00000000-0005-0000-0000-0000E4350000}"/>
    <cellStyle name="20% - Accent5 3 2 5 2 3" xfId="15019" xr:uid="{00000000-0005-0000-0000-0000E5350000}"/>
    <cellStyle name="20% - Accent5 3 2 5 2 3 2" xfId="37621" xr:uid="{00000000-0005-0000-0000-0000E6350000}"/>
    <cellStyle name="20% - Accent5 3 2 5 2 4" xfId="26320" xr:uid="{00000000-0005-0000-0000-0000E7350000}"/>
    <cellStyle name="20% - Accent5 3 2 5 3" xfId="5289" xr:uid="{00000000-0005-0000-0000-0000E8350000}"/>
    <cellStyle name="20% - Accent5 3 2 5 3 2" xfId="10939" xr:uid="{00000000-0005-0000-0000-0000E9350000}"/>
    <cellStyle name="20% - Accent5 3 2 5 3 2 2" xfId="22240" xr:uid="{00000000-0005-0000-0000-0000EA350000}"/>
    <cellStyle name="20% - Accent5 3 2 5 3 2 2 2" xfId="44842" xr:uid="{00000000-0005-0000-0000-0000EB350000}"/>
    <cellStyle name="20% - Accent5 3 2 5 3 2 3" xfId="33541" xr:uid="{00000000-0005-0000-0000-0000EC350000}"/>
    <cellStyle name="20% - Accent5 3 2 5 3 3" xfId="16590" xr:uid="{00000000-0005-0000-0000-0000ED350000}"/>
    <cellStyle name="20% - Accent5 3 2 5 3 3 2" xfId="39192" xr:uid="{00000000-0005-0000-0000-0000EE350000}"/>
    <cellStyle name="20% - Accent5 3 2 5 3 4" xfId="27891" xr:uid="{00000000-0005-0000-0000-0000EF350000}"/>
    <cellStyle name="20% - Accent5 3 2 5 4" xfId="7579" xr:uid="{00000000-0005-0000-0000-0000F0350000}"/>
    <cellStyle name="20% - Accent5 3 2 5 4 2" xfId="18880" xr:uid="{00000000-0005-0000-0000-0000F1350000}"/>
    <cellStyle name="20% - Accent5 3 2 5 4 2 2" xfId="41482" xr:uid="{00000000-0005-0000-0000-0000F2350000}"/>
    <cellStyle name="20% - Accent5 3 2 5 4 3" xfId="30181" xr:uid="{00000000-0005-0000-0000-0000F3350000}"/>
    <cellStyle name="20% - Accent5 3 2 5 5" xfId="13230" xr:uid="{00000000-0005-0000-0000-0000F4350000}"/>
    <cellStyle name="20% - Accent5 3 2 5 5 2" xfId="35832" xr:uid="{00000000-0005-0000-0000-0000F5350000}"/>
    <cellStyle name="20% - Accent5 3 2 5 6" xfId="24531" xr:uid="{00000000-0005-0000-0000-0000F6350000}"/>
    <cellStyle name="20% - Accent5 3 2 6" xfId="2267" xr:uid="{00000000-0005-0000-0000-0000F7350000}"/>
    <cellStyle name="20% - Accent5 3 2 6 2" xfId="8103" xr:uid="{00000000-0005-0000-0000-0000F8350000}"/>
    <cellStyle name="20% - Accent5 3 2 6 2 2" xfId="19404" xr:uid="{00000000-0005-0000-0000-0000F9350000}"/>
    <cellStyle name="20% - Accent5 3 2 6 2 2 2" xfId="42006" xr:uid="{00000000-0005-0000-0000-0000FA350000}"/>
    <cellStyle name="20% - Accent5 3 2 6 2 3" xfId="30705" xr:uid="{00000000-0005-0000-0000-0000FB350000}"/>
    <cellStyle name="20% - Accent5 3 2 6 3" xfId="13754" xr:uid="{00000000-0005-0000-0000-0000FC350000}"/>
    <cellStyle name="20% - Accent5 3 2 6 3 2" xfId="36356" xr:uid="{00000000-0005-0000-0000-0000FD350000}"/>
    <cellStyle name="20% - Accent5 3 2 6 4" xfId="25055" xr:uid="{00000000-0005-0000-0000-0000FE350000}"/>
    <cellStyle name="20% - Accent5 3 2 7" xfId="4055" xr:uid="{00000000-0005-0000-0000-0000FF350000}"/>
    <cellStyle name="20% - Accent5 3 2 7 2" xfId="9705" xr:uid="{00000000-0005-0000-0000-000000360000}"/>
    <cellStyle name="20% - Accent5 3 2 7 2 2" xfId="21006" xr:uid="{00000000-0005-0000-0000-000001360000}"/>
    <cellStyle name="20% - Accent5 3 2 7 2 2 2" xfId="43608" xr:uid="{00000000-0005-0000-0000-000002360000}"/>
    <cellStyle name="20% - Accent5 3 2 7 2 3" xfId="32307" xr:uid="{00000000-0005-0000-0000-000003360000}"/>
    <cellStyle name="20% - Accent5 3 2 7 3" xfId="15356" xr:uid="{00000000-0005-0000-0000-000004360000}"/>
    <cellStyle name="20% - Accent5 3 2 7 3 2" xfId="37958" xr:uid="{00000000-0005-0000-0000-000005360000}"/>
    <cellStyle name="20% - Accent5 3 2 7 4" xfId="26657" xr:uid="{00000000-0005-0000-0000-000006360000}"/>
    <cellStyle name="20% - Accent5 3 2 8" xfId="6506" xr:uid="{00000000-0005-0000-0000-000007360000}"/>
    <cellStyle name="20% - Accent5 3 2 8 2" xfId="17807" xr:uid="{00000000-0005-0000-0000-000008360000}"/>
    <cellStyle name="20% - Accent5 3 2 8 2 2" xfId="40409" xr:uid="{00000000-0005-0000-0000-000009360000}"/>
    <cellStyle name="20% - Accent5 3 2 8 3" xfId="29108" xr:uid="{00000000-0005-0000-0000-00000A360000}"/>
    <cellStyle name="20% - Accent5 3 2 9" xfId="12157" xr:uid="{00000000-0005-0000-0000-00000B360000}"/>
    <cellStyle name="20% - Accent5 3 2 9 2" xfId="34759" xr:uid="{00000000-0005-0000-0000-00000C360000}"/>
    <cellStyle name="20% - Accent5 3 3" xfId="412" xr:uid="{00000000-0005-0000-0000-00000D360000}"/>
    <cellStyle name="20% - Accent5 3 3 10" xfId="23507" xr:uid="{00000000-0005-0000-0000-00000E360000}"/>
    <cellStyle name="20% - Accent5 3 3 2" xfId="657" xr:uid="{00000000-0005-0000-0000-00000F360000}"/>
    <cellStyle name="20% - Accent5 3 3 2 2" xfId="1367" xr:uid="{00000000-0005-0000-0000-000010360000}"/>
    <cellStyle name="20% - Accent5 3 3 2 2 2" xfId="1729" xr:uid="{00000000-0005-0000-0000-000011360000}"/>
    <cellStyle name="20% - Accent5 3 3 2 2 2 2" xfId="3436" xr:uid="{00000000-0005-0000-0000-000012360000}"/>
    <cellStyle name="20% - Accent5 3 3 2 2 2 2 2" xfId="6408" xr:uid="{00000000-0005-0000-0000-000013360000}"/>
    <cellStyle name="20% - Accent5 3 3 2 2 2 2 2 2" xfId="12058" xr:uid="{00000000-0005-0000-0000-000014360000}"/>
    <cellStyle name="20% - Accent5 3 3 2 2 2 2 2 2 2" xfId="23359" xr:uid="{00000000-0005-0000-0000-000015360000}"/>
    <cellStyle name="20% - Accent5 3 3 2 2 2 2 2 2 2 2" xfId="45961" xr:uid="{00000000-0005-0000-0000-000016360000}"/>
    <cellStyle name="20% - Accent5 3 3 2 2 2 2 2 2 3" xfId="34660" xr:uid="{00000000-0005-0000-0000-000017360000}"/>
    <cellStyle name="20% - Accent5 3 3 2 2 2 2 2 3" xfId="17709" xr:uid="{00000000-0005-0000-0000-000018360000}"/>
    <cellStyle name="20% - Accent5 3 3 2 2 2 2 2 3 2" xfId="40311" xr:uid="{00000000-0005-0000-0000-000019360000}"/>
    <cellStyle name="20% - Accent5 3 3 2 2 2 2 2 4" xfId="29010" xr:uid="{00000000-0005-0000-0000-00001A360000}"/>
    <cellStyle name="20% - Accent5 3 3 2 2 2 2 3" xfId="9226" xr:uid="{00000000-0005-0000-0000-00001B360000}"/>
    <cellStyle name="20% - Accent5 3 3 2 2 2 2 3 2" xfId="20527" xr:uid="{00000000-0005-0000-0000-00001C360000}"/>
    <cellStyle name="20% - Accent5 3 3 2 2 2 2 3 2 2" xfId="43129" xr:uid="{00000000-0005-0000-0000-00001D360000}"/>
    <cellStyle name="20% - Accent5 3 3 2 2 2 2 3 3" xfId="31828" xr:uid="{00000000-0005-0000-0000-00001E360000}"/>
    <cellStyle name="20% - Accent5 3 3 2 2 2 2 4" xfId="14877" xr:uid="{00000000-0005-0000-0000-00001F360000}"/>
    <cellStyle name="20% - Accent5 3 3 2 2 2 2 4 2" xfId="37479" xr:uid="{00000000-0005-0000-0000-000020360000}"/>
    <cellStyle name="20% - Accent5 3 3 2 2 2 2 5" xfId="26178" xr:uid="{00000000-0005-0000-0000-000021360000}"/>
    <cellStyle name="20% - Accent5 3 3 2 2 2 3" xfId="5174" xr:uid="{00000000-0005-0000-0000-000022360000}"/>
    <cellStyle name="20% - Accent5 3 3 2 2 2 3 2" xfId="10824" xr:uid="{00000000-0005-0000-0000-000023360000}"/>
    <cellStyle name="20% - Accent5 3 3 2 2 2 3 2 2" xfId="22125" xr:uid="{00000000-0005-0000-0000-000024360000}"/>
    <cellStyle name="20% - Accent5 3 3 2 2 2 3 2 2 2" xfId="44727" xr:uid="{00000000-0005-0000-0000-000025360000}"/>
    <cellStyle name="20% - Accent5 3 3 2 2 2 3 2 3" xfId="33426" xr:uid="{00000000-0005-0000-0000-000026360000}"/>
    <cellStyle name="20% - Accent5 3 3 2 2 2 3 3" xfId="16475" xr:uid="{00000000-0005-0000-0000-000027360000}"/>
    <cellStyle name="20% - Accent5 3 3 2 2 2 3 3 2" xfId="39077" xr:uid="{00000000-0005-0000-0000-000028360000}"/>
    <cellStyle name="20% - Accent5 3 3 2 2 2 3 4" xfId="27776" xr:uid="{00000000-0005-0000-0000-000029360000}"/>
    <cellStyle name="20% - Accent5 3 3 2 2 2 4" xfId="7585" xr:uid="{00000000-0005-0000-0000-00002A360000}"/>
    <cellStyle name="20% - Accent5 3 3 2 2 2 4 2" xfId="18886" xr:uid="{00000000-0005-0000-0000-00002B360000}"/>
    <cellStyle name="20% - Accent5 3 3 2 2 2 4 2 2" xfId="41488" xr:uid="{00000000-0005-0000-0000-00002C360000}"/>
    <cellStyle name="20% - Accent5 3 3 2 2 2 4 3" xfId="30187" xr:uid="{00000000-0005-0000-0000-00002D360000}"/>
    <cellStyle name="20% - Accent5 3 3 2 2 2 5" xfId="13236" xr:uid="{00000000-0005-0000-0000-00002E360000}"/>
    <cellStyle name="20% - Accent5 3 3 2 2 2 5 2" xfId="35838" xr:uid="{00000000-0005-0000-0000-00002F360000}"/>
    <cellStyle name="20% - Accent5 3 3 2 2 2 6" xfId="24537" xr:uid="{00000000-0005-0000-0000-000030360000}"/>
    <cellStyle name="20% - Accent5 3 3 2 2 3" xfId="2765" xr:uid="{00000000-0005-0000-0000-000031360000}"/>
    <cellStyle name="20% - Accent5 3 3 2 2 3 2" xfId="5784" xr:uid="{00000000-0005-0000-0000-000032360000}"/>
    <cellStyle name="20% - Accent5 3 3 2 2 3 2 2" xfId="11434" xr:uid="{00000000-0005-0000-0000-000033360000}"/>
    <cellStyle name="20% - Accent5 3 3 2 2 3 2 2 2" xfId="22735" xr:uid="{00000000-0005-0000-0000-000034360000}"/>
    <cellStyle name="20% - Accent5 3 3 2 2 3 2 2 2 2" xfId="45337" xr:uid="{00000000-0005-0000-0000-000035360000}"/>
    <cellStyle name="20% - Accent5 3 3 2 2 3 2 2 3" xfId="34036" xr:uid="{00000000-0005-0000-0000-000036360000}"/>
    <cellStyle name="20% - Accent5 3 3 2 2 3 2 3" xfId="17085" xr:uid="{00000000-0005-0000-0000-000037360000}"/>
    <cellStyle name="20% - Accent5 3 3 2 2 3 2 3 2" xfId="39687" xr:uid="{00000000-0005-0000-0000-000038360000}"/>
    <cellStyle name="20% - Accent5 3 3 2 2 3 2 4" xfId="28386" xr:uid="{00000000-0005-0000-0000-000039360000}"/>
    <cellStyle name="20% - Accent5 3 3 2 2 3 3" xfId="8601" xr:uid="{00000000-0005-0000-0000-00003A360000}"/>
    <cellStyle name="20% - Accent5 3 3 2 2 3 3 2" xfId="19902" xr:uid="{00000000-0005-0000-0000-00003B360000}"/>
    <cellStyle name="20% - Accent5 3 3 2 2 3 3 2 2" xfId="42504" xr:uid="{00000000-0005-0000-0000-00003C360000}"/>
    <cellStyle name="20% - Accent5 3 3 2 2 3 3 3" xfId="31203" xr:uid="{00000000-0005-0000-0000-00003D360000}"/>
    <cellStyle name="20% - Accent5 3 3 2 2 3 4" xfId="14252" xr:uid="{00000000-0005-0000-0000-00003E360000}"/>
    <cellStyle name="20% - Accent5 3 3 2 2 3 4 2" xfId="36854" xr:uid="{00000000-0005-0000-0000-00003F360000}"/>
    <cellStyle name="20% - Accent5 3 3 2 2 3 5" xfId="25553" xr:uid="{00000000-0005-0000-0000-000040360000}"/>
    <cellStyle name="20% - Accent5 3 3 2 2 4" xfId="4550" xr:uid="{00000000-0005-0000-0000-000041360000}"/>
    <cellStyle name="20% - Accent5 3 3 2 2 4 2" xfId="10200" xr:uid="{00000000-0005-0000-0000-000042360000}"/>
    <cellStyle name="20% - Accent5 3 3 2 2 4 2 2" xfId="21501" xr:uid="{00000000-0005-0000-0000-000043360000}"/>
    <cellStyle name="20% - Accent5 3 3 2 2 4 2 2 2" xfId="44103" xr:uid="{00000000-0005-0000-0000-000044360000}"/>
    <cellStyle name="20% - Accent5 3 3 2 2 4 2 3" xfId="32802" xr:uid="{00000000-0005-0000-0000-000045360000}"/>
    <cellStyle name="20% - Accent5 3 3 2 2 4 3" xfId="15851" xr:uid="{00000000-0005-0000-0000-000046360000}"/>
    <cellStyle name="20% - Accent5 3 3 2 2 4 3 2" xfId="38453" xr:uid="{00000000-0005-0000-0000-000047360000}"/>
    <cellStyle name="20% - Accent5 3 3 2 2 4 4" xfId="27152" xr:uid="{00000000-0005-0000-0000-000048360000}"/>
    <cellStyle name="20% - Accent5 3 3 2 2 5" xfId="7346" xr:uid="{00000000-0005-0000-0000-000049360000}"/>
    <cellStyle name="20% - Accent5 3 3 2 2 5 2" xfId="18647" xr:uid="{00000000-0005-0000-0000-00004A360000}"/>
    <cellStyle name="20% - Accent5 3 3 2 2 5 2 2" xfId="41249" xr:uid="{00000000-0005-0000-0000-00004B360000}"/>
    <cellStyle name="20% - Accent5 3 3 2 2 5 3" xfId="29948" xr:uid="{00000000-0005-0000-0000-00004C360000}"/>
    <cellStyle name="20% - Accent5 3 3 2 2 6" xfId="12997" xr:uid="{00000000-0005-0000-0000-00004D360000}"/>
    <cellStyle name="20% - Accent5 3 3 2 2 6 2" xfId="35599" xr:uid="{00000000-0005-0000-0000-00004E360000}"/>
    <cellStyle name="20% - Accent5 3 3 2 2 7" xfId="24298" xr:uid="{00000000-0005-0000-0000-00004F360000}"/>
    <cellStyle name="20% - Accent5 3 3 2 3" xfId="1065" xr:uid="{00000000-0005-0000-0000-000050360000}"/>
    <cellStyle name="20% - Accent5 3 3 2 3 2" xfId="3128" xr:uid="{00000000-0005-0000-0000-000051360000}"/>
    <cellStyle name="20% - Accent5 3 3 2 3 2 2" xfId="6100" xr:uid="{00000000-0005-0000-0000-000052360000}"/>
    <cellStyle name="20% - Accent5 3 3 2 3 2 2 2" xfId="11750" xr:uid="{00000000-0005-0000-0000-000053360000}"/>
    <cellStyle name="20% - Accent5 3 3 2 3 2 2 2 2" xfId="23051" xr:uid="{00000000-0005-0000-0000-000054360000}"/>
    <cellStyle name="20% - Accent5 3 3 2 3 2 2 2 2 2" xfId="45653" xr:uid="{00000000-0005-0000-0000-000055360000}"/>
    <cellStyle name="20% - Accent5 3 3 2 3 2 2 2 3" xfId="34352" xr:uid="{00000000-0005-0000-0000-000056360000}"/>
    <cellStyle name="20% - Accent5 3 3 2 3 2 2 3" xfId="17401" xr:uid="{00000000-0005-0000-0000-000057360000}"/>
    <cellStyle name="20% - Accent5 3 3 2 3 2 2 3 2" xfId="40003" xr:uid="{00000000-0005-0000-0000-000058360000}"/>
    <cellStyle name="20% - Accent5 3 3 2 3 2 2 4" xfId="28702" xr:uid="{00000000-0005-0000-0000-000059360000}"/>
    <cellStyle name="20% - Accent5 3 3 2 3 2 3" xfId="8918" xr:uid="{00000000-0005-0000-0000-00005A360000}"/>
    <cellStyle name="20% - Accent5 3 3 2 3 2 3 2" xfId="20219" xr:uid="{00000000-0005-0000-0000-00005B360000}"/>
    <cellStyle name="20% - Accent5 3 3 2 3 2 3 2 2" xfId="42821" xr:uid="{00000000-0005-0000-0000-00005C360000}"/>
    <cellStyle name="20% - Accent5 3 3 2 3 2 3 3" xfId="31520" xr:uid="{00000000-0005-0000-0000-00005D360000}"/>
    <cellStyle name="20% - Accent5 3 3 2 3 2 4" xfId="14569" xr:uid="{00000000-0005-0000-0000-00005E360000}"/>
    <cellStyle name="20% - Accent5 3 3 2 3 2 4 2" xfId="37171" xr:uid="{00000000-0005-0000-0000-00005F360000}"/>
    <cellStyle name="20% - Accent5 3 3 2 3 2 5" xfId="25870" xr:uid="{00000000-0005-0000-0000-000060360000}"/>
    <cellStyle name="20% - Accent5 3 3 2 3 3" xfId="4866" xr:uid="{00000000-0005-0000-0000-000061360000}"/>
    <cellStyle name="20% - Accent5 3 3 2 3 3 2" xfId="10516" xr:uid="{00000000-0005-0000-0000-000062360000}"/>
    <cellStyle name="20% - Accent5 3 3 2 3 3 2 2" xfId="21817" xr:uid="{00000000-0005-0000-0000-000063360000}"/>
    <cellStyle name="20% - Accent5 3 3 2 3 3 2 2 2" xfId="44419" xr:uid="{00000000-0005-0000-0000-000064360000}"/>
    <cellStyle name="20% - Accent5 3 3 2 3 3 2 3" xfId="33118" xr:uid="{00000000-0005-0000-0000-000065360000}"/>
    <cellStyle name="20% - Accent5 3 3 2 3 3 3" xfId="16167" xr:uid="{00000000-0005-0000-0000-000066360000}"/>
    <cellStyle name="20% - Accent5 3 3 2 3 3 3 2" xfId="38769" xr:uid="{00000000-0005-0000-0000-000067360000}"/>
    <cellStyle name="20% - Accent5 3 3 2 3 3 4" xfId="27468" xr:uid="{00000000-0005-0000-0000-000068360000}"/>
    <cellStyle name="20% - Accent5 3 3 2 3 4" xfId="7053" xr:uid="{00000000-0005-0000-0000-000069360000}"/>
    <cellStyle name="20% - Accent5 3 3 2 3 4 2" xfId="18354" xr:uid="{00000000-0005-0000-0000-00006A360000}"/>
    <cellStyle name="20% - Accent5 3 3 2 3 4 2 2" xfId="40956" xr:uid="{00000000-0005-0000-0000-00006B360000}"/>
    <cellStyle name="20% - Accent5 3 3 2 3 4 3" xfId="29655" xr:uid="{00000000-0005-0000-0000-00006C360000}"/>
    <cellStyle name="20% - Accent5 3 3 2 3 5" xfId="12704" xr:uid="{00000000-0005-0000-0000-00006D360000}"/>
    <cellStyle name="20% - Accent5 3 3 2 3 5 2" xfId="35306" xr:uid="{00000000-0005-0000-0000-00006E360000}"/>
    <cellStyle name="20% - Accent5 3 3 2 3 6" xfId="24005" xr:uid="{00000000-0005-0000-0000-00006F360000}"/>
    <cellStyle name="20% - Accent5 3 3 2 4" xfId="1728" xr:uid="{00000000-0005-0000-0000-000070360000}"/>
    <cellStyle name="20% - Accent5 3 3 2 4 2" xfId="3659" xr:uid="{00000000-0005-0000-0000-000071360000}"/>
    <cellStyle name="20% - Accent5 3 3 2 4 2 2" xfId="9371" xr:uid="{00000000-0005-0000-0000-000072360000}"/>
    <cellStyle name="20% - Accent5 3 3 2 4 2 2 2" xfId="20672" xr:uid="{00000000-0005-0000-0000-000073360000}"/>
    <cellStyle name="20% - Accent5 3 3 2 4 2 2 2 2" xfId="43274" xr:uid="{00000000-0005-0000-0000-000074360000}"/>
    <cellStyle name="20% - Accent5 3 3 2 4 2 2 3" xfId="31973" xr:uid="{00000000-0005-0000-0000-000075360000}"/>
    <cellStyle name="20% - Accent5 3 3 2 4 2 3" xfId="15022" xr:uid="{00000000-0005-0000-0000-000076360000}"/>
    <cellStyle name="20% - Accent5 3 3 2 4 2 3 2" xfId="37624" xr:uid="{00000000-0005-0000-0000-000077360000}"/>
    <cellStyle name="20% - Accent5 3 3 2 4 2 4" xfId="26323" xr:uid="{00000000-0005-0000-0000-000078360000}"/>
    <cellStyle name="20% - Accent5 3 3 2 4 3" xfId="5476" xr:uid="{00000000-0005-0000-0000-000079360000}"/>
    <cellStyle name="20% - Accent5 3 3 2 4 3 2" xfId="11126" xr:uid="{00000000-0005-0000-0000-00007A360000}"/>
    <cellStyle name="20% - Accent5 3 3 2 4 3 2 2" xfId="22427" xr:uid="{00000000-0005-0000-0000-00007B360000}"/>
    <cellStyle name="20% - Accent5 3 3 2 4 3 2 2 2" xfId="45029" xr:uid="{00000000-0005-0000-0000-00007C360000}"/>
    <cellStyle name="20% - Accent5 3 3 2 4 3 2 3" xfId="33728" xr:uid="{00000000-0005-0000-0000-00007D360000}"/>
    <cellStyle name="20% - Accent5 3 3 2 4 3 3" xfId="16777" xr:uid="{00000000-0005-0000-0000-00007E360000}"/>
    <cellStyle name="20% - Accent5 3 3 2 4 3 3 2" xfId="39379" xr:uid="{00000000-0005-0000-0000-00007F360000}"/>
    <cellStyle name="20% - Accent5 3 3 2 4 3 4" xfId="28078" xr:uid="{00000000-0005-0000-0000-000080360000}"/>
    <cellStyle name="20% - Accent5 3 3 2 4 4" xfId="7584" xr:uid="{00000000-0005-0000-0000-000081360000}"/>
    <cellStyle name="20% - Accent5 3 3 2 4 4 2" xfId="18885" xr:uid="{00000000-0005-0000-0000-000082360000}"/>
    <cellStyle name="20% - Accent5 3 3 2 4 4 2 2" xfId="41487" xr:uid="{00000000-0005-0000-0000-000083360000}"/>
    <cellStyle name="20% - Accent5 3 3 2 4 4 3" xfId="30186" xr:uid="{00000000-0005-0000-0000-000084360000}"/>
    <cellStyle name="20% - Accent5 3 3 2 4 5" xfId="13235" xr:uid="{00000000-0005-0000-0000-000085360000}"/>
    <cellStyle name="20% - Accent5 3 3 2 4 5 2" xfId="35837" xr:uid="{00000000-0005-0000-0000-000086360000}"/>
    <cellStyle name="20% - Accent5 3 3 2 4 6" xfId="24536" xr:uid="{00000000-0005-0000-0000-000087360000}"/>
    <cellStyle name="20% - Accent5 3 3 2 5" xfId="2457" xr:uid="{00000000-0005-0000-0000-000088360000}"/>
    <cellStyle name="20% - Accent5 3 3 2 5 2" xfId="8293" xr:uid="{00000000-0005-0000-0000-000089360000}"/>
    <cellStyle name="20% - Accent5 3 3 2 5 2 2" xfId="19594" xr:uid="{00000000-0005-0000-0000-00008A360000}"/>
    <cellStyle name="20% - Accent5 3 3 2 5 2 2 2" xfId="42196" xr:uid="{00000000-0005-0000-0000-00008B360000}"/>
    <cellStyle name="20% - Accent5 3 3 2 5 2 3" xfId="30895" xr:uid="{00000000-0005-0000-0000-00008C360000}"/>
    <cellStyle name="20% - Accent5 3 3 2 5 3" xfId="13944" xr:uid="{00000000-0005-0000-0000-00008D360000}"/>
    <cellStyle name="20% - Accent5 3 3 2 5 3 2" xfId="36546" xr:uid="{00000000-0005-0000-0000-00008E360000}"/>
    <cellStyle name="20% - Accent5 3 3 2 5 4" xfId="25245" xr:uid="{00000000-0005-0000-0000-00008F360000}"/>
    <cellStyle name="20% - Accent5 3 3 2 6" xfId="4242" xr:uid="{00000000-0005-0000-0000-000090360000}"/>
    <cellStyle name="20% - Accent5 3 3 2 6 2" xfId="9892" xr:uid="{00000000-0005-0000-0000-000091360000}"/>
    <cellStyle name="20% - Accent5 3 3 2 6 2 2" xfId="21193" xr:uid="{00000000-0005-0000-0000-000092360000}"/>
    <cellStyle name="20% - Accent5 3 3 2 6 2 2 2" xfId="43795" xr:uid="{00000000-0005-0000-0000-000093360000}"/>
    <cellStyle name="20% - Accent5 3 3 2 6 2 3" xfId="32494" xr:uid="{00000000-0005-0000-0000-000094360000}"/>
    <cellStyle name="20% - Accent5 3 3 2 6 3" xfId="15543" xr:uid="{00000000-0005-0000-0000-000095360000}"/>
    <cellStyle name="20% - Accent5 3 3 2 6 3 2" xfId="38145" xr:uid="{00000000-0005-0000-0000-000096360000}"/>
    <cellStyle name="20% - Accent5 3 3 2 6 4" xfId="26844" xr:uid="{00000000-0005-0000-0000-000097360000}"/>
    <cellStyle name="20% - Accent5 3 3 2 7" xfId="6722" xr:uid="{00000000-0005-0000-0000-000098360000}"/>
    <cellStyle name="20% - Accent5 3 3 2 7 2" xfId="18023" xr:uid="{00000000-0005-0000-0000-000099360000}"/>
    <cellStyle name="20% - Accent5 3 3 2 7 2 2" xfId="40625" xr:uid="{00000000-0005-0000-0000-00009A360000}"/>
    <cellStyle name="20% - Accent5 3 3 2 7 3" xfId="29324" xr:uid="{00000000-0005-0000-0000-00009B360000}"/>
    <cellStyle name="20% - Accent5 3 3 2 8" xfId="12373" xr:uid="{00000000-0005-0000-0000-00009C360000}"/>
    <cellStyle name="20% - Accent5 3 3 2 8 2" xfId="34975" xr:uid="{00000000-0005-0000-0000-00009D360000}"/>
    <cellStyle name="20% - Accent5 3 3 2 9" xfId="23674" xr:uid="{00000000-0005-0000-0000-00009E360000}"/>
    <cellStyle name="20% - Accent5 3 3 3" xfId="1229" xr:uid="{00000000-0005-0000-0000-00009F360000}"/>
    <cellStyle name="20% - Accent5 3 3 3 2" xfId="1730" xr:uid="{00000000-0005-0000-0000-0000A0360000}"/>
    <cellStyle name="20% - Accent5 3 3 3 2 2" xfId="3297" xr:uid="{00000000-0005-0000-0000-0000A1360000}"/>
    <cellStyle name="20% - Accent5 3 3 3 2 2 2" xfId="6269" xr:uid="{00000000-0005-0000-0000-0000A2360000}"/>
    <cellStyle name="20% - Accent5 3 3 3 2 2 2 2" xfId="11919" xr:uid="{00000000-0005-0000-0000-0000A3360000}"/>
    <cellStyle name="20% - Accent5 3 3 3 2 2 2 2 2" xfId="23220" xr:uid="{00000000-0005-0000-0000-0000A4360000}"/>
    <cellStyle name="20% - Accent5 3 3 3 2 2 2 2 2 2" xfId="45822" xr:uid="{00000000-0005-0000-0000-0000A5360000}"/>
    <cellStyle name="20% - Accent5 3 3 3 2 2 2 2 3" xfId="34521" xr:uid="{00000000-0005-0000-0000-0000A6360000}"/>
    <cellStyle name="20% - Accent5 3 3 3 2 2 2 3" xfId="17570" xr:uid="{00000000-0005-0000-0000-0000A7360000}"/>
    <cellStyle name="20% - Accent5 3 3 3 2 2 2 3 2" xfId="40172" xr:uid="{00000000-0005-0000-0000-0000A8360000}"/>
    <cellStyle name="20% - Accent5 3 3 3 2 2 2 4" xfId="28871" xr:uid="{00000000-0005-0000-0000-0000A9360000}"/>
    <cellStyle name="20% - Accent5 3 3 3 2 2 3" xfId="9087" xr:uid="{00000000-0005-0000-0000-0000AA360000}"/>
    <cellStyle name="20% - Accent5 3 3 3 2 2 3 2" xfId="20388" xr:uid="{00000000-0005-0000-0000-0000AB360000}"/>
    <cellStyle name="20% - Accent5 3 3 3 2 2 3 2 2" xfId="42990" xr:uid="{00000000-0005-0000-0000-0000AC360000}"/>
    <cellStyle name="20% - Accent5 3 3 3 2 2 3 3" xfId="31689" xr:uid="{00000000-0005-0000-0000-0000AD360000}"/>
    <cellStyle name="20% - Accent5 3 3 3 2 2 4" xfId="14738" xr:uid="{00000000-0005-0000-0000-0000AE360000}"/>
    <cellStyle name="20% - Accent5 3 3 3 2 2 4 2" xfId="37340" xr:uid="{00000000-0005-0000-0000-0000AF360000}"/>
    <cellStyle name="20% - Accent5 3 3 3 2 2 5" xfId="26039" xr:uid="{00000000-0005-0000-0000-0000B0360000}"/>
    <cellStyle name="20% - Accent5 3 3 3 2 3" xfId="5035" xr:uid="{00000000-0005-0000-0000-0000B1360000}"/>
    <cellStyle name="20% - Accent5 3 3 3 2 3 2" xfId="10685" xr:uid="{00000000-0005-0000-0000-0000B2360000}"/>
    <cellStyle name="20% - Accent5 3 3 3 2 3 2 2" xfId="21986" xr:uid="{00000000-0005-0000-0000-0000B3360000}"/>
    <cellStyle name="20% - Accent5 3 3 3 2 3 2 2 2" xfId="44588" xr:uid="{00000000-0005-0000-0000-0000B4360000}"/>
    <cellStyle name="20% - Accent5 3 3 3 2 3 2 3" xfId="33287" xr:uid="{00000000-0005-0000-0000-0000B5360000}"/>
    <cellStyle name="20% - Accent5 3 3 3 2 3 3" xfId="16336" xr:uid="{00000000-0005-0000-0000-0000B6360000}"/>
    <cellStyle name="20% - Accent5 3 3 3 2 3 3 2" xfId="38938" xr:uid="{00000000-0005-0000-0000-0000B7360000}"/>
    <cellStyle name="20% - Accent5 3 3 3 2 3 4" xfId="27637" xr:uid="{00000000-0005-0000-0000-0000B8360000}"/>
    <cellStyle name="20% - Accent5 3 3 3 2 4" xfId="7586" xr:uid="{00000000-0005-0000-0000-0000B9360000}"/>
    <cellStyle name="20% - Accent5 3 3 3 2 4 2" xfId="18887" xr:uid="{00000000-0005-0000-0000-0000BA360000}"/>
    <cellStyle name="20% - Accent5 3 3 3 2 4 2 2" xfId="41489" xr:uid="{00000000-0005-0000-0000-0000BB360000}"/>
    <cellStyle name="20% - Accent5 3 3 3 2 4 3" xfId="30188" xr:uid="{00000000-0005-0000-0000-0000BC360000}"/>
    <cellStyle name="20% - Accent5 3 3 3 2 5" xfId="13237" xr:uid="{00000000-0005-0000-0000-0000BD360000}"/>
    <cellStyle name="20% - Accent5 3 3 3 2 5 2" xfId="35839" xr:uid="{00000000-0005-0000-0000-0000BE360000}"/>
    <cellStyle name="20% - Accent5 3 3 3 2 6" xfId="24538" xr:uid="{00000000-0005-0000-0000-0000BF360000}"/>
    <cellStyle name="20% - Accent5 3 3 3 3" xfId="2626" xr:uid="{00000000-0005-0000-0000-0000C0360000}"/>
    <cellStyle name="20% - Accent5 3 3 3 3 2" xfId="5645" xr:uid="{00000000-0005-0000-0000-0000C1360000}"/>
    <cellStyle name="20% - Accent5 3 3 3 3 2 2" xfId="11295" xr:uid="{00000000-0005-0000-0000-0000C2360000}"/>
    <cellStyle name="20% - Accent5 3 3 3 3 2 2 2" xfId="22596" xr:uid="{00000000-0005-0000-0000-0000C3360000}"/>
    <cellStyle name="20% - Accent5 3 3 3 3 2 2 2 2" xfId="45198" xr:uid="{00000000-0005-0000-0000-0000C4360000}"/>
    <cellStyle name="20% - Accent5 3 3 3 3 2 2 3" xfId="33897" xr:uid="{00000000-0005-0000-0000-0000C5360000}"/>
    <cellStyle name="20% - Accent5 3 3 3 3 2 3" xfId="16946" xr:uid="{00000000-0005-0000-0000-0000C6360000}"/>
    <cellStyle name="20% - Accent5 3 3 3 3 2 3 2" xfId="39548" xr:uid="{00000000-0005-0000-0000-0000C7360000}"/>
    <cellStyle name="20% - Accent5 3 3 3 3 2 4" xfId="28247" xr:uid="{00000000-0005-0000-0000-0000C8360000}"/>
    <cellStyle name="20% - Accent5 3 3 3 3 3" xfId="8462" xr:uid="{00000000-0005-0000-0000-0000C9360000}"/>
    <cellStyle name="20% - Accent5 3 3 3 3 3 2" xfId="19763" xr:uid="{00000000-0005-0000-0000-0000CA360000}"/>
    <cellStyle name="20% - Accent5 3 3 3 3 3 2 2" xfId="42365" xr:uid="{00000000-0005-0000-0000-0000CB360000}"/>
    <cellStyle name="20% - Accent5 3 3 3 3 3 3" xfId="31064" xr:uid="{00000000-0005-0000-0000-0000CC360000}"/>
    <cellStyle name="20% - Accent5 3 3 3 3 4" xfId="14113" xr:uid="{00000000-0005-0000-0000-0000CD360000}"/>
    <cellStyle name="20% - Accent5 3 3 3 3 4 2" xfId="36715" xr:uid="{00000000-0005-0000-0000-0000CE360000}"/>
    <cellStyle name="20% - Accent5 3 3 3 3 5" xfId="25414" xr:uid="{00000000-0005-0000-0000-0000CF360000}"/>
    <cellStyle name="20% - Accent5 3 3 3 4" xfId="4411" xr:uid="{00000000-0005-0000-0000-0000D0360000}"/>
    <cellStyle name="20% - Accent5 3 3 3 4 2" xfId="10061" xr:uid="{00000000-0005-0000-0000-0000D1360000}"/>
    <cellStyle name="20% - Accent5 3 3 3 4 2 2" xfId="21362" xr:uid="{00000000-0005-0000-0000-0000D2360000}"/>
    <cellStyle name="20% - Accent5 3 3 3 4 2 2 2" xfId="43964" xr:uid="{00000000-0005-0000-0000-0000D3360000}"/>
    <cellStyle name="20% - Accent5 3 3 3 4 2 3" xfId="32663" xr:uid="{00000000-0005-0000-0000-0000D4360000}"/>
    <cellStyle name="20% - Accent5 3 3 3 4 3" xfId="15712" xr:uid="{00000000-0005-0000-0000-0000D5360000}"/>
    <cellStyle name="20% - Accent5 3 3 3 4 3 2" xfId="38314" xr:uid="{00000000-0005-0000-0000-0000D6360000}"/>
    <cellStyle name="20% - Accent5 3 3 3 4 4" xfId="27013" xr:uid="{00000000-0005-0000-0000-0000D7360000}"/>
    <cellStyle name="20% - Accent5 3 3 3 5" xfId="7208" xr:uid="{00000000-0005-0000-0000-0000D8360000}"/>
    <cellStyle name="20% - Accent5 3 3 3 5 2" xfId="18509" xr:uid="{00000000-0005-0000-0000-0000D9360000}"/>
    <cellStyle name="20% - Accent5 3 3 3 5 2 2" xfId="41111" xr:uid="{00000000-0005-0000-0000-0000DA360000}"/>
    <cellStyle name="20% - Accent5 3 3 3 5 3" xfId="29810" xr:uid="{00000000-0005-0000-0000-0000DB360000}"/>
    <cellStyle name="20% - Accent5 3 3 3 6" xfId="12859" xr:uid="{00000000-0005-0000-0000-0000DC360000}"/>
    <cellStyle name="20% - Accent5 3 3 3 6 2" xfId="35461" xr:uid="{00000000-0005-0000-0000-0000DD360000}"/>
    <cellStyle name="20% - Accent5 3 3 3 7" xfId="24160" xr:uid="{00000000-0005-0000-0000-0000DE360000}"/>
    <cellStyle name="20% - Accent5 3 3 4" xfId="920" xr:uid="{00000000-0005-0000-0000-0000DF360000}"/>
    <cellStyle name="20% - Accent5 3 3 4 2" xfId="2990" xr:uid="{00000000-0005-0000-0000-0000E0360000}"/>
    <cellStyle name="20% - Accent5 3 3 4 2 2" xfId="5962" xr:uid="{00000000-0005-0000-0000-0000E1360000}"/>
    <cellStyle name="20% - Accent5 3 3 4 2 2 2" xfId="11612" xr:uid="{00000000-0005-0000-0000-0000E2360000}"/>
    <cellStyle name="20% - Accent5 3 3 4 2 2 2 2" xfId="22913" xr:uid="{00000000-0005-0000-0000-0000E3360000}"/>
    <cellStyle name="20% - Accent5 3 3 4 2 2 2 2 2" xfId="45515" xr:uid="{00000000-0005-0000-0000-0000E4360000}"/>
    <cellStyle name="20% - Accent5 3 3 4 2 2 2 3" xfId="34214" xr:uid="{00000000-0005-0000-0000-0000E5360000}"/>
    <cellStyle name="20% - Accent5 3 3 4 2 2 3" xfId="17263" xr:uid="{00000000-0005-0000-0000-0000E6360000}"/>
    <cellStyle name="20% - Accent5 3 3 4 2 2 3 2" xfId="39865" xr:uid="{00000000-0005-0000-0000-0000E7360000}"/>
    <cellStyle name="20% - Accent5 3 3 4 2 2 4" xfId="28564" xr:uid="{00000000-0005-0000-0000-0000E8360000}"/>
    <cellStyle name="20% - Accent5 3 3 4 2 3" xfId="8780" xr:uid="{00000000-0005-0000-0000-0000E9360000}"/>
    <cellStyle name="20% - Accent5 3 3 4 2 3 2" xfId="20081" xr:uid="{00000000-0005-0000-0000-0000EA360000}"/>
    <cellStyle name="20% - Accent5 3 3 4 2 3 2 2" xfId="42683" xr:uid="{00000000-0005-0000-0000-0000EB360000}"/>
    <cellStyle name="20% - Accent5 3 3 4 2 3 3" xfId="31382" xr:uid="{00000000-0005-0000-0000-0000EC360000}"/>
    <cellStyle name="20% - Accent5 3 3 4 2 4" xfId="14431" xr:uid="{00000000-0005-0000-0000-0000ED360000}"/>
    <cellStyle name="20% - Accent5 3 3 4 2 4 2" xfId="37033" xr:uid="{00000000-0005-0000-0000-0000EE360000}"/>
    <cellStyle name="20% - Accent5 3 3 4 2 5" xfId="25732" xr:uid="{00000000-0005-0000-0000-0000EF360000}"/>
    <cellStyle name="20% - Accent5 3 3 4 3" xfId="4728" xr:uid="{00000000-0005-0000-0000-0000F0360000}"/>
    <cellStyle name="20% - Accent5 3 3 4 3 2" xfId="10378" xr:uid="{00000000-0005-0000-0000-0000F1360000}"/>
    <cellStyle name="20% - Accent5 3 3 4 3 2 2" xfId="21679" xr:uid="{00000000-0005-0000-0000-0000F2360000}"/>
    <cellStyle name="20% - Accent5 3 3 4 3 2 2 2" xfId="44281" xr:uid="{00000000-0005-0000-0000-0000F3360000}"/>
    <cellStyle name="20% - Accent5 3 3 4 3 2 3" xfId="32980" xr:uid="{00000000-0005-0000-0000-0000F4360000}"/>
    <cellStyle name="20% - Accent5 3 3 4 3 3" xfId="16029" xr:uid="{00000000-0005-0000-0000-0000F5360000}"/>
    <cellStyle name="20% - Accent5 3 3 4 3 3 2" xfId="38631" xr:uid="{00000000-0005-0000-0000-0000F6360000}"/>
    <cellStyle name="20% - Accent5 3 3 4 3 4" xfId="27330" xr:uid="{00000000-0005-0000-0000-0000F7360000}"/>
    <cellStyle name="20% - Accent5 3 3 4 4" xfId="6915" xr:uid="{00000000-0005-0000-0000-0000F8360000}"/>
    <cellStyle name="20% - Accent5 3 3 4 4 2" xfId="18216" xr:uid="{00000000-0005-0000-0000-0000F9360000}"/>
    <cellStyle name="20% - Accent5 3 3 4 4 2 2" xfId="40818" xr:uid="{00000000-0005-0000-0000-0000FA360000}"/>
    <cellStyle name="20% - Accent5 3 3 4 4 3" xfId="29517" xr:uid="{00000000-0005-0000-0000-0000FB360000}"/>
    <cellStyle name="20% - Accent5 3 3 4 5" xfId="12566" xr:uid="{00000000-0005-0000-0000-0000FC360000}"/>
    <cellStyle name="20% - Accent5 3 3 4 5 2" xfId="35168" xr:uid="{00000000-0005-0000-0000-0000FD360000}"/>
    <cellStyle name="20% - Accent5 3 3 4 6" xfId="23867" xr:uid="{00000000-0005-0000-0000-0000FE360000}"/>
    <cellStyle name="20% - Accent5 3 3 5" xfId="1727" xr:uid="{00000000-0005-0000-0000-0000FF360000}"/>
    <cellStyle name="20% - Accent5 3 3 5 2" xfId="3658" xr:uid="{00000000-0005-0000-0000-000000370000}"/>
    <cellStyle name="20% - Accent5 3 3 5 2 2" xfId="9370" xr:uid="{00000000-0005-0000-0000-000001370000}"/>
    <cellStyle name="20% - Accent5 3 3 5 2 2 2" xfId="20671" xr:uid="{00000000-0005-0000-0000-000002370000}"/>
    <cellStyle name="20% - Accent5 3 3 5 2 2 2 2" xfId="43273" xr:uid="{00000000-0005-0000-0000-000003370000}"/>
    <cellStyle name="20% - Accent5 3 3 5 2 2 3" xfId="31972" xr:uid="{00000000-0005-0000-0000-000004370000}"/>
    <cellStyle name="20% - Accent5 3 3 5 2 3" xfId="15021" xr:uid="{00000000-0005-0000-0000-000005370000}"/>
    <cellStyle name="20% - Accent5 3 3 5 2 3 2" xfId="37623" xr:uid="{00000000-0005-0000-0000-000006370000}"/>
    <cellStyle name="20% - Accent5 3 3 5 2 4" xfId="26322" xr:uid="{00000000-0005-0000-0000-000007370000}"/>
    <cellStyle name="20% - Accent5 3 3 5 3" xfId="5338" xr:uid="{00000000-0005-0000-0000-000008370000}"/>
    <cellStyle name="20% - Accent5 3 3 5 3 2" xfId="10988" xr:uid="{00000000-0005-0000-0000-000009370000}"/>
    <cellStyle name="20% - Accent5 3 3 5 3 2 2" xfId="22289" xr:uid="{00000000-0005-0000-0000-00000A370000}"/>
    <cellStyle name="20% - Accent5 3 3 5 3 2 2 2" xfId="44891" xr:uid="{00000000-0005-0000-0000-00000B370000}"/>
    <cellStyle name="20% - Accent5 3 3 5 3 2 3" xfId="33590" xr:uid="{00000000-0005-0000-0000-00000C370000}"/>
    <cellStyle name="20% - Accent5 3 3 5 3 3" xfId="16639" xr:uid="{00000000-0005-0000-0000-00000D370000}"/>
    <cellStyle name="20% - Accent5 3 3 5 3 3 2" xfId="39241" xr:uid="{00000000-0005-0000-0000-00000E370000}"/>
    <cellStyle name="20% - Accent5 3 3 5 3 4" xfId="27940" xr:uid="{00000000-0005-0000-0000-00000F370000}"/>
    <cellStyle name="20% - Accent5 3 3 5 4" xfId="7583" xr:uid="{00000000-0005-0000-0000-000010370000}"/>
    <cellStyle name="20% - Accent5 3 3 5 4 2" xfId="18884" xr:uid="{00000000-0005-0000-0000-000011370000}"/>
    <cellStyle name="20% - Accent5 3 3 5 4 2 2" xfId="41486" xr:uid="{00000000-0005-0000-0000-000012370000}"/>
    <cellStyle name="20% - Accent5 3 3 5 4 3" xfId="30185" xr:uid="{00000000-0005-0000-0000-000013370000}"/>
    <cellStyle name="20% - Accent5 3 3 5 5" xfId="13234" xr:uid="{00000000-0005-0000-0000-000014370000}"/>
    <cellStyle name="20% - Accent5 3 3 5 5 2" xfId="35836" xr:uid="{00000000-0005-0000-0000-000015370000}"/>
    <cellStyle name="20% - Accent5 3 3 5 6" xfId="24535" xr:uid="{00000000-0005-0000-0000-000016370000}"/>
    <cellStyle name="20% - Accent5 3 3 6" xfId="2317" xr:uid="{00000000-0005-0000-0000-000017370000}"/>
    <cellStyle name="20% - Accent5 3 3 6 2" xfId="8153" xr:uid="{00000000-0005-0000-0000-000018370000}"/>
    <cellStyle name="20% - Accent5 3 3 6 2 2" xfId="19454" xr:uid="{00000000-0005-0000-0000-000019370000}"/>
    <cellStyle name="20% - Accent5 3 3 6 2 2 2" xfId="42056" xr:uid="{00000000-0005-0000-0000-00001A370000}"/>
    <cellStyle name="20% - Accent5 3 3 6 2 3" xfId="30755" xr:uid="{00000000-0005-0000-0000-00001B370000}"/>
    <cellStyle name="20% - Accent5 3 3 6 3" xfId="13804" xr:uid="{00000000-0005-0000-0000-00001C370000}"/>
    <cellStyle name="20% - Accent5 3 3 6 3 2" xfId="36406" xr:uid="{00000000-0005-0000-0000-00001D370000}"/>
    <cellStyle name="20% - Accent5 3 3 6 4" xfId="25105" xr:uid="{00000000-0005-0000-0000-00001E370000}"/>
    <cellStyle name="20% - Accent5 3 3 7" xfId="4104" xr:uid="{00000000-0005-0000-0000-00001F370000}"/>
    <cellStyle name="20% - Accent5 3 3 7 2" xfId="9754" xr:uid="{00000000-0005-0000-0000-000020370000}"/>
    <cellStyle name="20% - Accent5 3 3 7 2 2" xfId="21055" xr:uid="{00000000-0005-0000-0000-000021370000}"/>
    <cellStyle name="20% - Accent5 3 3 7 2 2 2" xfId="43657" xr:uid="{00000000-0005-0000-0000-000022370000}"/>
    <cellStyle name="20% - Accent5 3 3 7 2 3" xfId="32356" xr:uid="{00000000-0005-0000-0000-000023370000}"/>
    <cellStyle name="20% - Accent5 3 3 7 3" xfId="15405" xr:uid="{00000000-0005-0000-0000-000024370000}"/>
    <cellStyle name="20% - Accent5 3 3 7 3 2" xfId="38007" xr:uid="{00000000-0005-0000-0000-000025370000}"/>
    <cellStyle name="20% - Accent5 3 3 7 4" xfId="26706" xr:uid="{00000000-0005-0000-0000-000026370000}"/>
    <cellStyle name="20% - Accent5 3 3 8" xfId="6555" xr:uid="{00000000-0005-0000-0000-000027370000}"/>
    <cellStyle name="20% - Accent5 3 3 8 2" xfId="17856" xr:uid="{00000000-0005-0000-0000-000028370000}"/>
    <cellStyle name="20% - Accent5 3 3 8 2 2" xfId="40458" xr:uid="{00000000-0005-0000-0000-000029370000}"/>
    <cellStyle name="20% - Accent5 3 3 8 3" xfId="29157" xr:uid="{00000000-0005-0000-0000-00002A370000}"/>
    <cellStyle name="20% - Accent5 3 3 9" xfId="12206" xr:uid="{00000000-0005-0000-0000-00002B370000}"/>
    <cellStyle name="20% - Accent5 3 3 9 2" xfId="34808" xr:uid="{00000000-0005-0000-0000-00002C370000}"/>
    <cellStyle name="20% - Accent5 3 4" xfId="556" xr:uid="{00000000-0005-0000-0000-00002D370000}"/>
    <cellStyle name="20% - Accent5 3 4 2" xfId="1133" xr:uid="{00000000-0005-0000-0000-00002E370000}"/>
    <cellStyle name="20% - Accent5 3 4 2 2" xfId="1732" xr:uid="{00000000-0005-0000-0000-00002F370000}"/>
    <cellStyle name="20% - Accent5 3 4 2 2 2" xfId="3200" xr:uid="{00000000-0005-0000-0000-000030370000}"/>
    <cellStyle name="20% - Accent5 3 4 2 2 2 2" xfId="6172" xr:uid="{00000000-0005-0000-0000-000031370000}"/>
    <cellStyle name="20% - Accent5 3 4 2 2 2 2 2" xfId="11822" xr:uid="{00000000-0005-0000-0000-000032370000}"/>
    <cellStyle name="20% - Accent5 3 4 2 2 2 2 2 2" xfId="23123" xr:uid="{00000000-0005-0000-0000-000033370000}"/>
    <cellStyle name="20% - Accent5 3 4 2 2 2 2 2 2 2" xfId="45725" xr:uid="{00000000-0005-0000-0000-000034370000}"/>
    <cellStyle name="20% - Accent5 3 4 2 2 2 2 2 3" xfId="34424" xr:uid="{00000000-0005-0000-0000-000035370000}"/>
    <cellStyle name="20% - Accent5 3 4 2 2 2 2 3" xfId="17473" xr:uid="{00000000-0005-0000-0000-000036370000}"/>
    <cellStyle name="20% - Accent5 3 4 2 2 2 2 3 2" xfId="40075" xr:uid="{00000000-0005-0000-0000-000037370000}"/>
    <cellStyle name="20% - Accent5 3 4 2 2 2 2 4" xfId="28774" xr:uid="{00000000-0005-0000-0000-000038370000}"/>
    <cellStyle name="20% - Accent5 3 4 2 2 2 3" xfId="8990" xr:uid="{00000000-0005-0000-0000-000039370000}"/>
    <cellStyle name="20% - Accent5 3 4 2 2 2 3 2" xfId="20291" xr:uid="{00000000-0005-0000-0000-00003A370000}"/>
    <cellStyle name="20% - Accent5 3 4 2 2 2 3 2 2" xfId="42893" xr:uid="{00000000-0005-0000-0000-00003B370000}"/>
    <cellStyle name="20% - Accent5 3 4 2 2 2 3 3" xfId="31592" xr:uid="{00000000-0005-0000-0000-00003C370000}"/>
    <cellStyle name="20% - Accent5 3 4 2 2 2 4" xfId="14641" xr:uid="{00000000-0005-0000-0000-00003D370000}"/>
    <cellStyle name="20% - Accent5 3 4 2 2 2 4 2" xfId="37243" xr:uid="{00000000-0005-0000-0000-00003E370000}"/>
    <cellStyle name="20% - Accent5 3 4 2 2 2 5" xfId="25942" xr:uid="{00000000-0005-0000-0000-00003F370000}"/>
    <cellStyle name="20% - Accent5 3 4 2 2 3" xfId="4938" xr:uid="{00000000-0005-0000-0000-000040370000}"/>
    <cellStyle name="20% - Accent5 3 4 2 2 3 2" xfId="10588" xr:uid="{00000000-0005-0000-0000-000041370000}"/>
    <cellStyle name="20% - Accent5 3 4 2 2 3 2 2" xfId="21889" xr:uid="{00000000-0005-0000-0000-000042370000}"/>
    <cellStyle name="20% - Accent5 3 4 2 2 3 2 2 2" xfId="44491" xr:uid="{00000000-0005-0000-0000-000043370000}"/>
    <cellStyle name="20% - Accent5 3 4 2 2 3 2 3" xfId="33190" xr:uid="{00000000-0005-0000-0000-000044370000}"/>
    <cellStyle name="20% - Accent5 3 4 2 2 3 3" xfId="16239" xr:uid="{00000000-0005-0000-0000-000045370000}"/>
    <cellStyle name="20% - Accent5 3 4 2 2 3 3 2" xfId="38841" xr:uid="{00000000-0005-0000-0000-000046370000}"/>
    <cellStyle name="20% - Accent5 3 4 2 2 3 4" xfId="27540" xr:uid="{00000000-0005-0000-0000-000047370000}"/>
    <cellStyle name="20% - Accent5 3 4 2 2 4" xfId="7588" xr:uid="{00000000-0005-0000-0000-000048370000}"/>
    <cellStyle name="20% - Accent5 3 4 2 2 4 2" xfId="18889" xr:uid="{00000000-0005-0000-0000-000049370000}"/>
    <cellStyle name="20% - Accent5 3 4 2 2 4 2 2" xfId="41491" xr:uid="{00000000-0005-0000-0000-00004A370000}"/>
    <cellStyle name="20% - Accent5 3 4 2 2 4 3" xfId="30190" xr:uid="{00000000-0005-0000-0000-00004B370000}"/>
    <cellStyle name="20% - Accent5 3 4 2 2 5" xfId="13239" xr:uid="{00000000-0005-0000-0000-00004C370000}"/>
    <cellStyle name="20% - Accent5 3 4 2 2 5 2" xfId="35841" xr:uid="{00000000-0005-0000-0000-00004D370000}"/>
    <cellStyle name="20% - Accent5 3 4 2 2 6" xfId="24540" xr:uid="{00000000-0005-0000-0000-00004E370000}"/>
    <cellStyle name="20% - Accent5 3 4 2 3" xfId="2529" xr:uid="{00000000-0005-0000-0000-00004F370000}"/>
    <cellStyle name="20% - Accent5 3 4 2 3 2" xfId="5548" xr:uid="{00000000-0005-0000-0000-000050370000}"/>
    <cellStyle name="20% - Accent5 3 4 2 3 2 2" xfId="11198" xr:uid="{00000000-0005-0000-0000-000051370000}"/>
    <cellStyle name="20% - Accent5 3 4 2 3 2 2 2" xfId="22499" xr:uid="{00000000-0005-0000-0000-000052370000}"/>
    <cellStyle name="20% - Accent5 3 4 2 3 2 2 2 2" xfId="45101" xr:uid="{00000000-0005-0000-0000-000053370000}"/>
    <cellStyle name="20% - Accent5 3 4 2 3 2 2 3" xfId="33800" xr:uid="{00000000-0005-0000-0000-000054370000}"/>
    <cellStyle name="20% - Accent5 3 4 2 3 2 3" xfId="16849" xr:uid="{00000000-0005-0000-0000-000055370000}"/>
    <cellStyle name="20% - Accent5 3 4 2 3 2 3 2" xfId="39451" xr:uid="{00000000-0005-0000-0000-000056370000}"/>
    <cellStyle name="20% - Accent5 3 4 2 3 2 4" xfId="28150" xr:uid="{00000000-0005-0000-0000-000057370000}"/>
    <cellStyle name="20% - Accent5 3 4 2 3 3" xfId="8365" xr:uid="{00000000-0005-0000-0000-000058370000}"/>
    <cellStyle name="20% - Accent5 3 4 2 3 3 2" xfId="19666" xr:uid="{00000000-0005-0000-0000-000059370000}"/>
    <cellStyle name="20% - Accent5 3 4 2 3 3 2 2" xfId="42268" xr:uid="{00000000-0005-0000-0000-00005A370000}"/>
    <cellStyle name="20% - Accent5 3 4 2 3 3 3" xfId="30967" xr:uid="{00000000-0005-0000-0000-00005B370000}"/>
    <cellStyle name="20% - Accent5 3 4 2 3 4" xfId="14016" xr:uid="{00000000-0005-0000-0000-00005C370000}"/>
    <cellStyle name="20% - Accent5 3 4 2 3 4 2" xfId="36618" xr:uid="{00000000-0005-0000-0000-00005D370000}"/>
    <cellStyle name="20% - Accent5 3 4 2 3 5" xfId="25317" xr:uid="{00000000-0005-0000-0000-00005E370000}"/>
    <cellStyle name="20% - Accent5 3 4 2 4" xfId="4314" xr:uid="{00000000-0005-0000-0000-00005F370000}"/>
    <cellStyle name="20% - Accent5 3 4 2 4 2" xfId="9964" xr:uid="{00000000-0005-0000-0000-000060370000}"/>
    <cellStyle name="20% - Accent5 3 4 2 4 2 2" xfId="21265" xr:uid="{00000000-0005-0000-0000-000061370000}"/>
    <cellStyle name="20% - Accent5 3 4 2 4 2 2 2" xfId="43867" xr:uid="{00000000-0005-0000-0000-000062370000}"/>
    <cellStyle name="20% - Accent5 3 4 2 4 2 3" xfId="32566" xr:uid="{00000000-0005-0000-0000-000063370000}"/>
    <cellStyle name="20% - Accent5 3 4 2 4 3" xfId="15615" xr:uid="{00000000-0005-0000-0000-000064370000}"/>
    <cellStyle name="20% - Accent5 3 4 2 4 3 2" xfId="38217" xr:uid="{00000000-0005-0000-0000-000065370000}"/>
    <cellStyle name="20% - Accent5 3 4 2 4 4" xfId="26916" xr:uid="{00000000-0005-0000-0000-000066370000}"/>
    <cellStyle name="20% - Accent5 3 4 2 5" xfId="7112" xr:uid="{00000000-0005-0000-0000-000067370000}"/>
    <cellStyle name="20% - Accent5 3 4 2 5 2" xfId="18413" xr:uid="{00000000-0005-0000-0000-000068370000}"/>
    <cellStyle name="20% - Accent5 3 4 2 5 2 2" xfId="41015" xr:uid="{00000000-0005-0000-0000-000069370000}"/>
    <cellStyle name="20% - Accent5 3 4 2 5 3" xfId="29714" xr:uid="{00000000-0005-0000-0000-00006A370000}"/>
    <cellStyle name="20% - Accent5 3 4 2 6" xfId="12763" xr:uid="{00000000-0005-0000-0000-00006B370000}"/>
    <cellStyle name="20% - Accent5 3 4 2 6 2" xfId="35365" xr:uid="{00000000-0005-0000-0000-00006C370000}"/>
    <cellStyle name="20% - Accent5 3 4 2 7" xfId="24064" xr:uid="{00000000-0005-0000-0000-00006D370000}"/>
    <cellStyle name="20% - Accent5 3 4 3" xfId="806" xr:uid="{00000000-0005-0000-0000-00006E370000}"/>
    <cellStyle name="20% - Accent5 3 4 3 2" xfId="2894" xr:uid="{00000000-0005-0000-0000-00006F370000}"/>
    <cellStyle name="20% - Accent5 3 4 3 2 2" xfId="5866" xr:uid="{00000000-0005-0000-0000-000070370000}"/>
    <cellStyle name="20% - Accent5 3 4 3 2 2 2" xfId="11516" xr:uid="{00000000-0005-0000-0000-000071370000}"/>
    <cellStyle name="20% - Accent5 3 4 3 2 2 2 2" xfId="22817" xr:uid="{00000000-0005-0000-0000-000072370000}"/>
    <cellStyle name="20% - Accent5 3 4 3 2 2 2 2 2" xfId="45419" xr:uid="{00000000-0005-0000-0000-000073370000}"/>
    <cellStyle name="20% - Accent5 3 4 3 2 2 2 3" xfId="34118" xr:uid="{00000000-0005-0000-0000-000074370000}"/>
    <cellStyle name="20% - Accent5 3 4 3 2 2 3" xfId="17167" xr:uid="{00000000-0005-0000-0000-000075370000}"/>
    <cellStyle name="20% - Accent5 3 4 3 2 2 3 2" xfId="39769" xr:uid="{00000000-0005-0000-0000-000076370000}"/>
    <cellStyle name="20% - Accent5 3 4 3 2 2 4" xfId="28468" xr:uid="{00000000-0005-0000-0000-000077370000}"/>
    <cellStyle name="20% - Accent5 3 4 3 2 3" xfId="8684" xr:uid="{00000000-0005-0000-0000-000078370000}"/>
    <cellStyle name="20% - Accent5 3 4 3 2 3 2" xfId="19985" xr:uid="{00000000-0005-0000-0000-000079370000}"/>
    <cellStyle name="20% - Accent5 3 4 3 2 3 2 2" xfId="42587" xr:uid="{00000000-0005-0000-0000-00007A370000}"/>
    <cellStyle name="20% - Accent5 3 4 3 2 3 3" xfId="31286" xr:uid="{00000000-0005-0000-0000-00007B370000}"/>
    <cellStyle name="20% - Accent5 3 4 3 2 4" xfId="14335" xr:uid="{00000000-0005-0000-0000-00007C370000}"/>
    <cellStyle name="20% - Accent5 3 4 3 2 4 2" xfId="36937" xr:uid="{00000000-0005-0000-0000-00007D370000}"/>
    <cellStyle name="20% - Accent5 3 4 3 2 5" xfId="25636" xr:uid="{00000000-0005-0000-0000-00007E370000}"/>
    <cellStyle name="20% - Accent5 3 4 3 3" xfId="4632" xr:uid="{00000000-0005-0000-0000-00007F370000}"/>
    <cellStyle name="20% - Accent5 3 4 3 3 2" xfId="10282" xr:uid="{00000000-0005-0000-0000-000080370000}"/>
    <cellStyle name="20% - Accent5 3 4 3 3 2 2" xfId="21583" xr:uid="{00000000-0005-0000-0000-000081370000}"/>
    <cellStyle name="20% - Accent5 3 4 3 3 2 2 2" xfId="44185" xr:uid="{00000000-0005-0000-0000-000082370000}"/>
    <cellStyle name="20% - Accent5 3 4 3 3 2 3" xfId="32884" xr:uid="{00000000-0005-0000-0000-000083370000}"/>
    <cellStyle name="20% - Accent5 3 4 3 3 3" xfId="15933" xr:uid="{00000000-0005-0000-0000-000084370000}"/>
    <cellStyle name="20% - Accent5 3 4 3 3 3 2" xfId="38535" xr:uid="{00000000-0005-0000-0000-000085370000}"/>
    <cellStyle name="20% - Accent5 3 4 3 3 4" xfId="27234" xr:uid="{00000000-0005-0000-0000-000086370000}"/>
    <cellStyle name="20% - Accent5 3 4 3 4" xfId="6815" xr:uid="{00000000-0005-0000-0000-000087370000}"/>
    <cellStyle name="20% - Accent5 3 4 3 4 2" xfId="18116" xr:uid="{00000000-0005-0000-0000-000088370000}"/>
    <cellStyle name="20% - Accent5 3 4 3 4 2 2" xfId="40718" xr:uid="{00000000-0005-0000-0000-000089370000}"/>
    <cellStyle name="20% - Accent5 3 4 3 4 3" xfId="29417" xr:uid="{00000000-0005-0000-0000-00008A370000}"/>
    <cellStyle name="20% - Accent5 3 4 3 5" xfId="12466" xr:uid="{00000000-0005-0000-0000-00008B370000}"/>
    <cellStyle name="20% - Accent5 3 4 3 5 2" xfId="35068" xr:uid="{00000000-0005-0000-0000-00008C370000}"/>
    <cellStyle name="20% - Accent5 3 4 3 6" xfId="23767" xr:uid="{00000000-0005-0000-0000-00008D370000}"/>
    <cellStyle name="20% - Accent5 3 4 4" xfId="1731" xr:uid="{00000000-0005-0000-0000-00008E370000}"/>
    <cellStyle name="20% - Accent5 3 4 4 2" xfId="3661" xr:uid="{00000000-0005-0000-0000-00008F370000}"/>
    <cellStyle name="20% - Accent5 3 4 4 2 2" xfId="9372" xr:uid="{00000000-0005-0000-0000-000090370000}"/>
    <cellStyle name="20% - Accent5 3 4 4 2 2 2" xfId="20673" xr:uid="{00000000-0005-0000-0000-000091370000}"/>
    <cellStyle name="20% - Accent5 3 4 4 2 2 2 2" xfId="43275" xr:uid="{00000000-0005-0000-0000-000092370000}"/>
    <cellStyle name="20% - Accent5 3 4 4 2 2 3" xfId="31974" xr:uid="{00000000-0005-0000-0000-000093370000}"/>
    <cellStyle name="20% - Accent5 3 4 4 2 3" xfId="15023" xr:uid="{00000000-0005-0000-0000-000094370000}"/>
    <cellStyle name="20% - Accent5 3 4 4 2 3 2" xfId="37625" xr:uid="{00000000-0005-0000-0000-000095370000}"/>
    <cellStyle name="20% - Accent5 3 4 4 2 4" xfId="26324" xr:uid="{00000000-0005-0000-0000-000096370000}"/>
    <cellStyle name="20% - Accent5 3 4 4 3" xfId="5242" xr:uid="{00000000-0005-0000-0000-000097370000}"/>
    <cellStyle name="20% - Accent5 3 4 4 3 2" xfId="10892" xr:uid="{00000000-0005-0000-0000-000098370000}"/>
    <cellStyle name="20% - Accent5 3 4 4 3 2 2" xfId="22193" xr:uid="{00000000-0005-0000-0000-000099370000}"/>
    <cellStyle name="20% - Accent5 3 4 4 3 2 2 2" xfId="44795" xr:uid="{00000000-0005-0000-0000-00009A370000}"/>
    <cellStyle name="20% - Accent5 3 4 4 3 2 3" xfId="33494" xr:uid="{00000000-0005-0000-0000-00009B370000}"/>
    <cellStyle name="20% - Accent5 3 4 4 3 3" xfId="16543" xr:uid="{00000000-0005-0000-0000-00009C370000}"/>
    <cellStyle name="20% - Accent5 3 4 4 3 3 2" xfId="39145" xr:uid="{00000000-0005-0000-0000-00009D370000}"/>
    <cellStyle name="20% - Accent5 3 4 4 3 4" xfId="27844" xr:uid="{00000000-0005-0000-0000-00009E370000}"/>
    <cellStyle name="20% - Accent5 3 4 4 4" xfId="7587" xr:uid="{00000000-0005-0000-0000-00009F370000}"/>
    <cellStyle name="20% - Accent5 3 4 4 4 2" xfId="18888" xr:uid="{00000000-0005-0000-0000-0000A0370000}"/>
    <cellStyle name="20% - Accent5 3 4 4 4 2 2" xfId="41490" xr:uid="{00000000-0005-0000-0000-0000A1370000}"/>
    <cellStyle name="20% - Accent5 3 4 4 4 3" xfId="30189" xr:uid="{00000000-0005-0000-0000-0000A2370000}"/>
    <cellStyle name="20% - Accent5 3 4 4 5" xfId="13238" xr:uid="{00000000-0005-0000-0000-0000A3370000}"/>
    <cellStyle name="20% - Accent5 3 4 4 5 2" xfId="35840" xr:uid="{00000000-0005-0000-0000-0000A4370000}"/>
    <cellStyle name="20% - Accent5 3 4 4 6" xfId="24539" xr:uid="{00000000-0005-0000-0000-0000A5370000}"/>
    <cellStyle name="20% - Accent5 3 4 5" xfId="2214" xr:uid="{00000000-0005-0000-0000-0000A6370000}"/>
    <cellStyle name="20% - Accent5 3 4 5 2" xfId="8056" xr:uid="{00000000-0005-0000-0000-0000A7370000}"/>
    <cellStyle name="20% - Accent5 3 4 5 2 2" xfId="19357" xr:uid="{00000000-0005-0000-0000-0000A8370000}"/>
    <cellStyle name="20% - Accent5 3 4 5 2 2 2" xfId="41959" xr:uid="{00000000-0005-0000-0000-0000A9370000}"/>
    <cellStyle name="20% - Accent5 3 4 5 2 3" xfId="30658" xr:uid="{00000000-0005-0000-0000-0000AA370000}"/>
    <cellStyle name="20% - Accent5 3 4 5 3" xfId="13707" xr:uid="{00000000-0005-0000-0000-0000AB370000}"/>
    <cellStyle name="20% - Accent5 3 4 5 3 2" xfId="36309" xr:uid="{00000000-0005-0000-0000-0000AC370000}"/>
    <cellStyle name="20% - Accent5 3 4 5 4" xfId="25008" xr:uid="{00000000-0005-0000-0000-0000AD370000}"/>
    <cellStyle name="20% - Accent5 3 4 6" xfId="4008" xr:uid="{00000000-0005-0000-0000-0000AE370000}"/>
    <cellStyle name="20% - Accent5 3 4 6 2" xfId="9658" xr:uid="{00000000-0005-0000-0000-0000AF370000}"/>
    <cellStyle name="20% - Accent5 3 4 6 2 2" xfId="20959" xr:uid="{00000000-0005-0000-0000-0000B0370000}"/>
    <cellStyle name="20% - Accent5 3 4 6 2 2 2" xfId="43561" xr:uid="{00000000-0005-0000-0000-0000B1370000}"/>
    <cellStyle name="20% - Accent5 3 4 6 2 3" xfId="32260" xr:uid="{00000000-0005-0000-0000-0000B2370000}"/>
    <cellStyle name="20% - Accent5 3 4 6 3" xfId="15309" xr:uid="{00000000-0005-0000-0000-0000B3370000}"/>
    <cellStyle name="20% - Accent5 3 4 6 3 2" xfId="37911" xr:uid="{00000000-0005-0000-0000-0000B4370000}"/>
    <cellStyle name="20% - Accent5 3 4 6 4" xfId="26610" xr:uid="{00000000-0005-0000-0000-0000B5370000}"/>
    <cellStyle name="20% - Accent5 3 4 7" xfId="6626" xr:uid="{00000000-0005-0000-0000-0000B6370000}"/>
    <cellStyle name="20% - Accent5 3 4 7 2" xfId="17927" xr:uid="{00000000-0005-0000-0000-0000B7370000}"/>
    <cellStyle name="20% - Accent5 3 4 7 2 2" xfId="40529" xr:uid="{00000000-0005-0000-0000-0000B8370000}"/>
    <cellStyle name="20% - Accent5 3 4 7 3" xfId="29228" xr:uid="{00000000-0005-0000-0000-0000B9370000}"/>
    <cellStyle name="20% - Accent5 3 4 8" xfId="12277" xr:uid="{00000000-0005-0000-0000-0000BA370000}"/>
    <cellStyle name="20% - Accent5 3 4 8 2" xfId="34879" xr:uid="{00000000-0005-0000-0000-0000BB370000}"/>
    <cellStyle name="20% - Accent5 3 4 9" xfId="23578" xr:uid="{00000000-0005-0000-0000-0000BC370000}"/>
    <cellStyle name="20% - Accent5 3 5" xfId="450" xr:uid="{00000000-0005-0000-0000-0000BD370000}"/>
    <cellStyle name="20% - Accent5 3 6" xfId="1479" xr:uid="{00000000-0005-0000-0000-0000BE370000}"/>
    <cellStyle name="20% - Accent5 3 7" xfId="6459" xr:uid="{00000000-0005-0000-0000-0000BF370000}"/>
    <cellStyle name="20% - Accent5 3 7 2" xfId="17760" xr:uid="{00000000-0005-0000-0000-0000C0370000}"/>
    <cellStyle name="20% - Accent5 3 7 2 2" xfId="40362" xr:uid="{00000000-0005-0000-0000-0000C1370000}"/>
    <cellStyle name="20% - Accent5 3 7 3" xfId="29061" xr:uid="{00000000-0005-0000-0000-0000C2370000}"/>
    <cellStyle name="20% - Accent5 3 8" xfId="12110" xr:uid="{00000000-0005-0000-0000-0000C3370000}"/>
    <cellStyle name="20% - Accent5 3 8 2" xfId="34712" xr:uid="{00000000-0005-0000-0000-0000C4370000}"/>
    <cellStyle name="20% - Accent5 3 9" xfId="23411" xr:uid="{00000000-0005-0000-0000-0000C5370000}"/>
    <cellStyle name="20% - Accent5 4" xfId="241" xr:uid="{00000000-0005-0000-0000-0000C6370000}"/>
    <cellStyle name="20% - Accent5 4 10" xfId="3994" xr:uid="{00000000-0005-0000-0000-0000C7370000}"/>
    <cellStyle name="20% - Accent5 4 10 2" xfId="9644" xr:uid="{00000000-0005-0000-0000-0000C8370000}"/>
    <cellStyle name="20% - Accent5 4 10 2 2" xfId="20945" xr:uid="{00000000-0005-0000-0000-0000C9370000}"/>
    <cellStyle name="20% - Accent5 4 10 2 2 2" xfId="43547" xr:uid="{00000000-0005-0000-0000-0000CA370000}"/>
    <cellStyle name="20% - Accent5 4 10 2 3" xfId="32246" xr:uid="{00000000-0005-0000-0000-0000CB370000}"/>
    <cellStyle name="20% - Accent5 4 10 3" xfId="15295" xr:uid="{00000000-0005-0000-0000-0000CC370000}"/>
    <cellStyle name="20% - Accent5 4 10 3 2" xfId="37897" xr:uid="{00000000-0005-0000-0000-0000CD370000}"/>
    <cellStyle name="20% - Accent5 4 10 4" xfId="26596" xr:uid="{00000000-0005-0000-0000-0000CE370000}"/>
    <cellStyle name="20% - Accent5 4 11" xfId="6473" xr:uid="{00000000-0005-0000-0000-0000CF370000}"/>
    <cellStyle name="20% - Accent5 4 11 2" xfId="17774" xr:uid="{00000000-0005-0000-0000-0000D0370000}"/>
    <cellStyle name="20% - Accent5 4 11 2 2" xfId="40376" xr:uid="{00000000-0005-0000-0000-0000D1370000}"/>
    <cellStyle name="20% - Accent5 4 11 3" xfId="29075" xr:uid="{00000000-0005-0000-0000-0000D2370000}"/>
    <cellStyle name="20% - Accent5 4 12" xfId="12124" xr:uid="{00000000-0005-0000-0000-0000D3370000}"/>
    <cellStyle name="20% - Accent5 4 12 2" xfId="34726" xr:uid="{00000000-0005-0000-0000-0000D4370000}"/>
    <cellStyle name="20% - Accent5 4 13" xfId="23425" xr:uid="{00000000-0005-0000-0000-0000D5370000}"/>
    <cellStyle name="20% - Accent5 4 2" xfId="364" xr:uid="{00000000-0005-0000-0000-0000D6370000}"/>
    <cellStyle name="20% - Accent5 4 2 10" xfId="23472" xr:uid="{00000000-0005-0000-0000-0000D7370000}"/>
    <cellStyle name="20% - Accent5 4 2 2" xfId="622" xr:uid="{00000000-0005-0000-0000-0000D8370000}"/>
    <cellStyle name="20% - Accent5 4 2 2 2" xfId="1332" xr:uid="{00000000-0005-0000-0000-0000D9370000}"/>
    <cellStyle name="20% - Accent5 4 2 2 2 2" xfId="1736" xr:uid="{00000000-0005-0000-0000-0000DA370000}"/>
    <cellStyle name="20% - Accent5 4 2 2 2 2 2" xfId="3401" xr:uid="{00000000-0005-0000-0000-0000DB370000}"/>
    <cellStyle name="20% - Accent5 4 2 2 2 2 2 2" xfId="6373" xr:uid="{00000000-0005-0000-0000-0000DC370000}"/>
    <cellStyle name="20% - Accent5 4 2 2 2 2 2 2 2" xfId="12023" xr:uid="{00000000-0005-0000-0000-0000DD370000}"/>
    <cellStyle name="20% - Accent5 4 2 2 2 2 2 2 2 2" xfId="23324" xr:uid="{00000000-0005-0000-0000-0000DE370000}"/>
    <cellStyle name="20% - Accent5 4 2 2 2 2 2 2 2 2 2" xfId="45926" xr:uid="{00000000-0005-0000-0000-0000DF370000}"/>
    <cellStyle name="20% - Accent5 4 2 2 2 2 2 2 2 3" xfId="34625" xr:uid="{00000000-0005-0000-0000-0000E0370000}"/>
    <cellStyle name="20% - Accent5 4 2 2 2 2 2 2 3" xfId="17674" xr:uid="{00000000-0005-0000-0000-0000E1370000}"/>
    <cellStyle name="20% - Accent5 4 2 2 2 2 2 2 3 2" xfId="40276" xr:uid="{00000000-0005-0000-0000-0000E2370000}"/>
    <cellStyle name="20% - Accent5 4 2 2 2 2 2 2 4" xfId="28975" xr:uid="{00000000-0005-0000-0000-0000E3370000}"/>
    <cellStyle name="20% - Accent5 4 2 2 2 2 2 3" xfId="9191" xr:uid="{00000000-0005-0000-0000-0000E4370000}"/>
    <cellStyle name="20% - Accent5 4 2 2 2 2 2 3 2" xfId="20492" xr:uid="{00000000-0005-0000-0000-0000E5370000}"/>
    <cellStyle name="20% - Accent5 4 2 2 2 2 2 3 2 2" xfId="43094" xr:uid="{00000000-0005-0000-0000-0000E6370000}"/>
    <cellStyle name="20% - Accent5 4 2 2 2 2 2 3 3" xfId="31793" xr:uid="{00000000-0005-0000-0000-0000E7370000}"/>
    <cellStyle name="20% - Accent5 4 2 2 2 2 2 4" xfId="14842" xr:uid="{00000000-0005-0000-0000-0000E8370000}"/>
    <cellStyle name="20% - Accent5 4 2 2 2 2 2 4 2" xfId="37444" xr:uid="{00000000-0005-0000-0000-0000E9370000}"/>
    <cellStyle name="20% - Accent5 4 2 2 2 2 2 5" xfId="26143" xr:uid="{00000000-0005-0000-0000-0000EA370000}"/>
    <cellStyle name="20% - Accent5 4 2 2 2 2 3" xfId="5139" xr:uid="{00000000-0005-0000-0000-0000EB370000}"/>
    <cellStyle name="20% - Accent5 4 2 2 2 2 3 2" xfId="10789" xr:uid="{00000000-0005-0000-0000-0000EC370000}"/>
    <cellStyle name="20% - Accent5 4 2 2 2 2 3 2 2" xfId="22090" xr:uid="{00000000-0005-0000-0000-0000ED370000}"/>
    <cellStyle name="20% - Accent5 4 2 2 2 2 3 2 2 2" xfId="44692" xr:uid="{00000000-0005-0000-0000-0000EE370000}"/>
    <cellStyle name="20% - Accent5 4 2 2 2 2 3 2 3" xfId="33391" xr:uid="{00000000-0005-0000-0000-0000EF370000}"/>
    <cellStyle name="20% - Accent5 4 2 2 2 2 3 3" xfId="16440" xr:uid="{00000000-0005-0000-0000-0000F0370000}"/>
    <cellStyle name="20% - Accent5 4 2 2 2 2 3 3 2" xfId="39042" xr:uid="{00000000-0005-0000-0000-0000F1370000}"/>
    <cellStyle name="20% - Accent5 4 2 2 2 2 3 4" xfId="27741" xr:uid="{00000000-0005-0000-0000-0000F2370000}"/>
    <cellStyle name="20% - Accent5 4 2 2 2 2 4" xfId="7592" xr:uid="{00000000-0005-0000-0000-0000F3370000}"/>
    <cellStyle name="20% - Accent5 4 2 2 2 2 4 2" xfId="18893" xr:uid="{00000000-0005-0000-0000-0000F4370000}"/>
    <cellStyle name="20% - Accent5 4 2 2 2 2 4 2 2" xfId="41495" xr:uid="{00000000-0005-0000-0000-0000F5370000}"/>
    <cellStyle name="20% - Accent5 4 2 2 2 2 4 3" xfId="30194" xr:uid="{00000000-0005-0000-0000-0000F6370000}"/>
    <cellStyle name="20% - Accent5 4 2 2 2 2 5" xfId="13243" xr:uid="{00000000-0005-0000-0000-0000F7370000}"/>
    <cellStyle name="20% - Accent5 4 2 2 2 2 5 2" xfId="35845" xr:uid="{00000000-0005-0000-0000-0000F8370000}"/>
    <cellStyle name="20% - Accent5 4 2 2 2 2 6" xfId="24544" xr:uid="{00000000-0005-0000-0000-0000F9370000}"/>
    <cellStyle name="20% - Accent5 4 2 2 2 3" xfId="2730" xr:uid="{00000000-0005-0000-0000-0000FA370000}"/>
    <cellStyle name="20% - Accent5 4 2 2 2 3 2" xfId="5749" xr:uid="{00000000-0005-0000-0000-0000FB370000}"/>
    <cellStyle name="20% - Accent5 4 2 2 2 3 2 2" xfId="11399" xr:uid="{00000000-0005-0000-0000-0000FC370000}"/>
    <cellStyle name="20% - Accent5 4 2 2 2 3 2 2 2" xfId="22700" xr:uid="{00000000-0005-0000-0000-0000FD370000}"/>
    <cellStyle name="20% - Accent5 4 2 2 2 3 2 2 2 2" xfId="45302" xr:uid="{00000000-0005-0000-0000-0000FE370000}"/>
    <cellStyle name="20% - Accent5 4 2 2 2 3 2 2 3" xfId="34001" xr:uid="{00000000-0005-0000-0000-0000FF370000}"/>
    <cellStyle name="20% - Accent5 4 2 2 2 3 2 3" xfId="17050" xr:uid="{00000000-0005-0000-0000-000000380000}"/>
    <cellStyle name="20% - Accent5 4 2 2 2 3 2 3 2" xfId="39652" xr:uid="{00000000-0005-0000-0000-000001380000}"/>
    <cellStyle name="20% - Accent5 4 2 2 2 3 2 4" xfId="28351" xr:uid="{00000000-0005-0000-0000-000002380000}"/>
    <cellStyle name="20% - Accent5 4 2 2 2 3 3" xfId="8566" xr:uid="{00000000-0005-0000-0000-000003380000}"/>
    <cellStyle name="20% - Accent5 4 2 2 2 3 3 2" xfId="19867" xr:uid="{00000000-0005-0000-0000-000004380000}"/>
    <cellStyle name="20% - Accent5 4 2 2 2 3 3 2 2" xfId="42469" xr:uid="{00000000-0005-0000-0000-000005380000}"/>
    <cellStyle name="20% - Accent5 4 2 2 2 3 3 3" xfId="31168" xr:uid="{00000000-0005-0000-0000-000006380000}"/>
    <cellStyle name="20% - Accent5 4 2 2 2 3 4" xfId="14217" xr:uid="{00000000-0005-0000-0000-000007380000}"/>
    <cellStyle name="20% - Accent5 4 2 2 2 3 4 2" xfId="36819" xr:uid="{00000000-0005-0000-0000-000008380000}"/>
    <cellStyle name="20% - Accent5 4 2 2 2 3 5" xfId="25518" xr:uid="{00000000-0005-0000-0000-000009380000}"/>
    <cellStyle name="20% - Accent5 4 2 2 2 4" xfId="4515" xr:uid="{00000000-0005-0000-0000-00000A380000}"/>
    <cellStyle name="20% - Accent5 4 2 2 2 4 2" xfId="10165" xr:uid="{00000000-0005-0000-0000-00000B380000}"/>
    <cellStyle name="20% - Accent5 4 2 2 2 4 2 2" xfId="21466" xr:uid="{00000000-0005-0000-0000-00000C380000}"/>
    <cellStyle name="20% - Accent5 4 2 2 2 4 2 2 2" xfId="44068" xr:uid="{00000000-0005-0000-0000-00000D380000}"/>
    <cellStyle name="20% - Accent5 4 2 2 2 4 2 3" xfId="32767" xr:uid="{00000000-0005-0000-0000-00000E380000}"/>
    <cellStyle name="20% - Accent5 4 2 2 2 4 3" xfId="15816" xr:uid="{00000000-0005-0000-0000-00000F380000}"/>
    <cellStyle name="20% - Accent5 4 2 2 2 4 3 2" xfId="38418" xr:uid="{00000000-0005-0000-0000-000010380000}"/>
    <cellStyle name="20% - Accent5 4 2 2 2 4 4" xfId="27117" xr:uid="{00000000-0005-0000-0000-000011380000}"/>
    <cellStyle name="20% - Accent5 4 2 2 2 5" xfId="7311" xr:uid="{00000000-0005-0000-0000-000012380000}"/>
    <cellStyle name="20% - Accent5 4 2 2 2 5 2" xfId="18612" xr:uid="{00000000-0005-0000-0000-000013380000}"/>
    <cellStyle name="20% - Accent5 4 2 2 2 5 2 2" xfId="41214" xr:uid="{00000000-0005-0000-0000-000014380000}"/>
    <cellStyle name="20% - Accent5 4 2 2 2 5 3" xfId="29913" xr:uid="{00000000-0005-0000-0000-000015380000}"/>
    <cellStyle name="20% - Accent5 4 2 2 2 6" xfId="12962" xr:uid="{00000000-0005-0000-0000-000016380000}"/>
    <cellStyle name="20% - Accent5 4 2 2 2 6 2" xfId="35564" xr:uid="{00000000-0005-0000-0000-000017380000}"/>
    <cellStyle name="20% - Accent5 4 2 2 2 7" xfId="24263" xr:uid="{00000000-0005-0000-0000-000018380000}"/>
    <cellStyle name="20% - Accent5 4 2 2 3" xfId="1030" xr:uid="{00000000-0005-0000-0000-000019380000}"/>
    <cellStyle name="20% - Accent5 4 2 2 3 2" xfId="3093" xr:uid="{00000000-0005-0000-0000-00001A380000}"/>
    <cellStyle name="20% - Accent5 4 2 2 3 2 2" xfId="6065" xr:uid="{00000000-0005-0000-0000-00001B380000}"/>
    <cellStyle name="20% - Accent5 4 2 2 3 2 2 2" xfId="11715" xr:uid="{00000000-0005-0000-0000-00001C380000}"/>
    <cellStyle name="20% - Accent5 4 2 2 3 2 2 2 2" xfId="23016" xr:uid="{00000000-0005-0000-0000-00001D380000}"/>
    <cellStyle name="20% - Accent5 4 2 2 3 2 2 2 2 2" xfId="45618" xr:uid="{00000000-0005-0000-0000-00001E380000}"/>
    <cellStyle name="20% - Accent5 4 2 2 3 2 2 2 3" xfId="34317" xr:uid="{00000000-0005-0000-0000-00001F380000}"/>
    <cellStyle name="20% - Accent5 4 2 2 3 2 2 3" xfId="17366" xr:uid="{00000000-0005-0000-0000-000020380000}"/>
    <cellStyle name="20% - Accent5 4 2 2 3 2 2 3 2" xfId="39968" xr:uid="{00000000-0005-0000-0000-000021380000}"/>
    <cellStyle name="20% - Accent5 4 2 2 3 2 2 4" xfId="28667" xr:uid="{00000000-0005-0000-0000-000022380000}"/>
    <cellStyle name="20% - Accent5 4 2 2 3 2 3" xfId="8883" xr:uid="{00000000-0005-0000-0000-000023380000}"/>
    <cellStyle name="20% - Accent5 4 2 2 3 2 3 2" xfId="20184" xr:uid="{00000000-0005-0000-0000-000024380000}"/>
    <cellStyle name="20% - Accent5 4 2 2 3 2 3 2 2" xfId="42786" xr:uid="{00000000-0005-0000-0000-000025380000}"/>
    <cellStyle name="20% - Accent5 4 2 2 3 2 3 3" xfId="31485" xr:uid="{00000000-0005-0000-0000-000026380000}"/>
    <cellStyle name="20% - Accent5 4 2 2 3 2 4" xfId="14534" xr:uid="{00000000-0005-0000-0000-000027380000}"/>
    <cellStyle name="20% - Accent5 4 2 2 3 2 4 2" xfId="37136" xr:uid="{00000000-0005-0000-0000-000028380000}"/>
    <cellStyle name="20% - Accent5 4 2 2 3 2 5" xfId="25835" xr:uid="{00000000-0005-0000-0000-000029380000}"/>
    <cellStyle name="20% - Accent5 4 2 2 3 3" xfId="4831" xr:uid="{00000000-0005-0000-0000-00002A380000}"/>
    <cellStyle name="20% - Accent5 4 2 2 3 3 2" xfId="10481" xr:uid="{00000000-0005-0000-0000-00002B380000}"/>
    <cellStyle name="20% - Accent5 4 2 2 3 3 2 2" xfId="21782" xr:uid="{00000000-0005-0000-0000-00002C380000}"/>
    <cellStyle name="20% - Accent5 4 2 2 3 3 2 2 2" xfId="44384" xr:uid="{00000000-0005-0000-0000-00002D380000}"/>
    <cellStyle name="20% - Accent5 4 2 2 3 3 2 3" xfId="33083" xr:uid="{00000000-0005-0000-0000-00002E380000}"/>
    <cellStyle name="20% - Accent5 4 2 2 3 3 3" xfId="16132" xr:uid="{00000000-0005-0000-0000-00002F380000}"/>
    <cellStyle name="20% - Accent5 4 2 2 3 3 3 2" xfId="38734" xr:uid="{00000000-0005-0000-0000-000030380000}"/>
    <cellStyle name="20% - Accent5 4 2 2 3 3 4" xfId="27433" xr:uid="{00000000-0005-0000-0000-000031380000}"/>
    <cellStyle name="20% - Accent5 4 2 2 3 4" xfId="7018" xr:uid="{00000000-0005-0000-0000-000032380000}"/>
    <cellStyle name="20% - Accent5 4 2 2 3 4 2" xfId="18319" xr:uid="{00000000-0005-0000-0000-000033380000}"/>
    <cellStyle name="20% - Accent5 4 2 2 3 4 2 2" xfId="40921" xr:uid="{00000000-0005-0000-0000-000034380000}"/>
    <cellStyle name="20% - Accent5 4 2 2 3 4 3" xfId="29620" xr:uid="{00000000-0005-0000-0000-000035380000}"/>
    <cellStyle name="20% - Accent5 4 2 2 3 5" xfId="12669" xr:uid="{00000000-0005-0000-0000-000036380000}"/>
    <cellStyle name="20% - Accent5 4 2 2 3 5 2" xfId="35271" xr:uid="{00000000-0005-0000-0000-000037380000}"/>
    <cellStyle name="20% - Accent5 4 2 2 3 6" xfId="23970" xr:uid="{00000000-0005-0000-0000-000038380000}"/>
    <cellStyle name="20% - Accent5 4 2 2 4" xfId="1735" xr:uid="{00000000-0005-0000-0000-000039380000}"/>
    <cellStyle name="20% - Accent5 4 2 2 4 2" xfId="3664" xr:uid="{00000000-0005-0000-0000-00003A380000}"/>
    <cellStyle name="20% - Accent5 4 2 2 4 2 2" xfId="9375" xr:uid="{00000000-0005-0000-0000-00003B380000}"/>
    <cellStyle name="20% - Accent5 4 2 2 4 2 2 2" xfId="20676" xr:uid="{00000000-0005-0000-0000-00003C380000}"/>
    <cellStyle name="20% - Accent5 4 2 2 4 2 2 2 2" xfId="43278" xr:uid="{00000000-0005-0000-0000-00003D380000}"/>
    <cellStyle name="20% - Accent5 4 2 2 4 2 2 3" xfId="31977" xr:uid="{00000000-0005-0000-0000-00003E380000}"/>
    <cellStyle name="20% - Accent5 4 2 2 4 2 3" xfId="15026" xr:uid="{00000000-0005-0000-0000-00003F380000}"/>
    <cellStyle name="20% - Accent5 4 2 2 4 2 3 2" xfId="37628" xr:uid="{00000000-0005-0000-0000-000040380000}"/>
    <cellStyle name="20% - Accent5 4 2 2 4 2 4" xfId="26327" xr:uid="{00000000-0005-0000-0000-000041380000}"/>
    <cellStyle name="20% - Accent5 4 2 2 4 3" xfId="5441" xr:uid="{00000000-0005-0000-0000-000042380000}"/>
    <cellStyle name="20% - Accent5 4 2 2 4 3 2" xfId="11091" xr:uid="{00000000-0005-0000-0000-000043380000}"/>
    <cellStyle name="20% - Accent5 4 2 2 4 3 2 2" xfId="22392" xr:uid="{00000000-0005-0000-0000-000044380000}"/>
    <cellStyle name="20% - Accent5 4 2 2 4 3 2 2 2" xfId="44994" xr:uid="{00000000-0005-0000-0000-000045380000}"/>
    <cellStyle name="20% - Accent5 4 2 2 4 3 2 3" xfId="33693" xr:uid="{00000000-0005-0000-0000-000046380000}"/>
    <cellStyle name="20% - Accent5 4 2 2 4 3 3" xfId="16742" xr:uid="{00000000-0005-0000-0000-000047380000}"/>
    <cellStyle name="20% - Accent5 4 2 2 4 3 3 2" xfId="39344" xr:uid="{00000000-0005-0000-0000-000048380000}"/>
    <cellStyle name="20% - Accent5 4 2 2 4 3 4" xfId="28043" xr:uid="{00000000-0005-0000-0000-000049380000}"/>
    <cellStyle name="20% - Accent5 4 2 2 4 4" xfId="7591" xr:uid="{00000000-0005-0000-0000-00004A380000}"/>
    <cellStyle name="20% - Accent5 4 2 2 4 4 2" xfId="18892" xr:uid="{00000000-0005-0000-0000-00004B380000}"/>
    <cellStyle name="20% - Accent5 4 2 2 4 4 2 2" xfId="41494" xr:uid="{00000000-0005-0000-0000-00004C380000}"/>
    <cellStyle name="20% - Accent5 4 2 2 4 4 3" xfId="30193" xr:uid="{00000000-0005-0000-0000-00004D380000}"/>
    <cellStyle name="20% - Accent5 4 2 2 4 5" xfId="13242" xr:uid="{00000000-0005-0000-0000-00004E380000}"/>
    <cellStyle name="20% - Accent5 4 2 2 4 5 2" xfId="35844" xr:uid="{00000000-0005-0000-0000-00004F380000}"/>
    <cellStyle name="20% - Accent5 4 2 2 4 6" xfId="24543" xr:uid="{00000000-0005-0000-0000-000050380000}"/>
    <cellStyle name="20% - Accent5 4 2 2 5" xfId="2422" xr:uid="{00000000-0005-0000-0000-000051380000}"/>
    <cellStyle name="20% - Accent5 4 2 2 5 2" xfId="8258" xr:uid="{00000000-0005-0000-0000-000052380000}"/>
    <cellStyle name="20% - Accent5 4 2 2 5 2 2" xfId="19559" xr:uid="{00000000-0005-0000-0000-000053380000}"/>
    <cellStyle name="20% - Accent5 4 2 2 5 2 2 2" xfId="42161" xr:uid="{00000000-0005-0000-0000-000054380000}"/>
    <cellStyle name="20% - Accent5 4 2 2 5 2 3" xfId="30860" xr:uid="{00000000-0005-0000-0000-000055380000}"/>
    <cellStyle name="20% - Accent5 4 2 2 5 3" xfId="13909" xr:uid="{00000000-0005-0000-0000-000056380000}"/>
    <cellStyle name="20% - Accent5 4 2 2 5 3 2" xfId="36511" xr:uid="{00000000-0005-0000-0000-000057380000}"/>
    <cellStyle name="20% - Accent5 4 2 2 5 4" xfId="25210" xr:uid="{00000000-0005-0000-0000-000058380000}"/>
    <cellStyle name="20% - Accent5 4 2 2 6" xfId="4207" xr:uid="{00000000-0005-0000-0000-000059380000}"/>
    <cellStyle name="20% - Accent5 4 2 2 6 2" xfId="9857" xr:uid="{00000000-0005-0000-0000-00005A380000}"/>
    <cellStyle name="20% - Accent5 4 2 2 6 2 2" xfId="21158" xr:uid="{00000000-0005-0000-0000-00005B380000}"/>
    <cellStyle name="20% - Accent5 4 2 2 6 2 2 2" xfId="43760" xr:uid="{00000000-0005-0000-0000-00005C380000}"/>
    <cellStyle name="20% - Accent5 4 2 2 6 2 3" xfId="32459" xr:uid="{00000000-0005-0000-0000-00005D380000}"/>
    <cellStyle name="20% - Accent5 4 2 2 6 3" xfId="15508" xr:uid="{00000000-0005-0000-0000-00005E380000}"/>
    <cellStyle name="20% - Accent5 4 2 2 6 3 2" xfId="38110" xr:uid="{00000000-0005-0000-0000-00005F380000}"/>
    <cellStyle name="20% - Accent5 4 2 2 6 4" xfId="26809" xr:uid="{00000000-0005-0000-0000-000060380000}"/>
    <cellStyle name="20% - Accent5 4 2 2 7" xfId="6687" xr:uid="{00000000-0005-0000-0000-000061380000}"/>
    <cellStyle name="20% - Accent5 4 2 2 7 2" xfId="17988" xr:uid="{00000000-0005-0000-0000-000062380000}"/>
    <cellStyle name="20% - Accent5 4 2 2 7 2 2" xfId="40590" xr:uid="{00000000-0005-0000-0000-000063380000}"/>
    <cellStyle name="20% - Accent5 4 2 2 7 3" xfId="29289" xr:uid="{00000000-0005-0000-0000-000064380000}"/>
    <cellStyle name="20% - Accent5 4 2 2 8" xfId="12338" xr:uid="{00000000-0005-0000-0000-000065380000}"/>
    <cellStyle name="20% - Accent5 4 2 2 8 2" xfId="34940" xr:uid="{00000000-0005-0000-0000-000066380000}"/>
    <cellStyle name="20% - Accent5 4 2 2 9" xfId="23639" xr:uid="{00000000-0005-0000-0000-000067380000}"/>
    <cellStyle name="20% - Accent5 4 2 3" xfId="1194" xr:uid="{00000000-0005-0000-0000-000068380000}"/>
    <cellStyle name="20% - Accent5 4 2 3 2" xfId="1737" xr:uid="{00000000-0005-0000-0000-000069380000}"/>
    <cellStyle name="20% - Accent5 4 2 3 2 2" xfId="3262" xr:uid="{00000000-0005-0000-0000-00006A380000}"/>
    <cellStyle name="20% - Accent5 4 2 3 2 2 2" xfId="6234" xr:uid="{00000000-0005-0000-0000-00006B380000}"/>
    <cellStyle name="20% - Accent5 4 2 3 2 2 2 2" xfId="11884" xr:uid="{00000000-0005-0000-0000-00006C380000}"/>
    <cellStyle name="20% - Accent5 4 2 3 2 2 2 2 2" xfId="23185" xr:uid="{00000000-0005-0000-0000-00006D380000}"/>
    <cellStyle name="20% - Accent5 4 2 3 2 2 2 2 2 2" xfId="45787" xr:uid="{00000000-0005-0000-0000-00006E380000}"/>
    <cellStyle name="20% - Accent5 4 2 3 2 2 2 2 3" xfId="34486" xr:uid="{00000000-0005-0000-0000-00006F380000}"/>
    <cellStyle name="20% - Accent5 4 2 3 2 2 2 3" xfId="17535" xr:uid="{00000000-0005-0000-0000-000070380000}"/>
    <cellStyle name="20% - Accent5 4 2 3 2 2 2 3 2" xfId="40137" xr:uid="{00000000-0005-0000-0000-000071380000}"/>
    <cellStyle name="20% - Accent5 4 2 3 2 2 2 4" xfId="28836" xr:uid="{00000000-0005-0000-0000-000072380000}"/>
    <cellStyle name="20% - Accent5 4 2 3 2 2 3" xfId="9052" xr:uid="{00000000-0005-0000-0000-000073380000}"/>
    <cellStyle name="20% - Accent5 4 2 3 2 2 3 2" xfId="20353" xr:uid="{00000000-0005-0000-0000-000074380000}"/>
    <cellStyle name="20% - Accent5 4 2 3 2 2 3 2 2" xfId="42955" xr:uid="{00000000-0005-0000-0000-000075380000}"/>
    <cellStyle name="20% - Accent5 4 2 3 2 2 3 3" xfId="31654" xr:uid="{00000000-0005-0000-0000-000076380000}"/>
    <cellStyle name="20% - Accent5 4 2 3 2 2 4" xfId="14703" xr:uid="{00000000-0005-0000-0000-000077380000}"/>
    <cellStyle name="20% - Accent5 4 2 3 2 2 4 2" xfId="37305" xr:uid="{00000000-0005-0000-0000-000078380000}"/>
    <cellStyle name="20% - Accent5 4 2 3 2 2 5" xfId="26004" xr:uid="{00000000-0005-0000-0000-000079380000}"/>
    <cellStyle name="20% - Accent5 4 2 3 2 3" xfId="5000" xr:uid="{00000000-0005-0000-0000-00007A380000}"/>
    <cellStyle name="20% - Accent5 4 2 3 2 3 2" xfId="10650" xr:uid="{00000000-0005-0000-0000-00007B380000}"/>
    <cellStyle name="20% - Accent5 4 2 3 2 3 2 2" xfId="21951" xr:uid="{00000000-0005-0000-0000-00007C380000}"/>
    <cellStyle name="20% - Accent5 4 2 3 2 3 2 2 2" xfId="44553" xr:uid="{00000000-0005-0000-0000-00007D380000}"/>
    <cellStyle name="20% - Accent5 4 2 3 2 3 2 3" xfId="33252" xr:uid="{00000000-0005-0000-0000-00007E380000}"/>
    <cellStyle name="20% - Accent5 4 2 3 2 3 3" xfId="16301" xr:uid="{00000000-0005-0000-0000-00007F380000}"/>
    <cellStyle name="20% - Accent5 4 2 3 2 3 3 2" xfId="38903" xr:uid="{00000000-0005-0000-0000-000080380000}"/>
    <cellStyle name="20% - Accent5 4 2 3 2 3 4" xfId="27602" xr:uid="{00000000-0005-0000-0000-000081380000}"/>
    <cellStyle name="20% - Accent5 4 2 3 2 4" xfId="7593" xr:uid="{00000000-0005-0000-0000-000082380000}"/>
    <cellStyle name="20% - Accent5 4 2 3 2 4 2" xfId="18894" xr:uid="{00000000-0005-0000-0000-000083380000}"/>
    <cellStyle name="20% - Accent5 4 2 3 2 4 2 2" xfId="41496" xr:uid="{00000000-0005-0000-0000-000084380000}"/>
    <cellStyle name="20% - Accent5 4 2 3 2 4 3" xfId="30195" xr:uid="{00000000-0005-0000-0000-000085380000}"/>
    <cellStyle name="20% - Accent5 4 2 3 2 5" xfId="13244" xr:uid="{00000000-0005-0000-0000-000086380000}"/>
    <cellStyle name="20% - Accent5 4 2 3 2 5 2" xfId="35846" xr:uid="{00000000-0005-0000-0000-000087380000}"/>
    <cellStyle name="20% - Accent5 4 2 3 2 6" xfId="24545" xr:uid="{00000000-0005-0000-0000-000088380000}"/>
    <cellStyle name="20% - Accent5 4 2 3 3" xfId="2591" xr:uid="{00000000-0005-0000-0000-000089380000}"/>
    <cellStyle name="20% - Accent5 4 2 3 3 2" xfId="5610" xr:uid="{00000000-0005-0000-0000-00008A380000}"/>
    <cellStyle name="20% - Accent5 4 2 3 3 2 2" xfId="11260" xr:uid="{00000000-0005-0000-0000-00008B380000}"/>
    <cellStyle name="20% - Accent5 4 2 3 3 2 2 2" xfId="22561" xr:uid="{00000000-0005-0000-0000-00008C380000}"/>
    <cellStyle name="20% - Accent5 4 2 3 3 2 2 2 2" xfId="45163" xr:uid="{00000000-0005-0000-0000-00008D380000}"/>
    <cellStyle name="20% - Accent5 4 2 3 3 2 2 3" xfId="33862" xr:uid="{00000000-0005-0000-0000-00008E380000}"/>
    <cellStyle name="20% - Accent5 4 2 3 3 2 3" xfId="16911" xr:uid="{00000000-0005-0000-0000-00008F380000}"/>
    <cellStyle name="20% - Accent5 4 2 3 3 2 3 2" xfId="39513" xr:uid="{00000000-0005-0000-0000-000090380000}"/>
    <cellStyle name="20% - Accent5 4 2 3 3 2 4" xfId="28212" xr:uid="{00000000-0005-0000-0000-000091380000}"/>
    <cellStyle name="20% - Accent5 4 2 3 3 3" xfId="8427" xr:uid="{00000000-0005-0000-0000-000092380000}"/>
    <cellStyle name="20% - Accent5 4 2 3 3 3 2" xfId="19728" xr:uid="{00000000-0005-0000-0000-000093380000}"/>
    <cellStyle name="20% - Accent5 4 2 3 3 3 2 2" xfId="42330" xr:uid="{00000000-0005-0000-0000-000094380000}"/>
    <cellStyle name="20% - Accent5 4 2 3 3 3 3" xfId="31029" xr:uid="{00000000-0005-0000-0000-000095380000}"/>
    <cellStyle name="20% - Accent5 4 2 3 3 4" xfId="14078" xr:uid="{00000000-0005-0000-0000-000096380000}"/>
    <cellStyle name="20% - Accent5 4 2 3 3 4 2" xfId="36680" xr:uid="{00000000-0005-0000-0000-000097380000}"/>
    <cellStyle name="20% - Accent5 4 2 3 3 5" xfId="25379" xr:uid="{00000000-0005-0000-0000-000098380000}"/>
    <cellStyle name="20% - Accent5 4 2 3 4" xfId="4376" xr:uid="{00000000-0005-0000-0000-000099380000}"/>
    <cellStyle name="20% - Accent5 4 2 3 4 2" xfId="10026" xr:uid="{00000000-0005-0000-0000-00009A380000}"/>
    <cellStyle name="20% - Accent5 4 2 3 4 2 2" xfId="21327" xr:uid="{00000000-0005-0000-0000-00009B380000}"/>
    <cellStyle name="20% - Accent5 4 2 3 4 2 2 2" xfId="43929" xr:uid="{00000000-0005-0000-0000-00009C380000}"/>
    <cellStyle name="20% - Accent5 4 2 3 4 2 3" xfId="32628" xr:uid="{00000000-0005-0000-0000-00009D380000}"/>
    <cellStyle name="20% - Accent5 4 2 3 4 3" xfId="15677" xr:uid="{00000000-0005-0000-0000-00009E380000}"/>
    <cellStyle name="20% - Accent5 4 2 3 4 3 2" xfId="38279" xr:uid="{00000000-0005-0000-0000-00009F380000}"/>
    <cellStyle name="20% - Accent5 4 2 3 4 4" xfId="26978" xr:uid="{00000000-0005-0000-0000-0000A0380000}"/>
    <cellStyle name="20% - Accent5 4 2 3 5" xfId="7173" xr:uid="{00000000-0005-0000-0000-0000A1380000}"/>
    <cellStyle name="20% - Accent5 4 2 3 5 2" xfId="18474" xr:uid="{00000000-0005-0000-0000-0000A2380000}"/>
    <cellStyle name="20% - Accent5 4 2 3 5 2 2" xfId="41076" xr:uid="{00000000-0005-0000-0000-0000A3380000}"/>
    <cellStyle name="20% - Accent5 4 2 3 5 3" xfId="29775" xr:uid="{00000000-0005-0000-0000-0000A4380000}"/>
    <cellStyle name="20% - Accent5 4 2 3 6" xfId="12824" xr:uid="{00000000-0005-0000-0000-0000A5380000}"/>
    <cellStyle name="20% - Accent5 4 2 3 6 2" xfId="35426" xr:uid="{00000000-0005-0000-0000-0000A6380000}"/>
    <cellStyle name="20% - Accent5 4 2 3 7" xfId="24125" xr:uid="{00000000-0005-0000-0000-0000A7380000}"/>
    <cellStyle name="20% - Accent5 4 2 4" xfId="884" xr:uid="{00000000-0005-0000-0000-0000A8380000}"/>
    <cellStyle name="20% - Accent5 4 2 4 2" xfId="2955" xr:uid="{00000000-0005-0000-0000-0000A9380000}"/>
    <cellStyle name="20% - Accent5 4 2 4 2 2" xfId="5927" xr:uid="{00000000-0005-0000-0000-0000AA380000}"/>
    <cellStyle name="20% - Accent5 4 2 4 2 2 2" xfId="11577" xr:uid="{00000000-0005-0000-0000-0000AB380000}"/>
    <cellStyle name="20% - Accent5 4 2 4 2 2 2 2" xfId="22878" xr:uid="{00000000-0005-0000-0000-0000AC380000}"/>
    <cellStyle name="20% - Accent5 4 2 4 2 2 2 2 2" xfId="45480" xr:uid="{00000000-0005-0000-0000-0000AD380000}"/>
    <cellStyle name="20% - Accent5 4 2 4 2 2 2 3" xfId="34179" xr:uid="{00000000-0005-0000-0000-0000AE380000}"/>
    <cellStyle name="20% - Accent5 4 2 4 2 2 3" xfId="17228" xr:uid="{00000000-0005-0000-0000-0000AF380000}"/>
    <cellStyle name="20% - Accent5 4 2 4 2 2 3 2" xfId="39830" xr:uid="{00000000-0005-0000-0000-0000B0380000}"/>
    <cellStyle name="20% - Accent5 4 2 4 2 2 4" xfId="28529" xr:uid="{00000000-0005-0000-0000-0000B1380000}"/>
    <cellStyle name="20% - Accent5 4 2 4 2 3" xfId="8745" xr:uid="{00000000-0005-0000-0000-0000B2380000}"/>
    <cellStyle name="20% - Accent5 4 2 4 2 3 2" xfId="20046" xr:uid="{00000000-0005-0000-0000-0000B3380000}"/>
    <cellStyle name="20% - Accent5 4 2 4 2 3 2 2" xfId="42648" xr:uid="{00000000-0005-0000-0000-0000B4380000}"/>
    <cellStyle name="20% - Accent5 4 2 4 2 3 3" xfId="31347" xr:uid="{00000000-0005-0000-0000-0000B5380000}"/>
    <cellStyle name="20% - Accent5 4 2 4 2 4" xfId="14396" xr:uid="{00000000-0005-0000-0000-0000B6380000}"/>
    <cellStyle name="20% - Accent5 4 2 4 2 4 2" xfId="36998" xr:uid="{00000000-0005-0000-0000-0000B7380000}"/>
    <cellStyle name="20% - Accent5 4 2 4 2 5" xfId="25697" xr:uid="{00000000-0005-0000-0000-0000B8380000}"/>
    <cellStyle name="20% - Accent5 4 2 4 3" xfId="4693" xr:uid="{00000000-0005-0000-0000-0000B9380000}"/>
    <cellStyle name="20% - Accent5 4 2 4 3 2" xfId="10343" xr:uid="{00000000-0005-0000-0000-0000BA380000}"/>
    <cellStyle name="20% - Accent5 4 2 4 3 2 2" xfId="21644" xr:uid="{00000000-0005-0000-0000-0000BB380000}"/>
    <cellStyle name="20% - Accent5 4 2 4 3 2 2 2" xfId="44246" xr:uid="{00000000-0005-0000-0000-0000BC380000}"/>
    <cellStyle name="20% - Accent5 4 2 4 3 2 3" xfId="32945" xr:uid="{00000000-0005-0000-0000-0000BD380000}"/>
    <cellStyle name="20% - Accent5 4 2 4 3 3" xfId="15994" xr:uid="{00000000-0005-0000-0000-0000BE380000}"/>
    <cellStyle name="20% - Accent5 4 2 4 3 3 2" xfId="38596" xr:uid="{00000000-0005-0000-0000-0000BF380000}"/>
    <cellStyle name="20% - Accent5 4 2 4 3 4" xfId="27295" xr:uid="{00000000-0005-0000-0000-0000C0380000}"/>
    <cellStyle name="20% - Accent5 4 2 4 4" xfId="6880" xr:uid="{00000000-0005-0000-0000-0000C1380000}"/>
    <cellStyle name="20% - Accent5 4 2 4 4 2" xfId="18181" xr:uid="{00000000-0005-0000-0000-0000C2380000}"/>
    <cellStyle name="20% - Accent5 4 2 4 4 2 2" xfId="40783" xr:uid="{00000000-0005-0000-0000-0000C3380000}"/>
    <cellStyle name="20% - Accent5 4 2 4 4 3" xfId="29482" xr:uid="{00000000-0005-0000-0000-0000C4380000}"/>
    <cellStyle name="20% - Accent5 4 2 4 5" xfId="12531" xr:uid="{00000000-0005-0000-0000-0000C5380000}"/>
    <cellStyle name="20% - Accent5 4 2 4 5 2" xfId="35133" xr:uid="{00000000-0005-0000-0000-0000C6380000}"/>
    <cellStyle name="20% - Accent5 4 2 4 6" xfId="23832" xr:uid="{00000000-0005-0000-0000-0000C7380000}"/>
    <cellStyle name="20% - Accent5 4 2 5" xfId="1734" xr:uid="{00000000-0005-0000-0000-0000C8380000}"/>
    <cellStyle name="20% - Accent5 4 2 5 2" xfId="3663" xr:uid="{00000000-0005-0000-0000-0000C9380000}"/>
    <cellStyle name="20% - Accent5 4 2 5 2 2" xfId="9374" xr:uid="{00000000-0005-0000-0000-0000CA380000}"/>
    <cellStyle name="20% - Accent5 4 2 5 2 2 2" xfId="20675" xr:uid="{00000000-0005-0000-0000-0000CB380000}"/>
    <cellStyle name="20% - Accent5 4 2 5 2 2 2 2" xfId="43277" xr:uid="{00000000-0005-0000-0000-0000CC380000}"/>
    <cellStyle name="20% - Accent5 4 2 5 2 2 3" xfId="31976" xr:uid="{00000000-0005-0000-0000-0000CD380000}"/>
    <cellStyle name="20% - Accent5 4 2 5 2 3" xfId="15025" xr:uid="{00000000-0005-0000-0000-0000CE380000}"/>
    <cellStyle name="20% - Accent5 4 2 5 2 3 2" xfId="37627" xr:uid="{00000000-0005-0000-0000-0000CF380000}"/>
    <cellStyle name="20% - Accent5 4 2 5 2 4" xfId="26326" xr:uid="{00000000-0005-0000-0000-0000D0380000}"/>
    <cellStyle name="20% - Accent5 4 2 5 3" xfId="5303" xr:uid="{00000000-0005-0000-0000-0000D1380000}"/>
    <cellStyle name="20% - Accent5 4 2 5 3 2" xfId="10953" xr:uid="{00000000-0005-0000-0000-0000D2380000}"/>
    <cellStyle name="20% - Accent5 4 2 5 3 2 2" xfId="22254" xr:uid="{00000000-0005-0000-0000-0000D3380000}"/>
    <cellStyle name="20% - Accent5 4 2 5 3 2 2 2" xfId="44856" xr:uid="{00000000-0005-0000-0000-0000D4380000}"/>
    <cellStyle name="20% - Accent5 4 2 5 3 2 3" xfId="33555" xr:uid="{00000000-0005-0000-0000-0000D5380000}"/>
    <cellStyle name="20% - Accent5 4 2 5 3 3" xfId="16604" xr:uid="{00000000-0005-0000-0000-0000D6380000}"/>
    <cellStyle name="20% - Accent5 4 2 5 3 3 2" xfId="39206" xr:uid="{00000000-0005-0000-0000-0000D7380000}"/>
    <cellStyle name="20% - Accent5 4 2 5 3 4" xfId="27905" xr:uid="{00000000-0005-0000-0000-0000D8380000}"/>
    <cellStyle name="20% - Accent5 4 2 5 4" xfId="7590" xr:uid="{00000000-0005-0000-0000-0000D9380000}"/>
    <cellStyle name="20% - Accent5 4 2 5 4 2" xfId="18891" xr:uid="{00000000-0005-0000-0000-0000DA380000}"/>
    <cellStyle name="20% - Accent5 4 2 5 4 2 2" xfId="41493" xr:uid="{00000000-0005-0000-0000-0000DB380000}"/>
    <cellStyle name="20% - Accent5 4 2 5 4 3" xfId="30192" xr:uid="{00000000-0005-0000-0000-0000DC380000}"/>
    <cellStyle name="20% - Accent5 4 2 5 5" xfId="13241" xr:uid="{00000000-0005-0000-0000-0000DD380000}"/>
    <cellStyle name="20% - Accent5 4 2 5 5 2" xfId="35843" xr:uid="{00000000-0005-0000-0000-0000DE380000}"/>
    <cellStyle name="20% - Accent5 4 2 5 6" xfId="24542" xr:uid="{00000000-0005-0000-0000-0000DF380000}"/>
    <cellStyle name="20% - Accent5 4 2 6" xfId="2282" xr:uid="{00000000-0005-0000-0000-0000E0380000}"/>
    <cellStyle name="20% - Accent5 4 2 6 2" xfId="8118" xr:uid="{00000000-0005-0000-0000-0000E1380000}"/>
    <cellStyle name="20% - Accent5 4 2 6 2 2" xfId="19419" xr:uid="{00000000-0005-0000-0000-0000E2380000}"/>
    <cellStyle name="20% - Accent5 4 2 6 2 2 2" xfId="42021" xr:uid="{00000000-0005-0000-0000-0000E3380000}"/>
    <cellStyle name="20% - Accent5 4 2 6 2 3" xfId="30720" xr:uid="{00000000-0005-0000-0000-0000E4380000}"/>
    <cellStyle name="20% - Accent5 4 2 6 3" xfId="13769" xr:uid="{00000000-0005-0000-0000-0000E5380000}"/>
    <cellStyle name="20% - Accent5 4 2 6 3 2" xfId="36371" xr:uid="{00000000-0005-0000-0000-0000E6380000}"/>
    <cellStyle name="20% - Accent5 4 2 6 4" xfId="25070" xr:uid="{00000000-0005-0000-0000-0000E7380000}"/>
    <cellStyle name="20% - Accent5 4 2 7" xfId="4069" xr:uid="{00000000-0005-0000-0000-0000E8380000}"/>
    <cellStyle name="20% - Accent5 4 2 7 2" xfId="9719" xr:uid="{00000000-0005-0000-0000-0000E9380000}"/>
    <cellStyle name="20% - Accent5 4 2 7 2 2" xfId="21020" xr:uid="{00000000-0005-0000-0000-0000EA380000}"/>
    <cellStyle name="20% - Accent5 4 2 7 2 2 2" xfId="43622" xr:uid="{00000000-0005-0000-0000-0000EB380000}"/>
    <cellStyle name="20% - Accent5 4 2 7 2 3" xfId="32321" xr:uid="{00000000-0005-0000-0000-0000EC380000}"/>
    <cellStyle name="20% - Accent5 4 2 7 3" xfId="15370" xr:uid="{00000000-0005-0000-0000-0000ED380000}"/>
    <cellStyle name="20% - Accent5 4 2 7 3 2" xfId="37972" xr:uid="{00000000-0005-0000-0000-0000EE380000}"/>
    <cellStyle name="20% - Accent5 4 2 7 4" xfId="26671" xr:uid="{00000000-0005-0000-0000-0000EF380000}"/>
    <cellStyle name="20% - Accent5 4 2 8" xfId="6520" xr:uid="{00000000-0005-0000-0000-0000F0380000}"/>
    <cellStyle name="20% - Accent5 4 2 8 2" xfId="17821" xr:uid="{00000000-0005-0000-0000-0000F1380000}"/>
    <cellStyle name="20% - Accent5 4 2 8 2 2" xfId="40423" xr:uid="{00000000-0005-0000-0000-0000F2380000}"/>
    <cellStyle name="20% - Accent5 4 2 8 3" xfId="29122" xr:uid="{00000000-0005-0000-0000-0000F3380000}"/>
    <cellStyle name="20% - Accent5 4 2 9" xfId="12171" xr:uid="{00000000-0005-0000-0000-0000F4380000}"/>
    <cellStyle name="20% - Accent5 4 2 9 2" xfId="34773" xr:uid="{00000000-0005-0000-0000-0000F5380000}"/>
    <cellStyle name="20% - Accent5 4 3" xfId="426" xr:uid="{00000000-0005-0000-0000-0000F6380000}"/>
    <cellStyle name="20% - Accent5 4 3 10" xfId="23521" xr:uid="{00000000-0005-0000-0000-0000F7380000}"/>
    <cellStyle name="20% - Accent5 4 3 2" xfId="671" xr:uid="{00000000-0005-0000-0000-0000F8380000}"/>
    <cellStyle name="20% - Accent5 4 3 2 2" xfId="1381" xr:uid="{00000000-0005-0000-0000-0000F9380000}"/>
    <cellStyle name="20% - Accent5 4 3 2 2 2" xfId="1740" xr:uid="{00000000-0005-0000-0000-0000FA380000}"/>
    <cellStyle name="20% - Accent5 4 3 2 2 2 2" xfId="3450" xr:uid="{00000000-0005-0000-0000-0000FB380000}"/>
    <cellStyle name="20% - Accent5 4 3 2 2 2 2 2" xfId="6422" xr:uid="{00000000-0005-0000-0000-0000FC380000}"/>
    <cellStyle name="20% - Accent5 4 3 2 2 2 2 2 2" xfId="12072" xr:uid="{00000000-0005-0000-0000-0000FD380000}"/>
    <cellStyle name="20% - Accent5 4 3 2 2 2 2 2 2 2" xfId="23373" xr:uid="{00000000-0005-0000-0000-0000FE380000}"/>
    <cellStyle name="20% - Accent5 4 3 2 2 2 2 2 2 2 2" xfId="45975" xr:uid="{00000000-0005-0000-0000-0000FF380000}"/>
    <cellStyle name="20% - Accent5 4 3 2 2 2 2 2 2 3" xfId="34674" xr:uid="{00000000-0005-0000-0000-000000390000}"/>
    <cellStyle name="20% - Accent5 4 3 2 2 2 2 2 3" xfId="17723" xr:uid="{00000000-0005-0000-0000-000001390000}"/>
    <cellStyle name="20% - Accent5 4 3 2 2 2 2 2 3 2" xfId="40325" xr:uid="{00000000-0005-0000-0000-000002390000}"/>
    <cellStyle name="20% - Accent5 4 3 2 2 2 2 2 4" xfId="29024" xr:uid="{00000000-0005-0000-0000-000003390000}"/>
    <cellStyle name="20% - Accent5 4 3 2 2 2 2 3" xfId="9240" xr:uid="{00000000-0005-0000-0000-000004390000}"/>
    <cellStyle name="20% - Accent5 4 3 2 2 2 2 3 2" xfId="20541" xr:uid="{00000000-0005-0000-0000-000005390000}"/>
    <cellStyle name="20% - Accent5 4 3 2 2 2 2 3 2 2" xfId="43143" xr:uid="{00000000-0005-0000-0000-000006390000}"/>
    <cellStyle name="20% - Accent5 4 3 2 2 2 2 3 3" xfId="31842" xr:uid="{00000000-0005-0000-0000-000007390000}"/>
    <cellStyle name="20% - Accent5 4 3 2 2 2 2 4" xfId="14891" xr:uid="{00000000-0005-0000-0000-000008390000}"/>
    <cellStyle name="20% - Accent5 4 3 2 2 2 2 4 2" xfId="37493" xr:uid="{00000000-0005-0000-0000-000009390000}"/>
    <cellStyle name="20% - Accent5 4 3 2 2 2 2 5" xfId="26192" xr:uid="{00000000-0005-0000-0000-00000A390000}"/>
    <cellStyle name="20% - Accent5 4 3 2 2 2 3" xfId="5188" xr:uid="{00000000-0005-0000-0000-00000B390000}"/>
    <cellStyle name="20% - Accent5 4 3 2 2 2 3 2" xfId="10838" xr:uid="{00000000-0005-0000-0000-00000C390000}"/>
    <cellStyle name="20% - Accent5 4 3 2 2 2 3 2 2" xfId="22139" xr:uid="{00000000-0005-0000-0000-00000D390000}"/>
    <cellStyle name="20% - Accent5 4 3 2 2 2 3 2 2 2" xfId="44741" xr:uid="{00000000-0005-0000-0000-00000E390000}"/>
    <cellStyle name="20% - Accent5 4 3 2 2 2 3 2 3" xfId="33440" xr:uid="{00000000-0005-0000-0000-00000F390000}"/>
    <cellStyle name="20% - Accent5 4 3 2 2 2 3 3" xfId="16489" xr:uid="{00000000-0005-0000-0000-000010390000}"/>
    <cellStyle name="20% - Accent5 4 3 2 2 2 3 3 2" xfId="39091" xr:uid="{00000000-0005-0000-0000-000011390000}"/>
    <cellStyle name="20% - Accent5 4 3 2 2 2 3 4" xfId="27790" xr:uid="{00000000-0005-0000-0000-000012390000}"/>
    <cellStyle name="20% - Accent5 4 3 2 2 2 4" xfId="7596" xr:uid="{00000000-0005-0000-0000-000013390000}"/>
    <cellStyle name="20% - Accent5 4 3 2 2 2 4 2" xfId="18897" xr:uid="{00000000-0005-0000-0000-000014390000}"/>
    <cellStyle name="20% - Accent5 4 3 2 2 2 4 2 2" xfId="41499" xr:uid="{00000000-0005-0000-0000-000015390000}"/>
    <cellStyle name="20% - Accent5 4 3 2 2 2 4 3" xfId="30198" xr:uid="{00000000-0005-0000-0000-000016390000}"/>
    <cellStyle name="20% - Accent5 4 3 2 2 2 5" xfId="13247" xr:uid="{00000000-0005-0000-0000-000017390000}"/>
    <cellStyle name="20% - Accent5 4 3 2 2 2 5 2" xfId="35849" xr:uid="{00000000-0005-0000-0000-000018390000}"/>
    <cellStyle name="20% - Accent5 4 3 2 2 2 6" xfId="24548" xr:uid="{00000000-0005-0000-0000-000019390000}"/>
    <cellStyle name="20% - Accent5 4 3 2 2 3" xfId="2779" xr:uid="{00000000-0005-0000-0000-00001A390000}"/>
    <cellStyle name="20% - Accent5 4 3 2 2 3 2" xfId="5798" xr:uid="{00000000-0005-0000-0000-00001B390000}"/>
    <cellStyle name="20% - Accent5 4 3 2 2 3 2 2" xfId="11448" xr:uid="{00000000-0005-0000-0000-00001C390000}"/>
    <cellStyle name="20% - Accent5 4 3 2 2 3 2 2 2" xfId="22749" xr:uid="{00000000-0005-0000-0000-00001D390000}"/>
    <cellStyle name="20% - Accent5 4 3 2 2 3 2 2 2 2" xfId="45351" xr:uid="{00000000-0005-0000-0000-00001E390000}"/>
    <cellStyle name="20% - Accent5 4 3 2 2 3 2 2 3" xfId="34050" xr:uid="{00000000-0005-0000-0000-00001F390000}"/>
    <cellStyle name="20% - Accent5 4 3 2 2 3 2 3" xfId="17099" xr:uid="{00000000-0005-0000-0000-000020390000}"/>
    <cellStyle name="20% - Accent5 4 3 2 2 3 2 3 2" xfId="39701" xr:uid="{00000000-0005-0000-0000-000021390000}"/>
    <cellStyle name="20% - Accent5 4 3 2 2 3 2 4" xfId="28400" xr:uid="{00000000-0005-0000-0000-000022390000}"/>
    <cellStyle name="20% - Accent5 4 3 2 2 3 3" xfId="8615" xr:uid="{00000000-0005-0000-0000-000023390000}"/>
    <cellStyle name="20% - Accent5 4 3 2 2 3 3 2" xfId="19916" xr:uid="{00000000-0005-0000-0000-000024390000}"/>
    <cellStyle name="20% - Accent5 4 3 2 2 3 3 2 2" xfId="42518" xr:uid="{00000000-0005-0000-0000-000025390000}"/>
    <cellStyle name="20% - Accent5 4 3 2 2 3 3 3" xfId="31217" xr:uid="{00000000-0005-0000-0000-000026390000}"/>
    <cellStyle name="20% - Accent5 4 3 2 2 3 4" xfId="14266" xr:uid="{00000000-0005-0000-0000-000027390000}"/>
    <cellStyle name="20% - Accent5 4 3 2 2 3 4 2" xfId="36868" xr:uid="{00000000-0005-0000-0000-000028390000}"/>
    <cellStyle name="20% - Accent5 4 3 2 2 3 5" xfId="25567" xr:uid="{00000000-0005-0000-0000-000029390000}"/>
    <cellStyle name="20% - Accent5 4 3 2 2 4" xfId="4564" xr:uid="{00000000-0005-0000-0000-00002A390000}"/>
    <cellStyle name="20% - Accent5 4 3 2 2 4 2" xfId="10214" xr:uid="{00000000-0005-0000-0000-00002B390000}"/>
    <cellStyle name="20% - Accent5 4 3 2 2 4 2 2" xfId="21515" xr:uid="{00000000-0005-0000-0000-00002C390000}"/>
    <cellStyle name="20% - Accent5 4 3 2 2 4 2 2 2" xfId="44117" xr:uid="{00000000-0005-0000-0000-00002D390000}"/>
    <cellStyle name="20% - Accent5 4 3 2 2 4 2 3" xfId="32816" xr:uid="{00000000-0005-0000-0000-00002E390000}"/>
    <cellStyle name="20% - Accent5 4 3 2 2 4 3" xfId="15865" xr:uid="{00000000-0005-0000-0000-00002F390000}"/>
    <cellStyle name="20% - Accent5 4 3 2 2 4 3 2" xfId="38467" xr:uid="{00000000-0005-0000-0000-000030390000}"/>
    <cellStyle name="20% - Accent5 4 3 2 2 4 4" xfId="27166" xr:uid="{00000000-0005-0000-0000-000031390000}"/>
    <cellStyle name="20% - Accent5 4 3 2 2 5" xfId="7360" xr:uid="{00000000-0005-0000-0000-000032390000}"/>
    <cellStyle name="20% - Accent5 4 3 2 2 5 2" xfId="18661" xr:uid="{00000000-0005-0000-0000-000033390000}"/>
    <cellStyle name="20% - Accent5 4 3 2 2 5 2 2" xfId="41263" xr:uid="{00000000-0005-0000-0000-000034390000}"/>
    <cellStyle name="20% - Accent5 4 3 2 2 5 3" xfId="29962" xr:uid="{00000000-0005-0000-0000-000035390000}"/>
    <cellStyle name="20% - Accent5 4 3 2 2 6" xfId="13011" xr:uid="{00000000-0005-0000-0000-000036390000}"/>
    <cellStyle name="20% - Accent5 4 3 2 2 6 2" xfId="35613" xr:uid="{00000000-0005-0000-0000-000037390000}"/>
    <cellStyle name="20% - Accent5 4 3 2 2 7" xfId="24312" xr:uid="{00000000-0005-0000-0000-000038390000}"/>
    <cellStyle name="20% - Accent5 4 3 2 3" xfId="1079" xr:uid="{00000000-0005-0000-0000-000039390000}"/>
    <cellStyle name="20% - Accent5 4 3 2 3 2" xfId="3142" xr:uid="{00000000-0005-0000-0000-00003A390000}"/>
    <cellStyle name="20% - Accent5 4 3 2 3 2 2" xfId="6114" xr:uid="{00000000-0005-0000-0000-00003B390000}"/>
    <cellStyle name="20% - Accent5 4 3 2 3 2 2 2" xfId="11764" xr:uid="{00000000-0005-0000-0000-00003C390000}"/>
    <cellStyle name="20% - Accent5 4 3 2 3 2 2 2 2" xfId="23065" xr:uid="{00000000-0005-0000-0000-00003D390000}"/>
    <cellStyle name="20% - Accent5 4 3 2 3 2 2 2 2 2" xfId="45667" xr:uid="{00000000-0005-0000-0000-00003E390000}"/>
    <cellStyle name="20% - Accent5 4 3 2 3 2 2 2 3" xfId="34366" xr:uid="{00000000-0005-0000-0000-00003F390000}"/>
    <cellStyle name="20% - Accent5 4 3 2 3 2 2 3" xfId="17415" xr:uid="{00000000-0005-0000-0000-000040390000}"/>
    <cellStyle name="20% - Accent5 4 3 2 3 2 2 3 2" xfId="40017" xr:uid="{00000000-0005-0000-0000-000041390000}"/>
    <cellStyle name="20% - Accent5 4 3 2 3 2 2 4" xfId="28716" xr:uid="{00000000-0005-0000-0000-000042390000}"/>
    <cellStyle name="20% - Accent5 4 3 2 3 2 3" xfId="8932" xr:uid="{00000000-0005-0000-0000-000043390000}"/>
    <cellStyle name="20% - Accent5 4 3 2 3 2 3 2" xfId="20233" xr:uid="{00000000-0005-0000-0000-000044390000}"/>
    <cellStyle name="20% - Accent5 4 3 2 3 2 3 2 2" xfId="42835" xr:uid="{00000000-0005-0000-0000-000045390000}"/>
    <cellStyle name="20% - Accent5 4 3 2 3 2 3 3" xfId="31534" xr:uid="{00000000-0005-0000-0000-000046390000}"/>
    <cellStyle name="20% - Accent5 4 3 2 3 2 4" xfId="14583" xr:uid="{00000000-0005-0000-0000-000047390000}"/>
    <cellStyle name="20% - Accent5 4 3 2 3 2 4 2" xfId="37185" xr:uid="{00000000-0005-0000-0000-000048390000}"/>
    <cellStyle name="20% - Accent5 4 3 2 3 2 5" xfId="25884" xr:uid="{00000000-0005-0000-0000-000049390000}"/>
    <cellStyle name="20% - Accent5 4 3 2 3 3" xfId="4880" xr:uid="{00000000-0005-0000-0000-00004A390000}"/>
    <cellStyle name="20% - Accent5 4 3 2 3 3 2" xfId="10530" xr:uid="{00000000-0005-0000-0000-00004B390000}"/>
    <cellStyle name="20% - Accent5 4 3 2 3 3 2 2" xfId="21831" xr:uid="{00000000-0005-0000-0000-00004C390000}"/>
    <cellStyle name="20% - Accent5 4 3 2 3 3 2 2 2" xfId="44433" xr:uid="{00000000-0005-0000-0000-00004D390000}"/>
    <cellStyle name="20% - Accent5 4 3 2 3 3 2 3" xfId="33132" xr:uid="{00000000-0005-0000-0000-00004E390000}"/>
    <cellStyle name="20% - Accent5 4 3 2 3 3 3" xfId="16181" xr:uid="{00000000-0005-0000-0000-00004F390000}"/>
    <cellStyle name="20% - Accent5 4 3 2 3 3 3 2" xfId="38783" xr:uid="{00000000-0005-0000-0000-000050390000}"/>
    <cellStyle name="20% - Accent5 4 3 2 3 3 4" xfId="27482" xr:uid="{00000000-0005-0000-0000-000051390000}"/>
    <cellStyle name="20% - Accent5 4 3 2 3 4" xfId="7067" xr:uid="{00000000-0005-0000-0000-000052390000}"/>
    <cellStyle name="20% - Accent5 4 3 2 3 4 2" xfId="18368" xr:uid="{00000000-0005-0000-0000-000053390000}"/>
    <cellStyle name="20% - Accent5 4 3 2 3 4 2 2" xfId="40970" xr:uid="{00000000-0005-0000-0000-000054390000}"/>
    <cellStyle name="20% - Accent5 4 3 2 3 4 3" xfId="29669" xr:uid="{00000000-0005-0000-0000-000055390000}"/>
    <cellStyle name="20% - Accent5 4 3 2 3 5" xfId="12718" xr:uid="{00000000-0005-0000-0000-000056390000}"/>
    <cellStyle name="20% - Accent5 4 3 2 3 5 2" xfId="35320" xr:uid="{00000000-0005-0000-0000-000057390000}"/>
    <cellStyle name="20% - Accent5 4 3 2 3 6" xfId="24019" xr:uid="{00000000-0005-0000-0000-000058390000}"/>
    <cellStyle name="20% - Accent5 4 3 2 4" xfId="1739" xr:uid="{00000000-0005-0000-0000-000059390000}"/>
    <cellStyle name="20% - Accent5 4 3 2 4 2" xfId="3666" xr:uid="{00000000-0005-0000-0000-00005A390000}"/>
    <cellStyle name="20% - Accent5 4 3 2 4 2 2" xfId="9377" xr:uid="{00000000-0005-0000-0000-00005B390000}"/>
    <cellStyle name="20% - Accent5 4 3 2 4 2 2 2" xfId="20678" xr:uid="{00000000-0005-0000-0000-00005C390000}"/>
    <cellStyle name="20% - Accent5 4 3 2 4 2 2 2 2" xfId="43280" xr:uid="{00000000-0005-0000-0000-00005D390000}"/>
    <cellStyle name="20% - Accent5 4 3 2 4 2 2 3" xfId="31979" xr:uid="{00000000-0005-0000-0000-00005E390000}"/>
    <cellStyle name="20% - Accent5 4 3 2 4 2 3" xfId="15028" xr:uid="{00000000-0005-0000-0000-00005F390000}"/>
    <cellStyle name="20% - Accent5 4 3 2 4 2 3 2" xfId="37630" xr:uid="{00000000-0005-0000-0000-000060390000}"/>
    <cellStyle name="20% - Accent5 4 3 2 4 2 4" xfId="26329" xr:uid="{00000000-0005-0000-0000-000061390000}"/>
    <cellStyle name="20% - Accent5 4 3 2 4 3" xfId="5490" xr:uid="{00000000-0005-0000-0000-000062390000}"/>
    <cellStyle name="20% - Accent5 4 3 2 4 3 2" xfId="11140" xr:uid="{00000000-0005-0000-0000-000063390000}"/>
    <cellStyle name="20% - Accent5 4 3 2 4 3 2 2" xfId="22441" xr:uid="{00000000-0005-0000-0000-000064390000}"/>
    <cellStyle name="20% - Accent5 4 3 2 4 3 2 2 2" xfId="45043" xr:uid="{00000000-0005-0000-0000-000065390000}"/>
    <cellStyle name="20% - Accent5 4 3 2 4 3 2 3" xfId="33742" xr:uid="{00000000-0005-0000-0000-000066390000}"/>
    <cellStyle name="20% - Accent5 4 3 2 4 3 3" xfId="16791" xr:uid="{00000000-0005-0000-0000-000067390000}"/>
    <cellStyle name="20% - Accent5 4 3 2 4 3 3 2" xfId="39393" xr:uid="{00000000-0005-0000-0000-000068390000}"/>
    <cellStyle name="20% - Accent5 4 3 2 4 3 4" xfId="28092" xr:uid="{00000000-0005-0000-0000-000069390000}"/>
    <cellStyle name="20% - Accent5 4 3 2 4 4" xfId="7595" xr:uid="{00000000-0005-0000-0000-00006A390000}"/>
    <cellStyle name="20% - Accent5 4 3 2 4 4 2" xfId="18896" xr:uid="{00000000-0005-0000-0000-00006B390000}"/>
    <cellStyle name="20% - Accent5 4 3 2 4 4 2 2" xfId="41498" xr:uid="{00000000-0005-0000-0000-00006C390000}"/>
    <cellStyle name="20% - Accent5 4 3 2 4 4 3" xfId="30197" xr:uid="{00000000-0005-0000-0000-00006D390000}"/>
    <cellStyle name="20% - Accent5 4 3 2 4 5" xfId="13246" xr:uid="{00000000-0005-0000-0000-00006E390000}"/>
    <cellStyle name="20% - Accent5 4 3 2 4 5 2" xfId="35848" xr:uid="{00000000-0005-0000-0000-00006F390000}"/>
    <cellStyle name="20% - Accent5 4 3 2 4 6" xfId="24547" xr:uid="{00000000-0005-0000-0000-000070390000}"/>
    <cellStyle name="20% - Accent5 4 3 2 5" xfId="2471" xr:uid="{00000000-0005-0000-0000-000071390000}"/>
    <cellStyle name="20% - Accent5 4 3 2 5 2" xfId="8307" xr:uid="{00000000-0005-0000-0000-000072390000}"/>
    <cellStyle name="20% - Accent5 4 3 2 5 2 2" xfId="19608" xr:uid="{00000000-0005-0000-0000-000073390000}"/>
    <cellStyle name="20% - Accent5 4 3 2 5 2 2 2" xfId="42210" xr:uid="{00000000-0005-0000-0000-000074390000}"/>
    <cellStyle name="20% - Accent5 4 3 2 5 2 3" xfId="30909" xr:uid="{00000000-0005-0000-0000-000075390000}"/>
    <cellStyle name="20% - Accent5 4 3 2 5 3" xfId="13958" xr:uid="{00000000-0005-0000-0000-000076390000}"/>
    <cellStyle name="20% - Accent5 4 3 2 5 3 2" xfId="36560" xr:uid="{00000000-0005-0000-0000-000077390000}"/>
    <cellStyle name="20% - Accent5 4 3 2 5 4" xfId="25259" xr:uid="{00000000-0005-0000-0000-000078390000}"/>
    <cellStyle name="20% - Accent5 4 3 2 6" xfId="4256" xr:uid="{00000000-0005-0000-0000-000079390000}"/>
    <cellStyle name="20% - Accent5 4 3 2 6 2" xfId="9906" xr:uid="{00000000-0005-0000-0000-00007A390000}"/>
    <cellStyle name="20% - Accent5 4 3 2 6 2 2" xfId="21207" xr:uid="{00000000-0005-0000-0000-00007B390000}"/>
    <cellStyle name="20% - Accent5 4 3 2 6 2 2 2" xfId="43809" xr:uid="{00000000-0005-0000-0000-00007C390000}"/>
    <cellStyle name="20% - Accent5 4 3 2 6 2 3" xfId="32508" xr:uid="{00000000-0005-0000-0000-00007D390000}"/>
    <cellStyle name="20% - Accent5 4 3 2 6 3" xfId="15557" xr:uid="{00000000-0005-0000-0000-00007E390000}"/>
    <cellStyle name="20% - Accent5 4 3 2 6 3 2" xfId="38159" xr:uid="{00000000-0005-0000-0000-00007F390000}"/>
    <cellStyle name="20% - Accent5 4 3 2 6 4" xfId="26858" xr:uid="{00000000-0005-0000-0000-000080390000}"/>
    <cellStyle name="20% - Accent5 4 3 2 7" xfId="6736" xr:uid="{00000000-0005-0000-0000-000081390000}"/>
    <cellStyle name="20% - Accent5 4 3 2 7 2" xfId="18037" xr:uid="{00000000-0005-0000-0000-000082390000}"/>
    <cellStyle name="20% - Accent5 4 3 2 7 2 2" xfId="40639" xr:uid="{00000000-0005-0000-0000-000083390000}"/>
    <cellStyle name="20% - Accent5 4 3 2 7 3" xfId="29338" xr:uid="{00000000-0005-0000-0000-000084390000}"/>
    <cellStyle name="20% - Accent5 4 3 2 8" xfId="12387" xr:uid="{00000000-0005-0000-0000-000085390000}"/>
    <cellStyle name="20% - Accent5 4 3 2 8 2" xfId="34989" xr:uid="{00000000-0005-0000-0000-000086390000}"/>
    <cellStyle name="20% - Accent5 4 3 2 9" xfId="23688" xr:uid="{00000000-0005-0000-0000-000087390000}"/>
    <cellStyle name="20% - Accent5 4 3 3" xfId="1243" xr:uid="{00000000-0005-0000-0000-000088390000}"/>
    <cellStyle name="20% - Accent5 4 3 3 2" xfId="1741" xr:uid="{00000000-0005-0000-0000-000089390000}"/>
    <cellStyle name="20% - Accent5 4 3 3 2 2" xfId="3311" xr:uid="{00000000-0005-0000-0000-00008A390000}"/>
    <cellStyle name="20% - Accent5 4 3 3 2 2 2" xfId="6283" xr:uid="{00000000-0005-0000-0000-00008B390000}"/>
    <cellStyle name="20% - Accent5 4 3 3 2 2 2 2" xfId="11933" xr:uid="{00000000-0005-0000-0000-00008C390000}"/>
    <cellStyle name="20% - Accent5 4 3 3 2 2 2 2 2" xfId="23234" xr:uid="{00000000-0005-0000-0000-00008D390000}"/>
    <cellStyle name="20% - Accent5 4 3 3 2 2 2 2 2 2" xfId="45836" xr:uid="{00000000-0005-0000-0000-00008E390000}"/>
    <cellStyle name="20% - Accent5 4 3 3 2 2 2 2 3" xfId="34535" xr:uid="{00000000-0005-0000-0000-00008F390000}"/>
    <cellStyle name="20% - Accent5 4 3 3 2 2 2 3" xfId="17584" xr:uid="{00000000-0005-0000-0000-000090390000}"/>
    <cellStyle name="20% - Accent5 4 3 3 2 2 2 3 2" xfId="40186" xr:uid="{00000000-0005-0000-0000-000091390000}"/>
    <cellStyle name="20% - Accent5 4 3 3 2 2 2 4" xfId="28885" xr:uid="{00000000-0005-0000-0000-000092390000}"/>
    <cellStyle name="20% - Accent5 4 3 3 2 2 3" xfId="9101" xr:uid="{00000000-0005-0000-0000-000093390000}"/>
    <cellStyle name="20% - Accent5 4 3 3 2 2 3 2" xfId="20402" xr:uid="{00000000-0005-0000-0000-000094390000}"/>
    <cellStyle name="20% - Accent5 4 3 3 2 2 3 2 2" xfId="43004" xr:uid="{00000000-0005-0000-0000-000095390000}"/>
    <cellStyle name="20% - Accent5 4 3 3 2 2 3 3" xfId="31703" xr:uid="{00000000-0005-0000-0000-000096390000}"/>
    <cellStyle name="20% - Accent5 4 3 3 2 2 4" xfId="14752" xr:uid="{00000000-0005-0000-0000-000097390000}"/>
    <cellStyle name="20% - Accent5 4 3 3 2 2 4 2" xfId="37354" xr:uid="{00000000-0005-0000-0000-000098390000}"/>
    <cellStyle name="20% - Accent5 4 3 3 2 2 5" xfId="26053" xr:uid="{00000000-0005-0000-0000-000099390000}"/>
    <cellStyle name="20% - Accent5 4 3 3 2 3" xfId="5049" xr:uid="{00000000-0005-0000-0000-00009A390000}"/>
    <cellStyle name="20% - Accent5 4 3 3 2 3 2" xfId="10699" xr:uid="{00000000-0005-0000-0000-00009B390000}"/>
    <cellStyle name="20% - Accent5 4 3 3 2 3 2 2" xfId="22000" xr:uid="{00000000-0005-0000-0000-00009C390000}"/>
    <cellStyle name="20% - Accent5 4 3 3 2 3 2 2 2" xfId="44602" xr:uid="{00000000-0005-0000-0000-00009D390000}"/>
    <cellStyle name="20% - Accent5 4 3 3 2 3 2 3" xfId="33301" xr:uid="{00000000-0005-0000-0000-00009E390000}"/>
    <cellStyle name="20% - Accent5 4 3 3 2 3 3" xfId="16350" xr:uid="{00000000-0005-0000-0000-00009F390000}"/>
    <cellStyle name="20% - Accent5 4 3 3 2 3 3 2" xfId="38952" xr:uid="{00000000-0005-0000-0000-0000A0390000}"/>
    <cellStyle name="20% - Accent5 4 3 3 2 3 4" xfId="27651" xr:uid="{00000000-0005-0000-0000-0000A1390000}"/>
    <cellStyle name="20% - Accent5 4 3 3 2 4" xfId="7597" xr:uid="{00000000-0005-0000-0000-0000A2390000}"/>
    <cellStyle name="20% - Accent5 4 3 3 2 4 2" xfId="18898" xr:uid="{00000000-0005-0000-0000-0000A3390000}"/>
    <cellStyle name="20% - Accent5 4 3 3 2 4 2 2" xfId="41500" xr:uid="{00000000-0005-0000-0000-0000A4390000}"/>
    <cellStyle name="20% - Accent5 4 3 3 2 4 3" xfId="30199" xr:uid="{00000000-0005-0000-0000-0000A5390000}"/>
    <cellStyle name="20% - Accent5 4 3 3 2 5" xfId="13248" xr:uid="{00000000-0005-0000-0000-0000A6390000}"/>
    <cellStyle name="20% - Accent5 4 3 3 2 5 2" xfId="35850" xr:uid="{00000000-0005-0000-0000-0000A7390000}"/>
    <cellStyle name="20% - Accent5 4 3 3 2 6" xfId="24549" xr:uid="{00000000-0005-0000-0000-0000A8390000}"/>
    <cellStyle name="20% - Accent5 4 3 3 3" xfId="2640" xr:uid="{00000000-0005-0000-0000-0000A9390000}"/>
    <cellStyle name="20% - Accent5 4 3 3 3 2" xfId="5659" xr:uid="{00000000-0005-0000-0000-0000AA390000}"/>
    <cellStyle name="20% - Accent5 4 3 3 3 2 2" xfId="11309" xr:uid="{00000000-0005-0000-0000-0000AB390000}"/>
    <cellStyle name="20% - Accent5 4 3 3 3 2 2 2" xfId="22610" xr:uid="{00000000-0005-0000-0000-0000AC390000}"/>
    <cellStyle name="20% - Accent5 4 3 3 3 2 2 2 2" xfId="45212" xr:uid="{00000000-0005-0000-0000-0000AD390000}"/>
    <cellStyle name="20% - Accent5 4 3 3 3 2 2 3" xfId="33911" xr:uid="{00000000-0005-0000-0000-0000AE390000}"/>
    <cellStyle name="20% - Accent5 4 3 3 3 2 3" xfId="16960" xr:uid="{00000000-0005-0000-0000-0000AF390000}"/>
    <cellStyle name="20% - Accent5 4 3 3 3 2 3 2" xfId="39562" xr:uid="{00000000-0005-0000-0000-0000B0390000}"/>
    <cellStyle name="20% - Accent5 4 3 3 3 2 4" xfId="28261" xr:uid="{00000000-0005-0000-0000-0000B1390000}"/>
    <cellStyle name="20% - Accent5 4 3 3 3 3" xfId="8476" xr:uid="{00000000-0005-0000-0000-0000B2390000}"/>
    <cellStyle name="20% - Accent5 4 3 3 3 3 2" xfId="19777" xr:uid="{00000000-0005-0000-0000-0000B3390000}"/>
    <cellStyle name="20% - Accent5 4 3 3 3 3 2 2" xfId="42379" xr:uid="{00000000-0005-0000-0000-0000B4390000}"/>
    <cellStyle name="20% - Accent5 4 3 3 3 3 3" xfId="31078" xr:uid="{00000000-0005-0000-0000-0000B5390000}"/>
    <cellStyle name="20% - Accent5 4 3 3 3 4" xfId="14127" xr:uid="{00000000-0005-0000-0000-0000B6390000}"/>
    <cellStyle name="20% - Accent5 4 3 3 3 4 2" xfId="36729" xr:uid="{00000000-0005-0000-0000-0000B7390000}"/>
    <cellStyle name="20% - Accent5 4 3 3 3 5" xfId="25428" xr:uid="{00000000-0005-0000-0000-0000B8390000}"/>
    <cellStyle name="20% - Accent5 4 3 3 4" xfId="4425" xr:uid="{00000000-0005-0000-0000-0000B9390000}"/>
    <cellStyle name="20% - Accent5 4 3 3 4 2" xfId="10075" xr:uid="{00000000-0005-0000-0000-0000BA390000}"/>
    <cellStyle name="20% - Accent5 4 3 3 4 2 2" xfId="21376" xr:uid="{00000000-0005-0000-0000-0000BB390000}"/>
    <cellStyle name="20% - Accent5 4 3 3 4 2 2 2" xfId="43978" xr:uid="{00000000-0005-0000-0000-0000BC390000}"/>
    <cellStyle name="20% - Accent5 4 3 3 4 2 3" xfId="32677" xr:uid="{00000000-0005-0000-0000-0000BD390000}"/>
    <cellStyle name="20% - Accent5 4 3 3 4 3" xfId="15726" xr:uid="{00000000-0005-0000-0000-0000BE390000}"/>
    <cellStyle name="20% - Accent5 4 3 3 4 3 2" xfId="38328" xr:uid="{00000000-0005-0000-0000-0000BF390000}"/>
    <cellStyle name="20% - Accent5 4 3 3 4 4" xfId="27027" xr:uid="{00000000-0005-0000-0000-0000C0390000}"/>
    <cellStyle name="20% - Accent5 4 3 3 5" xfId="7222" xr:uid="{00000000-0005-0000-0000-0000C1390000}"/>
    <cellStyle name="20% - Accent5 4 3 3 5 2" xfId="18523" xr:uid="{00000000-0005-0000-0000-0000C2390000}"/>
    <cellStyle name="20% - Accent5 4 3 3 5 2 2" xfId="41125" xr:uid="{00000000-0005-0000-0000-0000C3390000}"/>
    <cellStyle name="20% - Accent5 4 3 3 5 3" xfId="29824" xr:uid="{00000000-0005-0000-0000-0000C4390000}"/>
    <cellStyle name="20% - Accent5 4 3 3 6" xfId="12873" xr:uid="{00000000-0005-0000-0000-0000C5390000}"/>
    <cellStyle name="20% - Accent5 4 3 3 6 2" xfId="35475" xr:uid="{00000000-0005-0000-0000-0000C6390000}"/>
    <cellStyle name="20% - Accent5 4 3 3 7" xfId="24174" xr:uid="{00000000-0005-0000-0000-0000C7390000}"/>
    <cellStyle name="20% - Accent5 4 3 4" xfId="934" xr:uid="{00000000-0005-0000-0000-0000C8390000}"/>
    <cellStyle name="20% - Accent5 4 3 4 2" xfId="3004" xr:uid="{00000000-0005-0000-0000-0000C9390000}"/>
    <cellStyle name="20% - Accent5 4 3 4 2 2" xfId="5976" xr:uid="{00000000-0005-0000-0000-0000CA390000}"/>
    <cellStyle name="20% - Accent5 4 3 4 2 2 2" xfId="11626" xr:uid="{00000000-0005-0000-0000-0000CB390000}"/>
    <cellStyle name="20% - Accent5 4 3 4 2 2 2 2" xfId="22927" xr:uid="{00000000-0005-0000-0000-0000CC390000}"/>
    <cellStyle name="20% - Accent5 4 3 4 2 2 2 2 2" xfId="45529" xr:uid="{00000000-0005-0000-0000-0000CD390000}"/>
    <cellStyle name="20% - Accent5 4 3 4 2 2 2 3" xfId="34228" xr:uid="{00000000-0005-0000-0000-0000CE390000}"/>
    <cellStyle name="20% - Accent5 4 3 4 2 2 3" xfId="17277" xr:uid="{00000000-0005-0000-0000-0000CF390000}"/>
    <cellStyle name="20% - Accent5 4 3 4 2 2 3 2" xfId="39879" xr:uid="{00000000-0005-0000-0000-0000D0390000}"/>
    <cellStyle name="20% - Accent5 4 3 4 2 2 4" xfId="28578" xr:uid="{00000000-0005-0000-0000-0000D1390000}"/>
    <cellStyle name="20% - Accent5 4 3 4 2 3" xfId="8794" xr:uid="{00000000-0005-0000-0000-0000D2390000}"/>
    <cellStyle name="20% - Accent5 4 3 4 2 3 2" xfId="20095" xr:uid="{00000000-0005-0000-0000-0000D3390000}"/>
    <cellStyle name="20% - Accent5 4 3 4 2 3 2 2" xfId="42697" xr:uid="{00000000-0005-0000-0000-0000D4390000}"/>
    <cellStyle name="20% - Accent5 4 3 4 2 3 3" xfId="31396" xr:uid="{00000000-0005-0000-0000-0000D5390000}"/>
    <cellStyle name="20% - Accent5 4 3 4 2 4" xfId="14445" xr:uid="{00000000-0005-0000-0000-0000D6390000}"/>
    <cellStyle name="20% - Accent5 4 3 4 2 4 2" xfId="37047" xr:uid="{00000000-0005-0000-0000-0000D7390000}"/>
    <cellStyle name="20% - Accent5 4 3 4 2 5" xfId="25746" xr:uid="{00000000-0005-0000-0000-0000D8390000}"/>
    <cellStyle name="20% - Accent5 4 3 4 3" xfId="4742" xr:uid="{00000000-0005-0000-0000-0000D9390000}"/>
    <cellStyle name="20% - Accent5 4 3 4 3 2" xfId="10392" xr:uid="{00000000-0005-0000-0000-0000DA390000}"/>
    <cellStyle name="20% - Accent5 4 3 4 3 2 2" xfId="21693" xr:uid="{00000000-0005-0000-0000-0000DB390000}"/>
    <cellStyle name="20% - Accent5 4 3 4 3 2 2 2" xfId="44295" xr:uid="{00000000-0005-0000-0000-0000DC390000}"/>
    <cellStyle name="20% - Accent5 4 3 4 3 2 3" xfId="32994" xr:uid="{00000000-0005-0000-0000-0000DD390000}"/>
    <cellStyle name="20% - Accent5 4 3 4 3 3" xfId="16043" xr:uid="{00000000-0005-0000-0000-0000DE390000}"/>
    <cellStyle name="20% - Accent5 4 3 4 3 3 2" xfId="38645" xr:uid="{00000000-0005-0000-0000-0000DF390000}"/>
    <cellStyle name="20% - Accent5 4 3 4 3 4" xfId="27344" xr:uid="{00000000-0005-0000-0000-0000E0390000}"/>
    <cellStyle name="20% - Accent5 4 3 4 4" xfId="6929" xr:uid="{00000000-0005-0000-0000-0000E1390000}"/>
    <cellStyle name="20% - Accent5 4 3 4 4 2" xfId="18230" xr:uid="{00000000-0005-0000-0000-0000E2390000}"/>
    <cellStyle name="20% - Accent5 4 3 4 4 2 2" xfId="40832" xr:uid="{00000000-0005-0000-0000-0000E3390000}"/>
    <cellStyle name="20% - Accent5 4 3 4 4 3" xfId="29531" xr:uid="{00000000-0005-0000-0000-0000E4390000}"/>
    <cellStyle name="20% - Accent5 4 3 4 5" xfId="12580" xr:uid="{00000000-0005-0000-0000-0000E5390000}"/>
    <cellStyle name="20% - Accent5 4 3 4 5 2" xfId="35182" xr:uid="{00000000-0005-0000-0000-0000E6390000}"/>
    <cellStyle name="20% - Accent5 4 3 4 6" xfId="23881" xr:uid="{00000000-0005-0000-0000-0000E7390000}"/>
    <cellStyle name="20% - Accent5 4 3 5" xfId="1738" xr:uid="{00000000-0005-0000-0000-0000E8390000}"/>
    <cellStyle name="20% - Accent5 4 3 5 2" xfId="3665" xr:uid="{00000000-0005-0000-0000-0000E9390000}"/>
    <cellStyle name="20% - Accent5 4 3 5 2 2" xfId="9376" xr:uid="{00000000-0005-0000-0000-0000EA390000}"/>
    <cellStyle name="20% - Accent5 4 3 5 2 2 2" xfId="20677" xr:uid="{00000000-0005-0000-0000-0000EB390000}"/>
    <cellStyle name="20% - Accent5 4 3 5 2 2 2 2" xfId="43279" xr:uid="{00000000-0005-0000-0000-0000EC390000}"/>
    <cellStyle name="20% - Accent5 4 3 5 2 2 3" xfId="31978" xr:uid="{00000000-0005-0000-0000-0000ED390000}"/>
    <cellStyle name="20% - Accent5 4 3 5 2 3" xfId="15027" xr:uid="{00000000-0005-0000-0000-0000EE390000}"/>
    <cellStyle name="20% - Accent5 4 3 5 2 3 2" xfId="37629" xr:uid="{00000000-0005-0000-0000-0000EF390000}"/>
    <cellStyle name="20% - Accent5 4 3 5 2 4" xfId="26328" xr:uid="{00000000-0005-0000-0000-0000F0390000}"/>
    <cellStyle name="20% - Accent5 4 3 5 3" xfId="5352" xr:uid="{00000000-0005-0000-0000-0000F1390000}"/>
    <cellStyle name="20% - Accent5 4 3 5 3 2" xfId="11002" xr:uid="{00000000-0005-0000-0000-0000F2390000}"/>
    <cellStyle name="20% - Accent5 4 3 5 3 2 2" xfId="22303" xr:uid="{00000000-0005-0000-0000-0000F3390000}"/>
    <cellStyle name="20% - Accent5 4 3 5 3 2 2 2" xfId="44905" xr:uid="{00000000-0005-0000-0000-0000F4390000}"/>
    <cellStyle name="20% - Accent5 4 3 5 3 2 3" xfId="33604" xr:uid="{00000000-0005-0000-0000-0000F5390000}"/>
    <cellStyle name="20% - Accent5 4 3 5 3 3" xfId="16653" xr:uid="{00000000-0005-0000-0000-0000F6390000}"/>
    <cellStyle name="20% - Accent5 4 3 5 3 3 2" xfId="39255" xr:uid="{00000000-0005-0000-0000-0000F7390000}"/>
    <cellStyle name="20% - Accent5 4 3 5 3 4" xfId="27954" xr:uid="{00000000-0005-0000-0000-0000F8390000}"/>
    <cellStyle name="20% - Accent5 4 3 5 4" xfId="7594" xr:uid="{00000000-0005-0000-0000-0000F9390000}"/>
    <cellStyle name="20% - Accent5 4 3 5 4 2" xfId="18895" xr:uid="{00000000-0005-0000-0000-0000FA390000}"/>
    <cellStyle name="20% - Accent5 4 3 5 4 2 2" xfId="41497" xr:uid="{00000000-0005-0000-0000-0000FB390000}"/>
    <cellStyle name="20% - Accent5 4 3 5 4 3" xfId="30196" xr:uid="{00000000-0005-0000-0000-0000FC390000}"/>
    <cellStyle name="20% - Accent5 4 3 5 5" xfId="13245" xr:uid="{00000000-0005-0000-0000-0000FD390000}"/>
    <cellStyle name="20% - Accent5 4 3 5 5 2" xfId="35847" xr:uid="{00000000-0005-0000-0000-0000FE390000}"/>
    <cellStyle name="20% - Accent5 4 3 5 6" xfId="24546" xr:uid="{00000000-0005-0000-0000-0000FF390000}"/>
    <cellStyle name="20% - Accent5 4 3 6" xfId="2331" xr:uid="{00000000-0005-0000-0000-0000003A0000}"/>
    <cellStyle name="20% - Accent5 4 3 6 2" xfId="8167" xr:uid="{00000000-0005-0000-0000-0000013A0000}"/>
    <cellStyle name="20% - Accent5 4 3 6 2 2" xfId="19468" xr:uid="{00000000-0005-0000-0000-0000023A0000}"/>
    <cellStyle name="20% - Accent5 4 3 6 2 2 2" xfId="42070" xr:uid="{00000000-0005-0000-0000-0000033A0000}"/>
    <cellStyle name="20% - Accent5 4 3 6 2 3" xfId="30769" xr:uid="{00000000-0005-0000-0000-0000043A0000}"/>
    <cellStyle name="20% - Accent5 4 3 6 3" xfId="13818" xr:uid="{00000000-0005-0000-0000-0000053A0000}"/>
    <cellStyle name="20% - Accent5 4 3 6 3 2" xfId="36420" xr:uid="{00000000-0005-0000-0000-0000063A0000}"/>
    <cellStyle name="20% - Accent5 4 3 6 4" xfId="25119" xr:uid="{00000000-0005-0000-0000-0000073A0000}"/>
    <cellStyle name="20% - Accent5 4 3 7" xfId="4118" xr:uid="{00000000-0005-0000-0000-0000083A0000}"/>
    <cellStyle name="20% - Accent5 4 3 7 2" xfId="9768" xr:uid="{00000000-0005-0000-0000-0000093A0000}"/>
    <cellStyle name="20% - Accent5 4 3 7 2 2" xfId="21069" xr:uid="{00000000-0005-0000-0000-00000A3A0000}"/>
    <cellStyle name="20% - Accent5 4 3 7 2 2 2" xfId="43671" xr:uid="{00000000-0005-0000-0000-00000B3A0000}"/>
    <cellStyle name="20% - Accent5 4 3 7 2 3" xfId="32370" xr:uid="{00000000-0005-0000-0000-00000C3A0000}"/>
    <cellStyle name="20% - Accent5 4 3 7 3" xfId="15419" xr:uid="{00000000-0005-0000-0000-00000D3A0000}"/>
    <cellStyle name="20% - Accent5 4 3 7 3 2" xfId="38021" xr:uid="{00000000-0005-0000-0000-00000E3A0000}"/>
    <cellStyle name="20% - Accent5 4 3 7 4" xfId="26720" xr:uid="{00000000-0005-0000-0000-00000F3A0000}"/>
    <cellStyle name="20% - Accent5 4 3 8" xfId="6569" xr:uid="{00000000-0005-0000-0000-0000103A0000}"/>
    <cellStyle name="20% - Accent5 4 3 8 2" xfId="17870" xr:uid="{00000000-0005-0000-0000-0000113A0000}"/>
    <cellStyle name="20% - Accent5 4 3 8 2 2" xfId="40472" xr:uid="{00000000-0005-0000-0000-0000123A0000}"/>
    <cellStyle name="20% - Accent5 4 3 8 3" xfId="29171" xr:uid="{00000000-0005-0000-0000-0000133A0000}"/>
    <cellStyle name="20% - Accent5 4 3 9" xfId="12220" xr:uid="{00000000-0005-0000-0000-0000143A0000}"/>
    <cellStyle name="20% - Accent5 4 3 9 2" xfId="34822" xr:uid="{00000000-0005-0000-0000-0000153A0000}"/>
    <cellStyle name="20% - Accent5 4 4" xfId="573" xr:uid="{00000000-0005-0000-0000-0000163A0000}"/>
    <cellStyle name="20% - Accent5 4 4 2" xfId="1147" xr:uid="{00000000-0005-0000-0000-0000173A0000}"/>
    <cellStyle name="20% - Accent5 4 4 2 2" xfId="1743" xr:uid="{00000000-0005-0000-0000-0000183A0000}"/>
    <cellStyle name="20% - Accent5 4 4 2 2 2" xfId="3215" xr:uid="{00000000-0005-0000-0000-0000193A0000}"/>
    <cellStyle name="20% - Accent5 4 4 2 2 2 2" xfId="6187" xr:uid="{00000000-0005-0000-0000-00001A3A0000}"/>
    <cellStyle name="20% - Accent5 4 4 2 2 2 2 2" xfId="11837" xr:uid="{00000000-0005-0000-0000-00001B3A0000}"/>
    <cellStyle name="20% - Accent5 4 4 2 2 2 2 2 2" xfId="23138" xr:uid="{00000000-0005-0000-0000-00001C3A0000}"/>
    <cellStyle name="20% - Accent5 4 4 2 2 2 2 2 2 2" xfId="45740" xr:uid="{00000000-0005-0000-0000-00001D3A0000}"/>
    <cellStyle name="20% - Accent5 4 4 2 2 2 2 2 3" xfId="34439" xr:uid="{00000000-0005-0000-0000-00001E3A0000}"/>
    <cellStyle name="20% - Accent5 4 4 2 2 2 2 3" xfId="17488" xr:uid="{00000000-0005-0000-0000-00001F3A0000}"/>
    <cellStyle name="20% - Accent5 4 4 2 2 2 2 3 2" xfId="40090" xr:uid="{00000000-0005-0000-0000-0000203A0000}"/>
    <cellStyle name="20% - Accent5 4 4 2 2 2 2 4" xfId="28789" xr:uid="{00000000-0005-0000-0000-0000213A0000}"/>
    <cellStyle name="20% - Accent5 4 4 2 2 2 3" xfId="9005" xr:uid="{00000000-0005-0000-0000-0000223A0000}"/>
    <cellStyle name="20% - Accent5 4 4 2 2 2 3 2" xfId="20306" xr:uid="{00000000-0005-0000-0000-0000233A0000}"/>
    <cellStyle name="20% - Accent5 4 4 2 2 2 3 2 2" xfId="42908" xr:uid="{00000000-0005-0000-0000-0000243A0000}"/>
    <cellStyle name="20% - Accent5 4 4 2 2 2 3 3" xfId="31607" xr:uid="{00000000-0005-0000-0000-0000253A0000}"/>
    <cellStyle name="20% - Accent5 4 4 2 2 2 4" xfId="14656" xr:uid="{00000000-0005-0000-0000-0000263A0000}"/>
    <cellStyle name="20% - Accent5 4 4 2 2 2 4 2" xfId="37258" xr:uid="{00000000-0005-0000-0000-0000273A0000}"/>
    <cellStyle name="20% - Accent5 4 4 2 2 2 5" xfId="25957" xr:uid="{00000000-0005-0000-0000-0000283A0000}"/>
    <cellStyle name="20% - Accent5 4 4 2 2 3" xfId="4953" xr:uid="{00000000-0005-0000-0000-0000293A0000}"/>
    <cellStyle name="20% - Accent5 4 4 2 2 3 2" xfId="10603" xr:uid="{00000000-0005-0000-0000-00002A3A0000}"/>
    <cellStyle name="20% - Accent5 4 4 2 2 3 2 2" xfId="21904" xr:uid="{00000000-0005-0000-0000-00002B3A0000}"/>
    <cellStyle name="20% - Accent5 4 4 2 2 3 2 2 2" xfId="44506" xr:uid="{00000000-0005-0000-0000-00002C3A0000}"/>
    <cellStyle name="20% - Accent5 4 4 2 2 3 2 3" xfId="33205" xr:uid="{00000000-0005-0000-0000-00002D3A0000}"/>
    <cellStyle name="20% - Accent5 4 4 2 2 3 3" xfId="16254" xr:uid="{00000000-0005-0000-0000-00002E3A0000}"/>
    <cellStyle name="20% - Accent5 4 4 2 2 3 3 2" xfId="38856" xr:uid="{00000000-0005-0000-0000-00002F3A0000}"/>
    <cellStyle name="20% - Accent5 4 4 2 2 3 4" xfId="27555" xr:uid="{00000000-0005-0000-0000-0000303A0000}"/>
    <cellStyle name="20% - Accent5 4 4 2 2 4" xfId="7599" xr:uid="{00000000-0005-0000-0000-0000313A0000}"/>
    <cellStyle name="20% - Accent5 4 4 2 2 4 2" xfId="18900" xr:uid="{00000000-0005-0000-0000-0000323A0000}"/>
    <cellStyle name="20% - Accent5 4 4 2 2 4 2 2" xfId="41502" xr:uid="{00000000-0005-0000-0000-0000333A0000}"/>
    <cellStyle name="20% - Accent5 4 4 2 2 4 3" xfId="30201" xr:uid="{00000000-0005-0000-0000-0000343A0000}"/>
    <cellStyle name="20% - Accent5 4 4 2 2 5" xfId="13250" xr:uid="{00000000-0005-0000-0000-0000353A0000}"/>
    <cellStyle name="20% - Accent5 4 4 2 2 5 2" xfId="35852" xr:uid="{00000000-0005-0000-0000-0000363A0000}"/>
    <cellStyle name="20% - Accent5 4 4 2 2 6" xfId="24551" xr:uid="{00000000-0005-0000-0000-0000373A0000}"/>
    <cellStyle name="20% - Accent5 4 4 2 3" xfId="2544" xr:uid="{00000000-0005-0000-0000-0000383A0000}"/>
    <cellStyle name="20% - Accent5 4 4 2 3 2" xfId="5563" xr:uid="{00000000-0005-0000-0000-0000393A0000}"/>
    <cellStyle name="20% - Accent5 4 4 2 3 2 2" xfId="11213" xr:uid="{00000000-0005-0000-0000-00003A3A0000}"/>
    <cellStyle name="20% - Accent5 4 4 2 3 2 2 2" xfId="22514" xr:uid="{00000000-0005-0000-0000-00003B3A0000}"/>
    <cellStyle name="20% - Accent5 4 4 2 3 2 2 2 2" xfId="45116" xr:uid="{00000000-0005-0000-0000-00003C3A0000}"/>
    <cellStyle name="20% - Accent5 4 4 2 3 2 2 3" xfId="33815" xr:uid="{00000000-0005-0000-0000-00003D3A0000}"/>
    <cellStyle name="20% - Accent5 4 4 2 3 2 3" xfId="16864" xr:uid="{00000000-0005-0000-0000-00003E3A0000}"/>
    <cellStyle name="20% - Accent5 4 4 2 3 2 3 2" xfId="39466" xr:uid="{00000000-0005-0000-0000-00003F3A0000}"/>
    <cellStyle name="20% - Accent5 4 4 2 3 2 4" xfId="28165" xr:uid="{00000000-0005-0000-0000-0000403A0000}"/>
    <cellStyle name="20% - Accent5 4 4 2 3 3" xfId="8380" xr:uid="{00000000-0005-0000-0000-0000413A0000}"/>
    <cellStyle name="20% - Accent5 4 4 2 3 3 2" xfId="19681" xr:uid="{00000000-0005-0000-0000-0000423A0000}"/>
    <cellStyle name="20% - Accent5 4 4 2 3 3 2 2" xfId="42283" xr:uid="{00000000-0005-0000-0000-0000433A0000}"/>
    <cellStyle name="20% - Accent5 4 4 2 3 3 3" xfId="30982" xr:uid="{00000000-0005-0000-0000-0000443A0000}"/>
    <cellStyle name="20% - Accent5 4 4 2 3 4" xfId="14031" xr:uid="{00000000-0005-0000-0000-0000453A0000}"/>
    <cellStyle name="20% - Accent5 4 4 2 3 4 2" xfId="36633" xr:uid="{00000000-0005-0000-0000-0000463A0000}"/>
    <cellStyle name="20% - Accent5 4 4 2 3 5" xfId="25332" xr:uid="{00000000-0005-0000-0000-0000473A0000}"/>
    <cellStyle name="20% - Accent5 4 4 2 4" xfId="4329" xr:uid="{00000000-0005-0000-0000-0000483A0000}"/>
    <cellStyle name="20% - Accent5 4 4 2 4 2" xfId="9979" xr:uid="{00000000-0005-0000-0000-0000493A0000}"/>
    <cellStyle name="20% - Accent5 4 4 2 4 2 2" xfId="21280" xr:uid="{00000000-0005-0000-0000-00004A3A0000}"/>
    <cellStyle name="20% - Accent5 4 4 2 4 2 2 2" xfId="43882" xr:uid="{00000000-0005-0000-0000-00004B3A0000}"/>
    <cellStyle name="20% - Accent5 4 4 2 4 2 3" xfId="32581" xr:uid="{00000000-0005-0000-0000-00004C3A0000}"/>
    <cellStyle name="20% - Accent5 4 4 2 4 3" xfId="15630" xr:uid="{00000000-0005-0000-0000-00004D3A0000}"/>
    <cellStyle name="20% - Accent5 4 4 2 4 3 2" xfId="38232" xr:uid="{00000000-0005-0000-0000-00004E3A0000}"/>
    <cellStyle name="20% - Accent5 4 4 2 4 4" xfId="26931" xr:uid="{00000000-0005-0000-0000-00004F3A0000}"/>
    <cellStyle name="20% - Accent5 4 4 2 5" xfId="7126" xr:uid="{00000000-0005-0000-0000-0000503A0000}"/>
    <cellStyle name="20% - Accent5 4 4 2 5 2" xfId="18427" xr:uid="{00000000-0005-0000-0000-0000513A0000}"/>
    <cellStyle name="20% - Accent5 4 4 2 5 2 2" xfId="41029" xr:uid="{00000000-0005-0000-0000-0000523A0000}"/>
    <cellStyle name="20% - Accent5 4 4 2 5 3" xfId="29728" xr:uid="{00000000-0005-0000-0000-0000533A0000}"/>
    <cellStyle name="20% - Accent5 4 4 2 6" xfId="12777" xr:uid="{00000000-0005-0000-0000-0000543A0000}"/>
    <cellStyle name="20% - Accent5 4 4 2 6 2" xfId="35379" xr:uid="{00000000-0005-0000-0000-0000553A0000}"/>
    <cellStyle name="20% - Accent5 4 4 2 7" xfId="24078" xr:uid="{00000000-0005-0000-0000-0000563A0000}"/>
    <cellStyle name="20% - Accent5 4 4 3" xfId="821" xr:uid="{00000000-0005-0000-0000-0000573A0000}"/>
    <cellStyle name="20% - Accent5 4 4 3 2" xfId="2908" xr:uid="{00000000-0005-0000-0000-0000583A0000}"/>
    <cellStyle name="20% - Accent5 4 4 3 2 2" xfId="5880" xr:uid="{00000000-0005-0000-0000-0000593A0000}"/>
    <cellStyle name="20% - Accent5 4 4 3 2 2 2" xfId="11530" xr:uid="{00000000-0005-0000-0000-00005A3A0000}"/>
    <cellStyle name="20% - Accent5 4 4 3 2 2 2 2" xfId="22831" xr:uid="{00000000-0005-0000-0000-00005B3A0000}"/>
    <cellStyle name="20% - Accent5 4 4 3 2 2 2 2 2" xfId="45433" xr:uid="{00000000-0005-0000-0000-00005C3A0000}"/>
    <cellStyle name="20% - Accent5 4 4 3 2 2 2 3" xfId="34132" xr:uid="{00000000-0005-0000-0000-00005D3A0000}"/>
    <cellStyle name="20% - Accent5 4 4 3 2 2 3" xfId="17181" xr:uid="{00000000-0005-0000-0000-00005E3A0000}"/>
    <cellStyle name="20% - Accent5 4 4 3 2 2 3 2" xfId="39783" xr:uid="{00000000-0005-0000-0000-00005F3A0000}"/>
    <cellStyle name="20% - Accent5 4 4 3 2 2 4" xfId="28482" xr:uid="{00000000-0005-0000-0000-0000603A0000}"/>
    <cellStyle name="20% - Accent5 4 4 3 2 3" xfId="8698" xr:uid="{00000000-0005-0000-0000-0000613A0000}"/>
    <cellStyle name="20% - Accent5 4 4 3 2 3 2" xfId="19999" xr:uid="{00000000-0005-0000-0000-0000623A0000}"/>
    <cellStyle name="20% - Accent5 4 4 3 2 3 2 2" xfId="42601" xr:uid="{00000000-0005-0000-0000-0000633A0000}"/>
    <cellStyle name="20% - Accent5 4 4 3 2 3 3" xfId="31300" xr:uid="{00000000-0005-0000-0000-0000643A0000}"/>
    <cellStyle name="20% - Accent5 4 4 3 2 4" xfId="14349" xr:uid="{00000000-0005-0000-0000-0000653A0000}"/>
    <cellStyle name="20% - Accent5 4 4 3 2 4 2" xfId="36951" xr:uid="{00000000-0005-0000-0000-0000663A0000}"/>
    <cellStyle name="20% - Accent5 4 4 3 2 5" xfId="25650" xr:uid="{00000000-0005-0000-0000-0000673A0000}"/>
    <cellStyle name="20% - Accent5 4 4 3 3" xfId="4646" xr:uid="{00000000-0005-0000-0000-0000683A0000}"/>
    <cellStyle name="20% - Accent5 4 4 3 3 2" xfId="10296" xr:uid="{00000000-0005-0000-0000-0000693A0000}"/>
    <cellStyle name="20% - Accent5 4 4 3 3 2 2" xfId="21597" xr:uid="{00000000-0005-0000-0000-00006A3A0000}"/>
    <cellStyle name="20% - Accent5 4 4 3 3 2 2 2" xfId="44199" xr:uid="{00000000-0005-0000-0000-00006B3A0000}"/>
    <cellStyle name="20% - Accent5 4 4 3 3 2 3" xfId="32898" xr:uid="{00000000-0005-0000-0000-00006C3A0000}"/>
    <cellStyle name="20% - Accent5 4 4 3 3 3" xfId="15947" xr:uid="{00000000-0005-0000-0000-00006D3A0000}"/>
    <cellStyle name="20% - Accent5 4 4 3 3 3 2" xfId="38549" xr:uid="{00000000-0005-0000-0000-00006E3A0000}"/>
    <cellStyle name="20% - Accent5 4 4 3 3 4" xfId="27248" xr:uid="{00000000-0005-0000-0000-00006F3A0000}"/>
    <cellStyle name="20% - Accent5 4 4 3 4" xfId="6829" xr:uid="{00000000-0005-0000-0000-0000703A0000}"/>
    <cellStyle name="20% - Accent5 4 4 3 4 2" xfId="18130" xr:uid="{00000000-0005-0000-0000-0000713A0000}"/>
    <cellStyle name="20% - Accent5 4 4 3 4 2 2" xfId="40732" xr:uid="{00000000-0005-0000-0000-0000723A0000}"/>
    <cellStyle name="20% - Accent5 4 4 3 4 3" xfId="29431" xr:uid="{00000000-0005-0000-0000-0000733A0000}"/>
    <cellStyle name="20% - Accent5 4 4 3 5" xfId="12480" xr:uid="{00000000-0005-0000-0000-0000743A0000}"/>
    <cellStyle name="20% - Accent5 4 4 3 5 2" xfId="35082" xr:uid="{00000000-0005-0000-0000-0000753A0000}"/>
    <cellStyle name="20% - Accent5 4 4 3 6" xfId="23781" xr:uid="{00000000-0005-0000-0000-0000763A0000}"/>
    <cellStyle name="20% - Accent5 4 4 4" xfId="1742" xr:uid="{00000000-0005-0000-0000-0000773A0000}"/>
    <cellStyle name="20% - Accent5 4 4 4 2" xfId="3667" xr:uid="{00000000-0005-0000-0000-0000783A0000}"/>
    <cellStyle name="20% - Accent5 4 4 4 2 2" xfId="9378" xr:uid="{00000000-0005-0000-0000-0000793A0000}"/>
    <cellStyle name="20% - Accent5 4 4 4 2 2 2" xfId="20679" xr:uid="{00000000-0005-0000-0000-00007A3A0000}"/>
    <cellStyle name="20% - Accent5 4 4 4 2 2 2 2" xfId="43281" xr:uid="{00000000-0005-0000-0000-00007B3A0000}"/>
    <cellStyle name="20% - Accent5 4 4 4 2 2 3" xfId="31980" xr:uid="{00000000-0005-0000-0000-00007C3A0000}"/>
    <cellStyle name="20% - Accent5 4 4 4 2 3" xfId="15029" xr:uid="{00000000-0005-0000-0000-00007D3A0000}"/>
    <cellStyle name="20% - Accent5 4 4 4 2 3 2" xfId="37631" xr:uid="{00000000-0005-0000-0000-00007E3A0000}"/>
    <cellStyle name="20% - Accent5 4 4 4 2 4" xfId="26330" xr:uid="{00000000-0005-0000-0000-00007F3A0000}"/>
    <cellStyle name="20% - Accent5 4 4 4 3" xfId="5256" xr:uid="{00000000-0005-0000-0000-0000803A0000}"/>
    <cellStyle name="20% - Accent5 4 4 4 3 2" xfId="10906" xr:uid="{00000000-0005-0000-0000-0000813A0000}"/>
    <cellStyle name="20% - Accent5 4 4 4 3 2 2" xfId="22207" xr:uid="{00000000-0005-0000-0000-0000823A0000}"/>
    <cellStyle name="20% - Accent5 4 4 4 3 2 2 2" xfId="44809" xr:uid="{00000000-0005-0000-0000-0000833A0000}"/>
    <cellStyle name="20% - Accent5 4 4 4 3 2 3" xfId="33508" xr:uid="{00000000-0005-0000-0000-0000843A0000}"/>
    <cellStyle name="20% - Accent5 4 4 4 3 3" xfId="16557" xr:uid="{00000000-0005-0000-0000-0000853A0000}"/>
    <cellStyle name="20% - Accent5 4 4 4 3 3 2" xfId="39159" xr:uid="{00000000-0005-0000-0000-0000863A0000}"/>
    <cellStyle name="20% - Accent5 4 4 4 3 4" xfId="27858" xr:uid="{00000000-0005-0000-0000-0000873A0000}"/>
    <cellStyle name="20% - Accent5 4 4 4 4" xfId="7598" xr:uid="{00000000-0005-0000-0000-0000883A0000}"/>
    <cellStyle name="20% - Accent5 4 4 4 4 2" xfId="18899" xr:uid="{00000000-0005-0000-0000-0000893A0000}"/>
    <cellStyle name="20% - Accent5 4 4 4 4 2 2" xfId="41501" xr:uid="{00000000-0005-0000-0000-00008A3A0000}"/>
    <cellStyle name="20% - Accent5 4 4 4 4 3" xfId="30200" xr:uid="{00000000-0005-0000-0000-00008B3A0000}"/>
    <cellStyle name="20% - Accent5 4 4 4 5" xfId="13249" xr:uid="{00000000-0005-0000-0000-00008C3A0000}"/>
    <cellStyle name="20% - Accent5 4 4 4 5 2" xfId="35851" xr:uid="{00000000-0005-0000-0000-00008D3A0000}"/>
    <cellStyle name="20% - Accent5 4 4 4 6" xfId="24550" xr:uid="{00000000-0005-0000-0000-00008E3A0000}"/>
    <cellStyle name="20% - Accent5 4 4 5" xfId="2228" xr:uid="{00000000-0005-0000-0000-00008F3A0000}"/>
    <cellStyle name="20% - Accent5 4 4 5 2" xfId="8070" xr:uid="{00000000-0005-0000-0000-0000903A0000}"/>
    <cellStyle name="20% - Accent5 4 4 5 2 2" xfId="19371" xr:uid="{00000000-0005-0000-0000-0000913A0000}"/>
    <cellStyle name="20% - Accent5 4 4 5 2 2 2" xfId="41973" xr:uid="{00000000-0005-0000-0000-0000923A0000}"/>
    <cellStyle name="20% - Accent5 4 4 5 2 3" xfId="30672" xr:uid="{00000000-0005-0000-0000-0000933A0000}"/>
    <cellStyle name="20% - Accent5 4 4 5 3" xfId="13721" xr:uid="{00000000-0005-0000-0000-0000943A0000}"/>
    <cellStyle name="20% - Accent5 4 4 5 3 2" xfId="36323" xr:uid="{00000000-0005-0000-0000-0000953A0000}"/>
    <cellStyle name="20% - Accent5 4 4 5 4" xfId="25022" xr:uid="{00000000-0005-0000-0000-0000963A0000}"/>
    <cellStyle name="20% - Accent5 4 4 6" xfId="4022" xr:uid="{00000000-0005-0000-0000-0000973A0000}"/>
    <cellStyle name="20% - Accent5 4 4 6 2" xfId="9672" xr:uid="{00000000-0005-0000-0000-0000983A0000}"/>
    <cellStyle name="20% - Accent5 4 4 6 2 2" xfId="20973" xr:uid="{00000000-0005-0000-0000-0000993A0000}"/>
    <cellStyle name="20% - Accent5 4 4 6 2 2 2" xfId="43575" xr:uid="{00000000-0005-0000-0000-00009A3A0000}"/>
    <cellStyle name="20% - Accent5 4 4 6 2 3" xfId="32274" xr:uid="{00000000-0005-0000-0000-00009B3A0000}"/>
    <cellStyle name="20% - Accent5 4 4 6 3" xfId="15323" xr:uid="{00000000-0005-0000-0000-00009C3A0000}"/>
    <cellStyle name="20% - Accent5 4 4 6 3 2" xfId="37925" xr:uid="{00000000-0005-0000-0000-00009D3A0000}"/>
    <cellStyle name="20% - Accent5 4 4 6 4" xfId="26624" xr:uid="{00000000-0005-0000-0000-00009E3A0000}"/>
    <cellStyle name="20% - Accent5 4 4 7" xfId="6640" xr:uid="{00000000-0005-0000-0000-00009F3A0000}"/>
    <cellStyle name="20% - Accent5 4 4 7 2" xfId="17941" xr:uid="{00000000-0005-0000-0000-0000A03A0000}"/>
    <cellStyle name="20% - Accent5 4 4 7 2 2" xfId="40543" xr:uid="{00000000-0005-0000-0000-0000A13A0000}"/>
    <cellStyle name="20% - Accent5 4 4 7 3" xfId="29242" xr:uid="{00000000-0005-0000-0000-0000A23A0000}"/>
    <cellStyle name="20% - Accent5 4 4 8" xfId="12291" xr:uid="{00000000-0005-0000-0000-0000A33A0000}"/>
    <cellStyle name="20% - Accent5 4 4 8 2" xfId="34893" xr:uid="{00000000-0005-0000-0000-0000A43A0000}"/>
    <cellStyle name="20% - Accent5 4 4 9" xfId="23592" xr:uid="{00000000-0005-0000-0000-0000A53A0000}"/>
    <cellStyle name="20% - Accent5 4 5" xfId="517" xr:uid="{00000000-0005-0000-0000-0000A63A0000}"/>
    <cellStyle name="20% - Accent5 4 5 2" xfId="1286" xr:uid="{00000000-0005-0000-0000-0000A73A0000}"/>
    <cellStyle name="20% - Accent5 4 5 2 2" xfId="1745" xr:uid="{00000000-0005-0000-0000-0000A83A0000}"/>
    <cellStyle name="20% - Accent5 4 5 2 2 2" xfId="3355" xr:uid="{00000000-0005-0000-0000-0000A93A0000}"/>
    <cellStyle name="20% - Accent5 4 5 2 2 2 2" xfId="6327" xr:uid="{00000000-0005-0000-0000-0000AA3A0000}"/>
    <cellStyle name="20% - Accent5 4 5 2 2 2 2 2" xfId="11977" xr:uid="{00000000-0005-0000-0000-0000AB3A0000}"/>
    <cellStyle name="20% - Accent5 4 5 2 2 2 2 2 2" xfId="23278" xr:uid="{00000000-0005-0000-0000-0000AC3A0000}"/>
    <cellStyle name="20% - Accent5 4 5 2 2 2 2 2 2 2" xfId="45880" xr:uid="{00000000-0005-0000-0000-0000AD3A0000}"/>
    <cellStyle name="20% - Accent5 4 5 2 2 2 2 2 3" xfId="34579" xr:uid="{00000000-0005-0000-0000-0000AE3A0000}"/>
    <cellStyle name="20% - Accent5 4 5 2 2 2 2 3" xfId="17628" xr:uid="{00000000-0005-0000-0000-0000AF3A0000}"/>
    <cellStyle name="20% - Accent5 4 5 2 2 2 2 3 2" xfId="40230" xr:uid="{00000000-0005-0000-0000-0000B03A0000}"/>
    <cellStyle name="20% - Accent5 4 5 2 2 2 2 4" xfId="28929" xr:uid="{00000000-0005-0000-0000-0000B13A0000}"/>
    <cellStyle name="20% - Accent5 4 5 2 2 2 3" xfId="9145" xr:uid="{00000000-0005-0000-0000-0000B23A0000}"/>
    <cellStyle name="20% - Accent5 4 5 2 2 2 3 2" xfId="20446" xr:uid="{00000000-0005-0000-0000-0000B33A0000}"/>
    <cellStyle name="20% - Accent5 4 5 2 2 2 3 2 2" xfId="43048" xr:uid="{00000000-0005-0000-0000-0000B43A0000}"/>
    <cellStyle name="20% - Accent5 4 5 2 2 2 3 3" xfId="31747" xr:uid="{00000000-0005-0000-0000-0000B53A0000}"/>
    <cellStyle name="20% - Accent5 4 5 2 2 2 4" xfId="14796" xr:uid="{00000000-0005-0000-0000-0000B63A0000}"/>
    <cellStyle name="20% - Accent5 4 5 2 2 2 4 2" xfId="37398" xr:uid="{00000000-0005-0000-0000-0000B73A0000}"/>
    <cellStyle name="20% - Accent5 4 5 2 2 2 5" xfId="26097" xr:uid="{00000000-0005-0000-0000-0000B83A0000}"/>
    <cellStyle name="20% - Accent5 4 5 2 2 3" xfId="5093" xr:uid="{00000000-0005-0000-0000-0000B93A0000}"/>
    <cellStyle name="20% - Accent5 4 5 2 2 3 2" xfId="10743" xr:uid="{00000000-0005-0000-0000-0000BA3A0000}"/>
    <cellStyle name="20% - Accent5 4 5 2 2 3 2 2" xfId="22044" xr:uid="{00000000-0005-0000-0000-0000BB3A0000}"/>
    <cellStyle name="20% - Accent5 4 5 2 2 3 2 2 2" xfId="44646" xr:uid="{00000000-0005-0000-0000-0000BC3A0000}"/>
    <cellStyle name="20% - Accent5 4 5 2 2 3 2 3" xfId="33345" xr:uid="{00000000-0005-0000-0000-0000BD3A0000}"/>
    <cellStyle name="20% - Accent5 4 5 2 2 3 3" xfId="16394" xr:uid="{00000000-0005-0000-0000-0000BE3A0000}"/>
    <cellStyle name="20% - Accent5 4 5 2 2 3 3 2" xfId="38996" xr:uid="{00000000-0005-0000-0000-0000BF3A0000}"/>
    <cellStyle name="20% - Accent5 4 5 2 2 3 4" xfId="27695" xr:uid="{00000000-0005-0000-0000-0000C03A0000}"/>
    <cellStyle name="20% - Accent5 4 5 2 2 4" xfId="7601" xr:uid="{00000000-0005-0000-0000-0000C13A0000}"/>
    <cellStyle name="20% - Accent5 4 5 2 2 4 2" xfId="18902" xr:uid="{00000000-0005-0000-0000-0000C23A0000}"/>
    <cellStyle name="20% - Accent5 4 5 2 2 4 2 2" xfId="41504" xr:uid="{00000000-0005-0000-0000-0000C33A0000}"/>
    <cellStyle name="20% - Accent5 4 5 2 2 4 3" xfId="30203" xr:uid="{00000000-0005-0000-0000-0000C43A0000}"/>
    <cellStyle name="20% - Accent5 4 5 2 2 5" xfId="13252" xr:uid="{00000000-0005-0000-0000-0000C53A0000}"/>
    <cellStyle name="20% - Accent5 4 5 2 2 5 2" xfId="35854" xr:uid="{00000000-0005-0000-0000-0000C63A0000}"/>
    <cellStyle name="20% - Accent5 4 5 2 2 6" xfId="24553" xr:uid="{00000000-0005-0000-0000-0000C73A0000}"/>
    <cellStyle name="20% - Accent5 4 5 2 3" xfId="2684" xr:uid="{00000000-0005-0000-0000-0000C83A0000}"/>
    <cellStyle name="20% - Accent5 4 5 2 3 2" xfId="5703" xr:uid="{00000000-0005-0000-0000-0000C93A0000}"/>
    <cellStyle name="20% - Accent5 4 5 2 3 2 2" xfId="11353" xr:uid="{00000000-0005-0000-0000-0000CA3A0000}"/>
    <cellStyle name="20% - Accent5 4 5 2 3 2 2 2" xfId="22654" xr:uid="{00000000-0005-0000-0000-0000CB3A0000}"/>
    <cellStyle name="20% - Accent5 4 5 2 3 2 2 2 2" xfId="45256" xr:uid="{00000000-0005-0000-0000-0000CC3A0000}"/>
    <cellStyle name="20% - Accent5 4 5 2 3 2 2 3" xfId="33955" xr:uid="{00000000-0005-0000-0000-0000CD3A0000}"/>
    <cellStyle name="20% - Accent5 4 5 2 3 2 3" xfId="17004" xr:uid="{00000000-0005-0000-0000-0000CE3A0000}"/>
    <cellStyle name="20% - Accent5 4 5 2 3 2 3 2" xfId="39606" xr:uid="{00000000-0005-0000-0000-0000CF3A0000}"/>
    <cellStyle name="20% - Accent5 4 5 2 3 2 4" xfId="28305" xr:uid="{00000000-0005-0000-0000-0000D03A0000}"/>
    <cellStyle name="20% - Accent5 4 5 2 3 3" xfId="8520" xr:uid="{00000000-0005-0000-0000-0000D13A0000}"/>
    <cellStyle name="20% - Accent5 4 5 2 3 3 2" xfId="19821" xr:uid="{00000000-0005-0000-0000-0000D23A0000}"/>
    <cellStyle name="20% - Accent5 4 5 2 3 3 2 2" xfId="42423" xr:uid="{00000000-0005-0000-0000-0000D33A0000}"/>
    <cellStyle name="20% - Accent5 4 5 2 3 3 3" xfId="31122" xr:uid="{00000000-0005-0000-0000-0000D43A0000}"/>
    <cellStyle name="20% - Accent5 4 5 2 3 4" xfId="14171" xr:uid="{00000000-0005-0000-0000-0000D53A0000}"/>
    <cellStyle name="20% - Accent5 4 5 2 3 4 2" xfId="36773" xr:uid="{00000000-0005-0000-0000-0000D63A0000}"/>
    <cellStyle name="20% - Accent5 4 5 2 3 5" xfId="25472" xr:uid="{00000000-0005-0000-0000-0000D73A0000}"/>
    <cellStyle name="20% - Accent5 4 5 2 4" xfId="4469" xr:uid="{00000000-0005-0000-0000-0000D83A0000}"/>
    <cellStyle name="20% - Accent5 4 5 2 4 2" xfId="10119" xr:uid="{00000000-0005-0000-0000-0000D93A0000}"/>
    <cellStyle name="20% - Accent5 4 5 2 4 2 2" xfId="21420" xr:uid="{00000000-0005-0000-0000-0000DA3A0000}"/>
    <cellStyle name="20% - Accent5 4 5 2 4 2 2 2" xfId="44022" xr:uid="{00000000-0005-0000-0000-0000DB3A0000}"/>
    <cellStyle name="20% - Accent5 4 5 2 4 2 3" xfId="32721" xr:uid="{00000000-0005-0000-0000-0000DC3A0000}"/>
    <cellStyle name="20% - Accent5 4 5 2 4 3" xfId="15770" xr:uid="{00000000-0005-0000-0000-0000DD3A0000}"/>
    <cellStyle name="20% - Accent5 4 5 2 4 3 2" xfId="38372" xr:uid="{00000000-0005-0000-0000-0000DE3A0000}"/>
    <cellStyle name="20% - Accent5 4 5 2 4 4" xfId="27071" xr:uid="{00000000-0005-0000-0000-0000DF3A0000}"/>
    <cellStyle name="20% - Accent5 4 5 2 5" xfId="7265" xr:uid="{00000000-0005-0000-0000-0000E03A0000}"/>
    <cellStyle name="20% - Accent5 4 5 2 5 2" xfId="18566" xr:uid="{00000000-0005-0000-0000-0000E13A0000}"/>
    <cellStyle name="20% - Accent5 4 5 2 5 2 2" xfId="41168" xr:uid="{00000000-0005-0000-0000-0000E23A0000}"/>
    <cellStyle name="20% - Accent5 4 5 2 5 3" xfId="29867" xr:uid="{00000000-0005-0000-0000-0000E33A0000}"/>
    <cellStyle name="20% - Accent5 4 5 2 6" xfId="12916" xr:uid="{00000000-0005-0000-0000-0000E43A0000}"/>
    <cellStyle name="20% - Accent5 4 5 2 6 2" xfId="35518" xr:uid="{00000000-0005-0000-0000-0000E53A0000}"/>
    <cellStyle name="20% - Accent5 4 5 2 7" xfId="24217" xr:uid="{00000000-0005-0000-0000-0000E63A0000}"/>
    <cellStyle name="20% - Accent5 4 5 3" xfId="984" xr:uid="{00000000-0005-0000-0000-0000E73A0000}"/>
    <cellStyle name="20% - Accent5 4 5 3 2" xfId="3047" xr:uid="{00000000-0005-0000-0000-0000E83A0000}"/>
    <cellStyle name="20% - Accent5 4 5 3 2 2" xfId="6019" xr:uid="{00000000-0005-0000-0000-0000E93A0000}"/>
    <cellStyle name="20% - Accent5 4 5 3 2 2 2" xfId="11669" xr:uid="{00000000-0005-0000-0000-0000EA3A0000}"/>
    <cellStyle name="20% - Accent5 4 5 3 2 2 2 2" xfId="22970" xr:uid="{00000000-0005-0000-0000-0000EB3A0000}"/>
    <cellStyle name="20% - Accent5 4 5 3 2 2 2 2 2" xfId="45572" xr:uid="{00000000-0005-0000-0000-0000EC3A0000}"/>
    <cellStyle name="20% - Accent5 4 5 3 2 2 2 3" xfId="34271" xr:uid="{00000000-0005-0000-0000-0000ED3A0000}"/>
    <cellStyle name="20% - Accent5 4 5 3 2 2 3" xfId="17320" xr:uid="{00000000-0005-0000-0000-0000EE3A0000}"/>
    <cellStyle name="20% - Accent5 4 5 3 2 2 3 2" xfId="39922" xr:uid="{00000000-0005-0000-0000-0000EF3A0000}"/>
    <cellStyle name="20% - Accent5 4 5 3 2 2 4" xfId="28621" xr:uid="{00000000-0005-0000-0000-0000F03A0000}"/>
    <cellStyle name="20% - Accent5 4 5 3 2 3" xfId="8837" xr:uid="{00000000-0005-0000-0000-0000F13A0000}"/>
    <cellStyle name="20% - Accent5 4 5 3 2 3 2" xfId="20138" xr:uid="{00000000-0005-0000-0000-0000F23A0000}"/>
    <cellStyle name="20% - Accent5 4 5 3 2 3 2 2" xfId="42740" xr:uid="{00000000-0005-0000-0000-0000F33A0000}"/>
    <cellStyle name="20% - Accent5 4 5 3 2 3 3" xfId="31439" xr:uid="{00000000-0005-0000-0000-0000F43A0000}"/>
    <cellStyle name="20% - Accent5 4 5 3 2 4" xfId="14488" xr:uid="{00000000-0005-0000-0000-0000F53A0000}"/>
    <cellStyle name="20% - Accent5 4 5 3 2 4 2" xfId="37090" xr:uid="{00000000-0005-0000-0000-0000F63A0000}"/>
    <cellStyle name="20% - Accent5 4 5 3 2 5" xfId="25789" xr:uid="{00000000-0005-0000-0000-0000F73A0000}"/>
    <cellStyle name="20% - Accent5 4 5 3 3" xfId="4785" xr:uid="{00000000-0005-0000-0000-0000F83A0000}"/>
    <cellStyle name="20% - Accent5 4 5 3 3 2" xfId="10435" xr:uid="{00000000-0005-0000-0000-0000F93A0000}"/>
    <cellStyle name="20% - Accent5 4 5 3 3 2 2" xfId="21736" xr:uid="{00000000-0005-0000-0000-0000FA3A0000}"/>
    <cellStyle name="20% - Accent5 4 5 3 3 2 2 2" xfId="44338" xr:uid="{00000000-0005-0000-0000-0000FB3A0000}"/>
    <cellStyle name="20% - Accent5 4 5 3 3 2 3" xfId="33037" xr:uid="{00000000-0005-0000-0000-0000FC3A0000}"/>
    <cellStyle name="20% - Accent5 4 5 3 3 3" xfId="16086" xr:uid="{00000000-0005-0000-0000-0000FD3A0000}"/>
    <cellStyle name="20% - Accent5 4 5 3 3 3 2" xfId="38688" xr:uid="{00000000-0005-0000-0000-0000FE3A0000}"/>
    <cellStyle name="20% - Accent5 4 5 3 3 4" xfId="27387" xr:uid="{00000000-0005-0000-0000-0000FF3A0000}"/>
    <cellStyle name="20% - Accent5 4 5 3 4" xfId="6972" xr:uid="{00000000-0005-0000-0000-0000003B0000}"/>
    <cellStyle name="20% - Accent5 4 5 3 4 2" xfId="18273" xr:uid="{00000000-0005-0000-0000-0000013B0000}"/>
    <cellStyle name="20% - Accent5 4 5 3 4 2 2" xfId="40875" xr:uid="{00000000-0005-0000-0000-0000023B0000}"/>
    <cellStyle name="20% - Accent5 4 5 3 4 3" xfId="29574" xr:uid="{00000000-0005-0000-0000-0000033B0000}"/>
    <cellStyle name="20% - Accent5 4 5 3 5" xfId="12623" xr:uid="{00000000-0005-0000-0000-0000043B0000}"/>
    <cellStyle name="20% - Accent5 4 5 3 5 2" xfId="35225" xr:uid="{00000000-0005-0000-0000-0000053B0000}"/>
    <cellStyle name="20% - Accent5 4 5 3 6" xfId="23924" xr:uid="{00000000-0005-0000-0000-0000063B0000}"/>
    <cellStyle name="20% - Accent5 4 5 4" xfId="1744" xr:uid="{00000000-0005-0000-0000-0000073B0000}"/>
    <cellStyle name="20% - Accent5 4 5 4 2" xfId="3668" xr:uid="{00000000-0005-0000-0000-0000083B0000}"/>
    <cellStyle name="20% - Accent5 4 5 4 2 2" xfId="9379" xr:uid="{00000000-0005-0000-0000-0000093B0000}"/>
    <cellStyle name="20% - Accent5 4 5 4 2 2 2" xfId="20680" xr:uid="{00000000-0005-0000-0000-00000A3B0000}"/>
    <cellStyle name="20% - Accent5 4 5 4 2 2 2 2" xfId="43282" xr:uid="{00000000-0005-0000-0000-00000B3B0000}"/>
    <cellStyle name="20% - Accent5 4 5 4 2 2 3" xfId="31981" xr:uid="{00000000-0005-0000-0000-00000C3B0000}"/>
    <cellStyle name="20% - Accent5 4 5 4 2 3" xfId="15030" xr:uid="{00000000-0005-0000-0000-00000D3B0000}"/>
    <cellStyle name="20% - Accent5 4 5 4 2 3 2" xfId="37632" xr:uid="{00000000-0005-0000-0000-00000E3B0000}"/>
    <cellStyle name="20% - Accent5 4 5 4 2 4" xfId="26331" xr:uid="{00000000-0005-0000-0000-00000F3B0000}"/>
    <cellStyle name="20% - Accent5 4 5 4 3" xfId="5395" xr:uid="{00000000-0005-0000-0000-0000103B0000}"/>
    <cellStyle name="20% - Accent5 4 5 4 3 2" xfId="11045" xr:uid="{00000000-0005-0000-0000-0000113B0000}"/>
    <cellStyle name="20% - Accent5 4 5 4 3 2 2" xfId="22346" xr:uid="{00000000-0005-0000-0000-0000123B0000}"/>
    <cellStyle name="20% - Accent5 4 5 4 3 2 2 2" xfId="44948" xr:uid="{00000000-0005-0000-0000-0000133B0000}"/>
    <cellStyle name="20% - Accent5 4 5 4 3 2 3" xfId="33647" xr:uid="{00000000-0005-0000-0000-0000143B0000}"/>
    <cellStyle name="20% - Accent5 4 5 4 3 3" xfId="16696" xr:uid="{00000000-0005-0000-0000-0000153B0000}"/>
    <cellStyle name="20% - Accent5 4 5 4 3 3 2" xfId="39298" xr:uid="{00000000-0005-0000-0000-0000163B0000}"/>
    <cellStyle name="20% - Accent5 4 5 4 3 4" xfId="27997" xr:uid="{00000000-0005-0000-0000-0000173B0000}"/>
    <cellStyle name="20% - Accent5 4 5 4 4" xfId="7600" xr:uid="{00000000-0005-0000-0000-0000183B0000}"/>
    <cellStyle name="20% - Accent5 4 5 4 4 2" xfId="18901" xr:uid="{00000000-0005-0000-0000-0000193B0000}"/>
    <cellStyle name="20% - Accent5 4 5 4 4 2 2" xfId="41503" xr:uid="{00000000-0005-0000-0000-00001A3B0000}"/>
    <cellStyle name="20% - Accent5 4 5 4 4 3" xfId="30202" xr:uid="{00000000-0005-0000-0000-00001B3B0000}"/>
    <cellStyle name="20% - Accent5 4 5 4 5" xfId="13251" xr:uid="{00000000-0005-0000-0000-00001C3B0000}"/>
    <cellStyle name="20% - Accent5 4 5 4 5 2" xfId="35853" xr:uid="{00000000-0005-0000-0000-00001D3B0000}"/>
    <cellStyle name="20% - Accent5 4 5 4 6" xfId="24552" xr:uid="{00000000-0005-0000-0000-00001E3B0000}"/>
    <cellStyle name="20% - Accent5 4 5 5" xfId="2376" xr:uid="{00000000-0005-0000-0000-00001F3B0000}"/>
    <cellStyle name="20% - Accent5 4 5 5 2" xfId="8212" xr:uid="{00000000-0005-0000-0000-0000203B0000}"/>
    <cellStyle name="20% - Accent5 4 5 5 2 2" xfId="19513" xr:uid="{00000000-0005-0000-0000-0000213B0000}"/>
    <cellStyle name="20% - Accent5 4 5 5 2 2 2" xfId="42115" xr:uid="{00000000-0005-0000-0000-0000223B0000}"/>
    <cellStyle name="20% - Accent5 4 5 5 2 3" xfId="30814" xr:uid="{00000000-0005-0000-0000-0000233B0000}"/>
    <cellStyle name="20% - Accent5 4 5 5 3" xfId="13863" xr:uid="{00000000-0005-0000-0000-0000243B0000}"/>
    <cellStyle name="20% - Accent5 4 5 5 3 2" xfId="36465" xr:uid="{00000000-0005-0000-0000-0000253B0000}"/>
    <cellStyle name="20% - Accent5 4 5 5 4" xfId="25164" xr:uid="{00000000-0005-0000-0000-0000263B0000}"/>
    <cellStyle name="20% - Accent5 4 5 6" xfId="4161" xr:uid="{00000000-0005-0000-0000-0000273B0000}"/>
    <cellStyle name="20% - Accent5 4 5 6 2" xfId="9811" xr:uid="{00000000-0005-0000-0000-0000283B0000}"/>
    <cellStyle name="20% - Accent5 4 5 6 2 2" xfId="21112" xr:uid="{00000000-0005-0000-0000-0000293B0000}"/>
    <cellStyle name="20% - Accent5 4 5 6 2 2 2" xfId="43714" xr:uid="{00000000-0005-0000-0000-00002A3B0000}"/>
    <cellStyle name="20% - Accent5 4 5 6 2 3" xfId="32413" xr:uid="{00000000-0005-0000-0000-00002B3B0000}"/>
    <cellStyle name="20% - Accent5 4 5 6 3" xfId="15462" xr:uid="{00000000-0005-0000-0000-00002C3B0000}"/>
    <cellStyle name="20% - Accent5 4 5 6 3 2" xfId="38064" xr:uid="{00000000-0005-0000-0000-00002D3B0000}"/>
    <cellStyle name="20% - Accent5 4 5 6 4" xfId="26763" xr:uid="{00000000-0005-0000-0000-00002E3B0000}"/>
    <cellStyle name="20% - Accent5 4 5 7" xfId="6612" xr:uid="{00000000-0005-0000-0000-00002F3B0000}"/>
    <cellStyle name="20% - Accent5 4 5 7 2" xfId="17913" xr:uid="{00000000-0005-0000-0000-0000303B0000}"/>
    <cellStyle name="20% - Accent5 4 5 7 2 2" xfId="40515" xr:uid="{00000000-0005-0000-0000-0000313B0000}"/>
    <cellStyle name="20% - Accent5 4 5 7 3" xfId="29214" xr:uid="{00000000-0005-0000-0000-0000323B0000}"/>
    <cellStyle name="20% - Accent5 4 5 8" xfId="12263" xr:uid="{00000000-0005-0000-0000-0000333B0000}"/>
    <cellStyle name="20% - Accent5 4 5 8 2" xfId="34865" xr:uid="{00000000-0005-0000-0000-0000343B0000}"/>
    <cellStyle name="20% - Accent5 4 5 9" xfId="23564" xr:uid="{00000000-0005-0000-0000-0000353B0000}"/>
    <cellStyle name="20% - Accent5 4 6" xfId="1119" xr:uid="{00000000-0005-0000-0000-0000363B0000}"/>
    <cellStyle name="20% - Accent5 4 6 2" xfId="1746" xr:uid="{00000000-0005-0000-0000-0000373B0000}"/>
    <cellStyle name="20% - Accent5 4 6 2 2" xfId="3186" xr:uid="{00000000-0005-0000-0000-0000383B0000}"/>
    <cellStyle name="20% - Accent5 4 6 2 2 2" xfId="6158" xr:uid="{00000000-0005-0000-0000-0000393B0000}"/>
    <cellStyle name="20% - Accent5 4 6 2 2 2 2" xfId="11808" xr:uid="{00000000-0005-0000-0000-00003A3B0000}"/>
    <cellStyle name="20% - Accent5 4 6 2 2 2 2 2" xfId="23109" xr:uid="{00000000-0005-0000-0000-00003B3B0000}"/>
    <cellStyle name="20% - Accent5 4 6 2 2 2 2 2 2" xfId="45711" xr:uid="{00000000-0005-0000-0000-00003C3B0000}"/>
    <cellStyle name="20% - Accent5 4 6 2 2 2 2 3" xfId="34410" xr:uid="{00000000-0005-0000-0000-00003D3B0000}"/>
    <cellStyle name="20% - Accent5 4 6 2 2 2 3" xfId="17459" xr:uid="{00000000-0005-0000-0000-00003E3B0000}"/>
    <cellStyle name="20% - Accent5 4 6 2 2 2 3 2" xfId="40061" xr:uid="{00000000-0005-0000-0000-00003F3B0000}"/>
    <cellStyle name="20% - Accent5 4 6 2 2 2 4" xfId="28760" xr:uid="{00000000-0005-0000-0000-0000403B0000}"/>
    <cellStyle name="20% - Accent5 4 6 2 2 3" xfId="8976" xr:uid="{00000000-0005-0000-0000-0000413B0000}"/>
    <cellStyle name="20% - Accent5 4 6 2 2 3 2" xfId="20277" xr:uid="{00000000-0005-0000-0000-0000423B0000}"/>
    <cellStyle name="20% - Accent5 4 6 2 2 3 2 2" xfId="42879" xr:uid="{00000000-0005-0000-0000-0000433B0000}"/>
    <cellStyle name="20% - Accent5 4 6 2 2 3 3" xfId="31578" xr:uid="{00000000-0005-0000-0000-0000443B0000}"/>
    <cellStyle name="20% - Accent5 4 6 2 2 4" xfId="14627" xr:uid="{00000000-0005-0000-0000-0000453B0000}"/>
    <cellStyle name="20% - Accent5 4 6 2 2 4 2" xfId="37229" xr:uid="{00000000-0005-0000-0000-0000463B0000}"/>
    <cellStyle name="20% - Accent5 4 6 2 2 5" xfId="25928" xr:uid="{00000000-0005-0000-0000-0000473B0000}"/>
    <cellStyle name="20% - Accent5 4 6 2 3" xfId="4924" xr:uid="{00000000-0005-0000-0000-0000483B0000}"/>
    <cellStyle name="20% - Accent5 4 6 2 3 2" xfId="10574" xr:uid="{00000000-0005-0000-0000-0000493B0000}"/>
    <cellStyle name="20% - Accent5 4 6 2 3 2 2" xfId="21875" xr:uid="{00000000-0005-0000-0000-00004A3B0000}"/>
    <cellStyle name="20% - Accent5 4 6 2 3 2 2 2" xfId="44477" xr:uid="{00000000-0005-0000-0000-00004B3B0000}"/>
    <cellStyle name="20% - Accent5 4 6 2 3 2 3" xfId="33176" xr:uid="{00000000-0005-0000-0000-00004C3B0000}"/>
    <cellStyle name="20% - Accent5 4 6 2 3 3" xfId="16225" xr:uid="{00000000-0005-0000-0000-00004D3B0000}"/>
    <cellStyle name="20% - Accent5 4 6 2 3 3 2" xfId="38827" xr:uid="{00000000-0005-0000-0000-00004E3B0000}"/>
    <cellStyle name="20% - Accent5 4 6 2 3 4" xfId="27526" xr:uid="{00000000-0005-0000-0000-00004F3B0000}"/>
    <cellStyle name="20% - Accent5 4 6 2 4" xfId="7602" xr:uid="{00000000-0005-0000-0000-0000503B0000}"/>
    <cellStyle name="20% - Accent5 4 6 2 4 2" xfId="18903" xr:uid="{00000000-0005-0000-0000-0000513B0000}"/>
    <cellStyle name="20% - Accent5 4 6 2 4 2 2" xfId="41505" xr:uid="{00000000-0005-0000-0000-0000523B0000}"/>
    <cellStyle name="20% - Accent5 4 6 2 4 3" xfId="30204" xr:uid="{00000000-0005-0000-0000-0000533B0000}"/>
    <cellStyle name="20% - Accent5 4 6 2 5" xfId="13253" xr:uid="{00000000-0005-0000-0000-0000543B0000}"/>
    <cellStyle name="20% - Accent5 4 6 2 5 2" xfId="35855" xr:uid="{00000000-0005-0000-0000-0000553B0000}"/>
    <cellStyle name="20% - Accent5 4 6 2 6" xfId="24554" xr:uid="{00000000-0005-0000-0000-0000563B0000}"/>
    <cellStyle name="20% - Accent5 4 6 3" xfId="2515" xr:uid="{00000000-0005-0000-0000-0000573B0000}"/>
    <cellStyle name="20% - Accent5 4 6 3 2" xfId="5534" xr:uid="{00000000-0005-0000-0000-0000583B0000}"/>
    <cellStyle name="20% - Accent5 4 6 3 2 2" xfId="11184" xr:uid="{00000000-0005-0000-0000-0000593B0000}"/>
    <cellStyle name="20% - Accent5 4 6 3 2 2 2" xfId="22485" xr:uid="{00000000-0005-0000-0000-00005A3B0000}"/>
    <cellStyle name="20% - Accent5 4 6 3 2 2 2 2" xfId="45087" xr:uid="{00000000-0005-0000-0000-00005B3B0000}"/>
    <cellStyle name="20% - Accent5 4 6 3 2 2 3" xfId="33786" xr:uid="{00000000-0005-0000-0000-00005C3B0000}"/>
    <cellStyle name="20% - Accent5 4 6 3 2 3" xfId="16835" xr:uid="{00000000-0005-0000-0000-00005D3B0000}"/>
    <cellStyle name="20% - Accent5 4 6 3 2 3 2" xfId="39437" xr:uid="{00000000-0005-0000-0000-00005E3B0000}"/>
    <cellStyle name="20% - Accent5 4 6 3 2 4" xfId="28136" xr:uid="{00000000-0005-0000-0000-00005F3B0000}"/>
    <cellStyle name="20% - Accent5 4 6 3 3" xfId="8351" xr:uid="{00000000-0005-0000-0000-0000603B0000}"/>
    <cellStyle name="20% - Accent5 4 6 3 3 2" xfId="19652" xr:uid="{00000000-0005-0000-0000-0000613B0000}"/>
    <cellStyle name="20% - Accent5 4 6 3 3 2 2" xfId="42254" xr:uid="{00000000-0005-0000-0000-0000623B0000}"/>
    <cellStyle name="20% - Accent5 4 6 3 3 3" xfId="30953" xr:uid="{00000000-0005-0000-0000-0000633B0000}"/>
    <cellStyle name="20% - Accent5 4 6 3 4" xfId="14002" xr:uid="{00000000-0005-0000-0000-0000643B0000}"/>
    <cellStyle name="20% - Accent5 4 6 3 4 2" xfId="36604" xr:uid="{00000000-0005-0000-0000-0000653B0000}"/>
    <cellStyle name="20% - Accent5 4 6 3 5" xfId="25303" xr:uid="{00000000-0005-0000-0000-0000663B0000}"/>
    <cellStyle name="20% - Accent5 4 6 4" xfId="4300" xr:uid="{00000000-0005-0000-0000-0000673B0000}"/>
    <cellStyle name="20% - Accent5 4 6 4 2" xfId="9950" xr:uid="{00000000-0005-0000-0000-0000683B0000}"/>
    <cellStyle name="20% - Accent5 4 6 4 2 2" xfId="21251" xr:uid="{00000000-0005-0000-0000-0000693B0000}"/>
    <cellStyle name="20% - Accent5 4 6 4 2 2 2" xfId="43853" xr:uid="{00000000-0005-0000-0000-00006A3B0000}"/>
    <cellStyle name="20% - Accent5 4 6 4 2 3" xfId="32552" xr:uid="{00000000-0005-0000-0000-00006B3B0000}"/>
    <cellStyle name="20% - Accent5 4 6 4 3" xfId="15601" xr:uid="{00000000-0005-0000-0000-00006C3B0000}"/>
    <cellStyle name="20% - Accent5 4 6 4 3 2" xfId="38203" xr:uid="{00000000-0005-0000-0000-00006D3B0000}"/>
    <cellStyle name="20% - Accent5 4 6 4 4" xfId="26902" xr:uid="{00000000-0005-0000-0000-00006E3B0000}"/>
    <cellStyle name="20% - Accent5 4 6 5" xfId="7098" xr:uid="{00000000-0005-0000-0000-00006F3B0000}"/>
    <cellStyle name="20% - Accent5 4 6 5 2" xfId="18399" xr:uid="{00000000-0005-0000-0000-0000703B0000}"/>
    <cellStyle name="20% - Accent5 4 6 5 2 2" xfId="41001" xr:uid="{00000000-0005-0000-0000-0000713B0000}"/>
    <cellStyle name="20% - Accent5 4 6 5 3" xfId="29700" xr:uid="{00000000-0005-0000-0000-0000723B0000}"/>
    <cellStyle name="20% - Accent5 4 6 6" xfId="12749" xr:uid="{00000000-0005-0000-0000-0000733B0000}"/>
    <cellStyle name="20% - Accent5 4 6 6 2" xfId="35351" xr:uid="{00000000-0005-0000-0000-0000743B0000}"/>
    <cellStyle name="20% - Accent5 4 6 7" xfId="24050" xr:uid="{00000000-0005-0000-0000-0000753B0000}"/>
    <cellStyle name="20% - Accent5 4 7" xfId="783" xr:uid="{00000000-0005-0000-0000-0000763B0000}"/>
    <cellStyle name="20% - Accent5 4 7 2" xfId="2880" xr:uid="{00000000-0005-0000-0000-0000773B0000}"/>
    <cellStyle name="20% - Accent5 4 7 2 2" xfId="5852" xr:uid="{00000000-0005-0000-0000-0000783B0000}"/>
    <cellStyle name="20% - Accent5 4 7 2 2 2" xfId="11502" xr:uid="{00000000-0005-0000-0000-0000793B0000}"/>
    <cellStyle name="20% - Accent5 4 7 2 2 2 2" xfId="22803" xr:uid="{00000000-0005-0000-0000-00007A3B0000}"/>
    <cellStyle name="20% - Accent5 4 7 2 2 2 2 2" xfId="45405" xr:uid="{00000000-0005-0000-0000-00007B3B0000}"/>
    <cellStyle name="20% - Accent5 4 7 2 2 2 3" xfId="34104" xr:uid="{00000000-0005-0000-0000-00007C3B0000}"/>
    <cellStyle name="20% - Accent5 4 7 2 2 3" xfId="17153" xr:uid="{00000000-0005-0000-0000-00007D3B0000}"/>
    <cellStyle name="20% - Accent5 4 7 2 2 3 2" xfId="39755" xr:uid="{00000000-0005-0000-0000-00007E3B0000}"/>
    <cellStyle name="20% - Accent5 4 7 2 2 4" xfId="28454" xr:uid="{00000000-0005-0000-0000-00007F3B0000}"/>
    <cellStyle name="20% - Accent5 4 7 2 3" xfId="8670" xr:uid="{00000000-0005-0000-0000-0000803B0000}"/>
    <cellStyle name="20% - Accent5 4 7 2 3 2" xfId="19971" xr:uid="{00000000-0005-0000-0000-0000813B0000}"/>
    <cellStyle name="20% - Accent5 4 7 2 3 2 2" xfId="42573" xr:uid="{00000000-0005-0000-0000-0000823B0000}"/>
    <cellStyle name="20% - Accent5 4 7 2 3 3" xfId="31272" xr:uid="{00000000-0005-0000-0000-0000833B0000}"/>
    <cellStyle name="20% - Accent5 4 7 2 4" xfId="14321" xr:uid="{00000000-0005-0000-0000-0000843B0000}"/>
    <cellStyle name="20% - Accent5 4 7 2 4 2" xfId="36923" xr:uid="{00000000-0005-0000-0000-0000853B0000}"/>
    <cellStyle name="20% - Accent5 4 7 2 5" xfId="25622" xr:uid="{00000000-0005-0000-0000-0000863B0000}"/>
    <cellStyle name="20% - Accent5 4 7 3" xfId="4618" xr:uid="{00000000-0005-0000-0000-0000873B0000}"/>
    <cellStyle name="20% - Accent5 4 7 3 2" xfId="10268" xr:uid="{00000000-0005-0000-0000-0000883B0000}"/>
    <cellStyle name="20% - Accent5 4 7 3 2 2" xfId="21569" xr:uid="{00000000-0005-0000-0000-0000893B0000}"/>
    <cellStyle name="20% - Accent5 4 7 3 2 2 2" xfId="44171" xr:uid="{00000000-0005-0000-0000-00008A3B0000}"/>
    <cellStyle name="20% - Accent5 4 7 3 2 3" xfId="32870" xr:uid="{00000000-0005-0000-0000-00008B3B0000}"/>
    <cellStyle name="20% - Accent5 4 7 3 3" xfId="15919" xr:uid="{00000000-0005-0000-0000-00008C3B0000}"/>
    <cellStyle name="20% - Accent5 4 7 3 3 2" xfId="38521" xr:uid="{00000000-0005-0000-0000-00008D3B0000}"/>
    <cellStyle name="20% - Accent5 4 7 3 4" xfId="27220" xr:uid="{00000000-0005-0000-0000-00008E3B0000}"/>
    <cellStyle name="20% - Accent5 4 7 4" xfId="6800" xr:uid="{00000000-0005-0000-0000-00008F3B0000}"/>
    <cellStyle name="20% - Accent5 4 7 4 2" xfId="18101" xr:uid="{00000000-0005-0000-0000-0000903B0000}"/>
    <cellStyle name="20% - Accent5 4 7 4 2 2" xfId="40703" xr:uid="{00000000-0005-0000-0000-0000913B0000}"/>
    <cellStyle name="20% - Accent5 4 7 4 3" xfId="29402" xr:uid="{00000000-0005-0000-0000-0000923B0000}"/>
    <cellStyle name="20% - Accent5 4 7 5" xfId="12451" xr:uid="{00000000-0005-0000-0000-0000933B0000}"/>
    <cellStyle name="20% - Accent5 4 7 5 2" xfId="35053" xr:uid="{00000000-0005-0000-0000-0000943B0000}"/>
    <cellStyle name="20% - Accent5 4 7 6" xfId="23752" xr:uid="{00000000-0005-0000-0000-0000953B0000}"/>
    <cellStyle name="20% - Accent5 4 8" xfId="1733" xr:uid="{00000000-0005-0000-0000-0000963B0000}"/>
    <cellStyle name="20% - Accent5 4 8 2" xfId="3662" xr:uid="{00000000-0005-0000-0000-0000973B0000}"/>
    <cellStyle name="20% - Accent5 4 8 2 2" xfId="9373" xr:uid="{00000000-0005-0000-0000-0000983B0000}"/>
    <cellStyle name="20% - Accent5 4 8 2 2 2" xfId="20674" xr:uid="{00000000-0005-0000-0000-0000993B0000}"/>
    <cellStyle name="20% - Accent5 4 8 2 2 2 2" xfId="43276" xr:uid="{00000000-0005-0000-0000-00009A3B0000}"/>
    <cellStyle name="20% - Accent5 4 8 2 2 3" xfId="31975" xr:uid="{00000000-0005-0000-0000-00009B3B0000}"/>
    <cellStyle name="20% - Accent5 4 8 2 3" xfId="15024" xr:uid="{00000000-0005-0000-0000-00009C3B0000}"/>
    <cellStyle name="20% - Accent5 4 8 2 3 2" xfId="37626" xr:uid="{00000000-0005-0000-0000-00009D3B0000}"/>
    <cellStyle name="20% - Accent5 4 8 2 4" xfId="26325" xr:uid="{00000000-0005-0000-0000-00009E3B0000}"/>
    <cellStyle name="20% - Accent5 4 8 3" xfId="5228" xr:uid="{00000000-0005-0000-0000-00009F3B0000}"/>
    <cellStyle name="20% - Accent5 4 8 3 2" xfId="10878" xr:uid="{00000000-0005-0000-0000-0000A03B0000}"/>
    <cellStyle name="20% - Accent5 4 8 3 2 2" xfId="22179" xr:uid="{00000000-0005-0000-0000-0000A13B0000}"/>
    <cellStyle name="20% - Accent5 4 8 3 2 2 2" xfId="44781" xr:uid="{00000000-0005-0000-0000-0000A23B0000}"/>
    <cellStyle name="20% - Accent5 4 8 3 2 3" xfId="33480" xr:uid="{00000000-0005-0000-0000-0000A33B0000}"/>
    <cellStyle name="20% - Accent5 4 8 3 3" xfId="16529" xr:uid="{00000000-0005-0000-0000-0000A43B0000}"/>
    <cellStyle name="20% - Accent5 4 8 3 3 2" xfId="39131" xr:uid="{00000000-0005-0000-0000-0000A53B0000}"/>
    <cellStyle name="20% - Accent5 4 8 3 4" xfId="27830" xr:uid="{00000000-0005-0000-0000-0000A63B0000}"/>
    <cellStyle name="20% - Accent5 4 8 4" xfId="7589" xr:uid="{00000000-0005-0000-0000-0000A73B0000}"/>
    <cellStyle name="20% - Accent5 4 8 4 2" xfId="18890" xr:uid="{00000000-0005-0000-0000-0000A83B0000}"/>
    <cellStyle name="20% - Accent5 4 8 4 2 2" xfId="41492" xr:uid="{00000000-0005-0000-0000-0000A93B0000}"/>
    <cellStyle name="20% - Accent5 4 8 4 3" xfId="30191" xr:uid="{00000000-0005-0000-0000-0000AA3B0000}"/>
    <cellStyle name="20% - Accent5 4 8 5" xfId="13240" xr:uid="{00000000-0005-0000-0000-0000AB3B0000}"/>
    <cellStyle name="20% - Accent5 4 8 5 2" xfId="35842" xr:uid="{00000000-0005-0000-0000-0000AC3B0000}"/>
    <cellStyle name="20% - Accent5 4 8 6" xfId="24541" xr:uid="{00000000-0005-0000-0000-0000AD3B0000}"/>
    <cellStyle name="20% - Accent5 4 9" xfId="2199" xr:uid="{00000000-0005-0000-0000-0000AE3B0000}"/>
    <cellStyle name="20% - Accent5 4 9 2" xfId="8042" xr:uid="{00000000-0005-0000-0000-0000AF3B0000}"/>
    <cellStyle name="20% - Accent5 4 9 2 2" xfId="19343" xr:uid="{00000000-0005-0000-0000-0000B03B0000}"/>
    <cellStyle name="20% - Accent5 4 9 2 2 2" xfId="41945" xr:uid="{00000000-0005-0000-0000-0000B13B0000}"/>
    <cellStyle name="20% - Accent5 4 9 2 3" xfId="30644" xr:uid="{00000000-0005-0000-0000-0000B23B0000}"/>
    <cellStyle name="20% - Accent5 4 9 3" xfId="13693" xr:uid="{00000000-0005-0000-0000-0000B33B0000}"/>
    <cellStyle name="20% - Accent5 4 9 3 2" xfId="36295" xr:uid="{00000000-0005-0000-0000-0000B43B0000}"/>
    <cellStyle name="20% - Accent5 4 9 4" xfId="24994" xr:uid="{00000000-0005-0000-0000-0000B53B0000}"/>
    <cellStyle name="20% - Accent5 5" xfId="272" xr:uid="{00000000-0005-0000-0000-0000B63B0000}"/>
    <cellStyle name="20% - Accent5 5 10" xfId="12137" xr:uid="{00000000-0005-0000-0000-0000B73B0000}"/>
    <cellStyle name="20% - Accent5 5 10 2" xfId="34739" xr:uid="{00000000-0005-0000-0000-0000B83B0000}"/>
    <cellStyle name="20% - Accent5 5 11" xfId="23438" xr:uid="{00000000-0005-0000-0000-0000B93B0000}"/>
    <cellStyle name="20% - Accent5 5 2" xfId="438" xr:uid="{00000000-0005-0000-0000-0000BA3B0000}"/>
    <cellStyle name="20% - Accent5 5 2 10" xfId="23533" xr:uid="{00000000-0005-0000-0000-0000BB3B0000}"/>
    <cellStyle name="20% - Accent5 5 2 2" xfId="683" xr:uid="{00000000-0005-0000-0000-0000BC3B0000}"/>
    <cellStyle name="20% - Accent5 5 2 2 2" xfId="1393" xr:uid="{00000000-0005-0000-0000-0000BD3B0000}"/>
    <cellStyle name="20% - Accent5 5 2 2 2 2" xfId="1750" xr:uid="{00000000-0005-0000-0000-0000BE3B0000}"/>
    <cellStyle name="20% - Accent5 5 2 2 2 2 2" xfId="3462" xr:uid="{00000000-0005-0000-0000-0000BF3B0000}"/>
    <cellStyle name="20% - Accent5 5 2 2 2 2 2 2" xfId="6434" xr:uid="{00000000-0005-0000-0000-0000C03B0000}"/>
    <cellStyle name="20% - Accent5 5 2 2 2 2 2 2 2" xfId="12084" xr:uid="{00000000-0005-0000-0000-0000C13B0000}"/>
    <cellStyle name="20% - Accent5 5 2 2 2 2 2 2 2 2" xfId="23385" xr:uid="{00000000-0005-0000-0000-0000C23B0000}"/>
    <cellStyle name="20% - Accent5 5 2 2 2 2 2 2 2 2 2" xfId="45987" xr:uid="{00000000-0005-0000-0000-0000C33B0000}"/>
    <cellStyle name="20% - Accent5 5 2 2 2 2 2 2 2 3" xfId="34686" xr:uid="{00000000-0005-0000-0000-0000C43B0000}"/>
    <cellStyle name="20% - Accent5 5 2 2 2 2 2 2 3" xfId="17735" xr:uid="{00000000-0005-0000-0000-0000C53B0000}"/>
    <cellStyle name="20% - Accent5 5 2 2 2 2 2 2 3 2" xfId="40337" xr:uid="{00000000-0005-0000-0000-0000C63B0000}"/>
    <cellStyle name="20% - Accent5 5 2 2 2 2 2 2 4" xfId="29036" xr:uid="{00000000-0005-0000-0000-0000C73B0000}"/>
    <cellStyle name="20% - Accent5 5 2 2 2 2 2 3" xfId="9252" xr:uid="{00000000-0005-0000-0000-0000C83B0000}"/>
    <cellStyle name="20% - Accent5 5 2 2 2 2 2 3 2" xfId="20553" xr:uid="{00000000-0005-0000-0000-0000C93B0000}"/>
    <cellStyle name="20% - Accent5 5 2 2 2 2 2 3 2 2" xfId="43155" xr:uid="{00000000-0005-0000-0000-0000CA3B0000}"/>
    <cellStyle name="20% - Accent5 5 2 2 2 2 2 3 3" xfId="31854" xr:uid="{00000000-0005-0000-0000-0000CB3B0000}"/>
    <cellStyle name="20% - Accent5 5 2 2 2 2 2 4" xfId="14903" xr:uid="{00000000-0005-0000-0000-0000CC3B0000}"/>
    <cellStyle name="20% - Accent5 5 2 2 2 2 2 4 2" xfId="37505" xr:uid="{00000000-0005-0000-0000-0000CD3B0000}"/>
    <cellStyle name="20% - Accent5 5 2 2 2 2 2 5" xfId="26204" xr:uid="{00000000-0005-0000-0000-0000CE3B0000}"/>
    <cellStyle name="20% - Accent5 5 2 2 2 2 3" xfId="5200" xr:uid="{00000000-0005-0000-0000-0000CF3B0000}"/>
    <cellStyle name="20% - Accent5 5 2 2 2 2 3 2" xfId="10850" xr:uid="{00000000-0005-0000-0000-0000D03B0000}"/>
    <cellStyle name="20% - Accent5 5 2 2 2 2 3 2 2" xfId="22151" xr:uid="{00000000-0005-0000-0000-0000D13B0000}"/>
    <cellStyle name="20% - Accent5 5 2 2 2 2 3 2 2 2" xfId="44753" xr:uid="{00000000-0005-0000-0000-0000D23B0000}"/>
    <cellStyle name="20% - Accent5 5 2 2 2 2 3 2 3" xfId="33452" xr:uid="{00000000-0005-0000-0000-0000D33B0000}"/>
    <cellStyle name="20% - Accent5 5 2 2 2 2 3 3" xfId="16501" xr:uid="{00000000-0005-0000-0000-0000D43B0000}"/>
    <cellStyle name="20% - Accent5 5 2 2 2 2 3 3 2" xfId="39103" xr:uid="{00000000-0005-0000-0000-0000D53B0000}"/>
    <cellStyle name="20% - Accent5 5 2 2 2 2 3 4" xfId="27802" xr:uid="{00000000-0005-0000-0000-0000D63B0000}"/>
    <cellStyle name="20% - Accent5 5 2 2 2 2 4" xfId="7606" xr:uid="{00000000-0005-0000-0000-0000D73B0000}"/>
    <cellStyle name="20% - Accent5 5 2 2 2 2 4 2" xfId="18907" xr:uid="{00000000-0005-0000-0000-0000D83B0000}"/>
    <cellStyle name="20% - Accent5 5 2 2 2 2 4 2 2" xfId="41509" xr:uid="{00000000-0005-0000-0000-0000D93B0000}"/>
    <cellStyle name="20% - Accent5 5 2 2 2 2 4 3" xfId="30208" xr:uid="{00000000-0005-0000-0000-0000DA3B0000}"/>
    <cellStyle name="20% - Accent5 5 2 2 2 2 5" xfId="13257" xr:uid="{00000000-0005-0000-0000-0000DB3B0000}"/>
    <cellStyle name="20% - Accent5 5 2 2 2 2 5 2" xfId="35859" xr:uid="{00000000-0005-0000-0000-0000DC3B0000}"/>
    <cellStyle name="20% - Accent5 5 2 2 2 2 6" xfId="24558" xr:uid="{00000000-0005-0000-0000-0000DD3B0000}"/>
    <cellStyle name="20% - Accent5 5 2 2 2 3" xfId="2791" xr:uid="{00000000-0005-0000-0000-0000DE3B0000}"/>
    <cellStyle name="20% - Accent5 5 2 2 2 3 2" xfId="5810" xr:uid="{00000000-0005-0000-0000-0000DF3B0000}"/>
    <cellStyle name="20% - Accent5 5 2 2 2 3 2 2" xfId="11460" xr:uid="{00000000-0005-0000-0000-0000E03B0000}"/>
    <cellStyle name="20% - Accent5 5 2 2 2 3 2 2 2" xfId="22761" xr:uid="{00000000-0005-0000-0000-0000E13B0000}"/>
    <cellStyle name="20% - Accent5 5 2 2 2 3 2 2 2 2" xfId="45363" xr:uid="{00000000-0005-0000-0000-0000E23B0000}"/>
    <cellStyle name="20% - Accent5 5 2 2 2 3 2 2 3" xfId="34062" xr:uid="{00000000-0005-0000-0000-0000E33B0000}"/>
    <cellStyle name="20% - Accent5 5 2 2 2 3 2 3" xfId="17111" xr:uid="{00000000-0005-0000-0000-0000E43B0000}"/>
    <cellStyle name="20% - Accent5 5 2 2 2 3 2 3 2" xfId="39713" xr:uid="{00000000-0005-0000-0000-0000E53B0000}"/>
    <cellStyle name="20% - Accent5 5 2 2 2 3 2 4" xfId="28412" xr:uid="{00000000-0005-0000-0000-0000E63B0000}"/>
    <cellStyle name="20% - Accent5 5 2 2 2 3 3" xfId="8627" xr:uid="{00000000-0005-0000-0000-0000E73B0000}"/>
    <cellStyle name="20% - Accent5 5 2 2 2 3 3 2" xfId="19928" xr:uid="{00000000-0005-0000-0000-0000E83B0000}"/>
    <cellStyle name="20% - Accent5 5 2 2 2 3 3 2 2" xfId="42530" xr:uid="{00000000-0005-0000-0000-0000E93B0000}"/>
    <cellStyle name="20% - Accent5 5 2 2 2 3 3 3" xfId="31229" xr:uid="{00000000-0005-0000-0000-0000EA3B0000}"/>
    <cellStyle name="20% - Accent5 5 2 2 2 3 4" xfId="14278" xr:uid="{00000000-0005-0000-0000-0000EB3B0000}"/>
    <cellStyle name="20% - Accent5 5 2 2 2 3 4 2" xfId="36880" xr:uid="{00000000-0005-0000-0000-0000EC3B0000}"/>
    <cellStyle name="20% - Accent5 5 2 2 2 3 5" xfId="25579" xr:uid="{00000000-0005-0000-0000-0000ED3B0000}"/>
    <cellStyle name="20% - Accent5 5 2 2 2 4" xfId="4576" xr:uid="{00000000-0005-0000-0000-0000EE3B0000}"/>
    <cellStyle name="20% - Accent5 5 2 2 2 4 2" xfId="10226" xr:uid="{00000000-0005-0000-0000-0000EF3B0000}"/>
    <cellStyle name="20% - Accent5 5 2 2 2 4 2 2" xfId="21527" xr:uid="{00000000-0005-0000-0000-0000F03B0000}"/>
    <cellStyle name="20% - Accent5 5 2 2 2 4 2 2 2" xfId="44129" xr:uid="{00000000-0005-0000-0000-0000F13B0000}"/>
    <cellStyle name="20% - Accent5 5 2 2 2 4 2 3" xfId="32828" xr:uid="{00000000-0005-0000-0000-0000F23B0000}"/>
    <cellStyle name="20% - Accent5 5 2 2 2 4 3" xfId="15877" xr:uid="{00000000-0005-0000-0000-0000F33B0000}"/>
    <cellStyle name="20% - Accent5 5 2 2 2 4 3 2" xfId="38479" xr:uid="{00000000-0005-0000-0000-0000F43B0000}"/>
    <cellStyle name="20% - Accent5 5 2 2 2 4 4" xfId="27178" xr:uid="{00000000-0005-0000-0000-0000F53B0000}"/>
    <cellStyle name="20% - Accent5 5 2 2 2 5" xfId="7372" xr:uid="{00000000-0005-0000-0000-0000F63B0000}"/>
    <cellStyle name="20% - Accent5 5 2 2 2 5 2" xfId="18673" xr:uid="{00000000-0005-0000-0000-0000F73B0000}"/>
    <cellStyle name="20% - Accent5 5 2 2 2 5 2 2" xfId="41275" xr:uid="{00000000-0005-0000-0000-0000F83B0000}"/>
    <cellStyle name="20% - Accent5 5 2 2 2 5 3" xfId="29974" xr:uid="{00000000-0005-0000-0000-0000F93B0000}"/>
    <cellStyle name="20% - Accent5 5 2 2 2 6" xfId="13023" xr:uid="{00000000-0005-0000-0000-0000FA3B0000}"/>
    <cellStyle name="20% - Accent5 5 2 2 2 6 2" xfId="35625" xr:uid="{00000000-0005-0000-0000-0000FB3B0000}"/>
    <cellStyle name="20% - Accent5 5 2 2 2 7" xfId="24324" xr:uid="{00000000-0005-0000-0000-0000FC3B0000}"/>
    <cellStyle name="20% - Accent5 5 2 2 3" xfId="1091" xr:uid="{00000000-0005-0000-0000-0000FD3B0000}"/>
    <cellStyle name="20% - Accent5 5 2 2 3 2" xfId="3154" xr:uid="{00000000-0005-0000-0000-0000FE3B0000}"/>
    <cellStyle name="20% - Accent5 5 2 2 3 2 2" xfId="6126" xr:uid="{00000000-0005-0000-0000-0000FF3B0000}"/>
    <cellStyle name="20% - Accent5 5 2 2 3 2 2 2" xfId="11776" xr:uid="{00000000-0005-0000-0000-0000003C0000}"/>
    <cellStyle name="20% - Accent5 5 2 2 3 2 2 2 2" xfId="23077" xr:uid="{00000000-0005-0000-0000-0000013C0000}"/>
    <cellStyle name="20% - Accent5 5 2 2 3 2 2 2 2 2" xfId="45679" xr:uid="{00000000-0005-0000-0000-0000023C0000}"/>
    <cellStyle name="20% - Accent5 5 2 2 3 2 2 2 3" xfId="34378" xr:uid="{00000000-0005-0000-0000-0000033C0000}"/>
    <cellStyle name="20% - Accent5 5 2 2 3 2 2 3" xfId="17427" xr:uid="{00000000-0005-0000-0000-0000043C0000}"/>
    <cellStyle name="20% - Accent5 5 2 2 3 2 2 3 2" xfId="40029" xr:uid="{00000000-0005-0000-0000-0000053C0000}"/>
    <cellStyle name="20% - Accent5 5 2 2 3 2 2 4" xfId="28728" xr:uid="{00000000-0005-0000-0000-0000063C0000}"/>
    <cellStyle name="20% - Accent5 5 2 2 3 2 3" xfId="8944" xr:uid="{00000000-0005-0000-0000-0000073C0000}"/>
    <cellStyle name="20% - Accent5 5 2 2 3 2 3 2" xfId="20245" xr:uid="{00000000-0005-0000-0000-0000083C0000}"/>
    <cellStyle name="20% - Accent5 5 2 2 3 2 3 2 2" xfId="42847" xr:uid="{00000000-0005-0000-0000-0000093C0000}"/>
    <cellStyle name="20% - Accent5 5 2 2 3 2 3 3" xfId="31546" xr:uid="{00000000-0005-0000-0000-00000A3C0000}"/>
    <cellStyle name="20% - Accent5 5 2 2 3 2 4" xfId="14595" xr:uid="{00000000-0005-0000-0000-00000B3C0000}"/>
    <cellStyle name="20% - Accent5 5 2 2 3 2 4 2" xfId="37197" xr:uid="{00000000-0005-0000-0000-00000C3C0000}"/>
    <cellStyle name="20% - Accent5 5 2 2 3 2 5" xfId="25896" xr:uid="{00000000-0005-0000-0000-00000D3C0000}"/>
    <cellStyle name="20% - Accent5 5 2 2 3 3" xfId="4892" xr:uid="{00000000-0005-0000-0000-00000E3C0000}"/>
    <cellStyle name="20% - Accent5 5 2 2 3 3 2" xfId="10542" xr:uid="{00000000-0005-0000-0000-00000F3C0000}"/>
    <cellStyle name="20% - Accent5 5 2 2 3 3 2 2" xfId="21843" xr:uid="{00000000-0005-0000-0000-0000103C0000}"/>
    <cellStyle name="20% - Accent5 5 2 2 3 3 2 2 2" xfId="44445" xr:uid="{00000000-0005-0000-0000-0000113C0000}"/>
    <cellStyle name="20% - Accent5 5 2 2 3 3 2 3" xfId="33144" xr:uid="{00000000-0005-0000-0000-0000123C0000}"/>
    <cellStyle name="20% - Accent5 5 2 2 3 3 3" xfId="16193" xr:uid="{00000000-0005-0000-0000-0000133C0000}"/>
    <cellStyle name="20% - Accent5 5 2 2 3 3 3 2" xfId="38795" xr:uid="{00000000-0005-0000-0000-0000143C0000}"/>
    <cellStyle name="20% - Accent5 5 2 2 3 3 4" xfId="27494" xr:uid="{00000000-0005-0000-0000-0000153C0000}"/>
    <cellStyle name="20% - Accent5 5 2 2 3 4" xfId="7079" xr:uid="{00000000-0005-0000-0000-0000163C0000}"/>
    <cellStyle name="20% - Accent5 5 2 2 3 4 2" xfId="18380" xr:uid="{00000000-0005-0000-0000-0000173C0000}"/>
    <cellStyle name="20% - Accent5 5 2 2 3 4 2 2" xfId="40982" xr:uid="{00000000-0005-0000-0000-0000183C0000}"/>
    <cellStyle name="20% - Accent5 5 2 2 3 4 3" xfId="29681" xr:uid="{00000000-0005-0000-0000-0000193C0000}"/>
    <cellStyle name="20% - Accent5 5 2 2 3 5" xfId="12730" xr:uid="{00000000-0005-0000-0000-00001A3C0000}"/>
    <cellStyle name="20% - Accent5 5 2 2 3 5 2" xfId="35332" xr:uid="{00000000-0005-0000-0000-00001B3C0000}"/>
    <cellStyle name="20% - Accent5 5 2 2 3 6" xfId="24031" xr:uid="{00000000-0005-0000-0000-00001C3C0000}"/>
    <cellStyle name="20% - Accent5 5 2 2 4" xfId="1749" xr:uid="{00000000-0005-0000-0000-00001D3C0000}"/>
    <cellStyle name="20% - Accent5 5 2 2 4 2" xfId="3671" xr:uid="{00000000-0005-0000-0000-00001E3C0000}"/>
    <cellStyle name="20% - Accent5 5 2 2 4 2 2" xfId="9382" xr:uid="{00000000-0005-0000-0000-00001F3C0000}"/>
    <cellStyle name="20% - Accent5 5 2 2 4 2 2 2" xfId="20683" xr:uid="{00000000-0005-0000-0000-0000203C0000}"/>
    <cellStyle name="20% - Accent5 5 2 2 4 2 2 2 2" xfId="43285" xr:uid="{00000000-0005-0000-0000-0000213C0000}"/>
    <cellStyle name="20% - Accent5 5 2 2 4 2 2 3" xfId="31984" xr:uid="{00000000-0005-0000-0000-0000223C0000}"/>
    <cellStyle name="20% - Accent5 5 2 2 4 2 3" xfId="15033" xr:uid="{00000000-0005-0000-0000-0000233C0000}"/>
    <cellStyle name="20% - Accent5 5 2 2 4 2 3 2" xfId="37635" xr:uid="{00000000-0005-0000-0000-0000243C0000}"/>
    <cellStyle name="20% - Accent5 5 2 2 4 2 4" xfId="26334" xr:uid="{00000000-0005-0000-0000-0000253C0000}"/>
    <cellStyle name="20% - Accent5 5 2 2 4 3" xfId="5502" xr:uid="{00000000-0005-0000-0000-0000263C0000}"/>
    <cellStyle name="20% - Accent5 5 2 2 4 3 2" xfId="11152" xr:uid="{00000000-0005-0000-0000-0000273C0000}"/>
    <cellStyle name="20% - Accent5 5 2 2 4 3 2 2" xfId="22453" xr:uid="{00000000-0005-0000-0000-0000283C0000}"/>
    <cellStyle name="20% - Accent5 5 2 2 4 3 2 2 2" xfId="45055" xr:uid="{00000000-0005-0000-0000-0000293C0000}"/>
    <cellStyle name="20% - Accent5 5 2 2 4 3 2 3" xfId="33754" xr:uid="{00000000-0005-0000-0000-00002A3C0000}"/>
    <cellStyle name="20% - Accent5 5 2 2 4 3 3" xfId="16803" xr:uid="{00000000-0005-0000-0000-00002B3C0000}"/>
    <cellStyle name="20% - Accent5 5 2 2 4 3 3 2" xfId="39405" xr:uid="{00000000-0005-0000-0000-00002C3C0000}"/>
    <cellStyle name="20% - Accent5 5 2 2 4 3 4" xfId="28104" xr:uid="{00000000-0005-0000-0000-00002D3C0000}"/>
    <cellStyle name="20% - Accent5 5 2 2 4 4" xfId="7605" xr:uid="{00000000-0005-0000-0000-00002E3C0000}"/>
    <cellStyle name="20% - Accent5 5 2 2 4 4 2" xfId="18906" xr:uid="{00000000-0005-0000-0000-00002F3C0000}"/>
    <cellStyle name="20% - Accent5 5 2 2 4 4 2 2" xfId="41508" xr:uid="{00000000-0005-0000-0000-0000303C0000}"/>
    <cellStyle name="20% - Accent5 5 2 2 4 4 3" xfId="30207" xr:uid="{00000000-0005-0000-0000-0000313C0000}"/>
    <cellStyle name="20% - Accent5 5 2 2 4 5" xfId="13256" xr:uid="{00000000-0005-0000-0000-0000323C0000}"/>
    <cellStyle name="20% - Accent5 5 2 2 4 5 2" xfId="35858" xr:uid="{00000000-0005-0000-0000-0000333C0000}"/>
    <cellStyle name="20% - Accent5 5 2 2 4 6" xfId="24557" xr:uid="{00000000-0005-0000-0000-0000343C0000}"/>
    <cellStyle name="20% - Accent5 5 2 2 5" xfId="2483" xr:uid="{00000000-0005-0000-0000-0000353C0000}"/>
    <cellStyle name="20% - Accent5 5 2 2 5 2" xfId="8319" xr:uid="{00000000-0005-0000-0000-0000363C0000}"/>
    <cellStyle name="20% - Accent5 5 2 2 5 2 2" xfId="19620" xr:uid="{00000000-0005-0000-0000-0000373C0000}"/>
    <cellStyle name="20% - Accent5 5 2 2 5 2 2 2" xfId="42222" xr:uid="{00000000-0005-0000-0000-0000383C0000}"/>
    <cellStyle name="20% - Accent5 5 2 2 5 2 3" xfId="30921" xr:uid="{00000000-0005-0000-0000-0000393C0000}"/>
    <cellStyle name="20% - Accent5 5 2 2 5 3" xfId="13970" xr:uid="{00000000-0005-0000-0000-00003A3C0000}"/>
    <cellStyle name="20% - Accent5 5 2 2 5 3 2" xfId="36572" xr:uid="{00000000-0005-0000-0000-00003B3C0000}"/>
    <cellStyle name="20% - Accent5 5 2 2 5 4" xfId="25271" xr:uid="{00000000-0005-0000-0000-00003C3C0000}"/>
    <cellStyle name="20% - Accent5 5 2 2 6" xfId="4268" xr:uid="{00000000-0005-0000-0000-00003D3C0000}"/>
    <cellStyle name="20% - Accent5 5 2 2 6 2" xfId="9918" xr:uid="{00000000-0005-0000-0000-00003E3C0000}"/>
    <cellStyle name="20% - Accent5 5 2 2 6 2 2" xfId="21219" xr:uid="{00000000-0005-0000-0000-00003F3C0000}"/>
    <cellStyle name="20% - Accent5 5 2 2 6 2 2 2" xfId="43821" xr:uid="{00000000-0005-0000-0000-0000403C0000}"/>
    <cellStyle name="20% - Accent5 5 2 2 6 2 3" xfId="32520" xr:uid="{00000000-0005-0000-0000-0000413C0000}"/>
    <cellStyle name="20% - Accent5 5 2 2 6 3" xfId="15569" xr:uid="{00000000-0005-0000-0000-0000423C0000}"/>
    <cellStyle name="20% - Accent5 5 2 2 6 3 2" xfId="38171" xr:uid="{00000000-0005-0000-0000-0000433C0000}"/>
    <cellStyle name="20% - Accent5 5 2 2 6 4" xfId="26870" xr:uid="{00000000-0005-0000-0000-0000443C0000}"/>
    <cellStyle name="20% - Accent5 5 2 2 7" xfId="6748" xr:uid="{00000000-0005-0000-0000-0000453C0000}"/>
    <cellStyle name="20% - Accent5 5 2 2 7 2" xfId="18049" xr:uid="{00000000-0005-0000-0000-0000463C0000}"/>
    <cellStyle name="20% - Accent5 5 2 2 7 2 2" xfId="40651" xr:uid="{00000000-0005-0000-0000-0000473C0000}"/>
    <cellStyle name="20% - Accent5 5 2 2 7 3" xfId="29350" xr:uid="{00000000-0005-0000-0000-0000483C0000}"/>
    <cellStyle name="20% - Accent5 5 2 2 8" xfId="12399" xr:uid="{00000000-0005-0000-0000-0000493C0000}"/>
    <cellStyle name="20% - Accent5 5 2 2 8 2" xfId="35001" xr:uid="{00000000-0005-0000-0000-00004A3C0000}"/>
    <cellStyle name="20% - Accent5 5 2 2 9" xfId="23700" xr:uid="{00000000-0005-0000-0000-00004B3C0000}"/>
    <cellStyle name="20% - Accent5 5 2 3" xfId="1255" xr:uid="{00000000-0005-0000-0000-00004C3C0000}"/>
    <cellStyle name="20% - Accent5 5 2 3 2" xfId="1751" xr:uid="{00000000-0005-0000-0000-00004D3C0000}"/>
    <cellStyle name="20% - Accent5 5 2 3 2 2" xfId="3323" xr:uid="{00000000-0005-0000-0000-00004E3C0000}"/>
    <cellStyle name="20% - Accent5 5 2 3 2 2 2" xfId="6295" xr:uid="{00000000-0005-0000-0000-00004F3C0000}"/>
    <cellStyle name="20% - Accent5 5 2 3 2 2 2 2" xfId="11945" xr:uid="{00000000-0005-0000-0000-0000503C0000}"/>
    <cellStyle name="20% - Accent5 5 2 3 2 2 2 2 2" xfId="23246" xr:uid="{00000000-0005-0000-0000-0000513C0000}"/>
    <cellStyle name="20% - Accent5 5 2 3 2 2 2 2 2 2" xfId="45848" xr:uid="{00000000-0005-0000-0000-0000523C0000}"/>
    <cellStyle name="20% - Accent5 5 2 3 2 2 2 2 3" xfId="34547" xr:uid="{00000000-0005-0000-0000-0000533C0000}"/>
    <cellStyle name="20% - Accent5 5 2 3 2 2 2 3" xfId="17596" xr:uid="{00000000-0005-0000-0000-0000543C0000}"/>
    <cellStyle name="20% - Accent5 5 2 3 2 2 2 3 2" xfId="40198" xr:uid="{00000000-0005-0000-0000-0000553C0000}"/>
    <cellStyle name="20% - Accent5 5 2 3 2 2 2 4" xfId="28897" xr:uid="{00000000-0005-0000-0000-0000563C0000}"/>
    <cellStyle name="20% - Accent5 5 2 3 2 2 3" xfId="9113" xr:uid="{00000000-0005-0000-0000-0000573C0000}"/>
    <cellStyle name="20% - Accent5 5 2 3 2 2 3 2" xfId="20414" xr:uid="{00000000-0005-0000-0000-0000583C0000}"/>
    <cellStyle name="20% - Accent5 5 2 3 2 2 3 2 2" xfId="43016" xr:uid="{00000000-0005-0000-0000-0000593C0000}"/>
    <cellStyle name="20% - Accent5 5 2 3 2 2 3 3" xfId="31715" xr:uid="{00000000-0005-0000-0000-00005A3C0000}"/>
    <cellStyle name="20% - Accent5 5 2 3 2 2 4" xfId="14764" xr:uid="{00000000-0005-0000-0000-00005B3C0000}"/>
    <cellStyle name="20% - Accent5 5 2 3 2 2 4 2" xfId="37366" xr:uid="{00000000-0005-0000-0000-00005C3C0000}"/>
    <cellStyle name="20% - Accent5 5 2 3 2 2 5" xfId="26065" xr:uid="{00000000-0005-0000-0000-00005D3C0000}"/>
    <cellStyle name="20% - Accent5 5 2 3 2 3" xfId="5061" xr:uid="{00000000-0005-0000-0000-00005E3C0000}"/>
    <cellStyle name="20% - Accent5 5 2 3 2 3 2" xfId="10711" xr:uid="{00000000-0005-0000-0000-00005F3C0000}"/>
    <cellStyle name="20% - Accent5 5 2 3 2 3 2 2" xfId="22012" xr:uid="{00000000-0005-0000-0000-0000603C0000}"/>
    <cellStyle name="20% - Accent5 5 2 3 2 3 2 2 2" xfId="44614" xr:uid="{00000000-0005-0000-0000-0000613C0000}"/>
    <cellStyle name="20% - Accent5 5 2 3 2 3 2 3" xfId="33313" xr:uid="{00000000-0005-0000-0000-0000623C0000}"/>
    <cellStyle name="20% - Accent5 5 2 3 2 3 3" xfId="16362" xr:uid="{00000000-0005-0000-0000-0000633C0000}"/>
    <cellStyle name="20% - Accent5 5 2 3 2 3 3 2" xfId="38964" xr:uid="{00000000-0005-0000-0000-0000643C0000}"/>
    <cellStyle name="20% - Accent5 5 2 3 2 3 4" xfId="27663" xr:uid="{00000000-0005-0000-0000-0000653C0000}"/>
    <cellStyle name="20% - Accent5 5 2 3 2 4" xfId="7607" xr:uid="{00000000-0005-0000-0000-0000663C0000}"/>
    <cellStyle name="20% - Accent5 5 2 3 2 4 2" xfId="18908" xr:uid="{00000000-0005-0000-0000-0000673C0000}"/>
    <cellStyle name="20% - Accent5 5 2 3 2 4 2 2" xfId="41510" xr:uid="{00000000-0005-0000-0000-0000683C0000}"/>
    <cellStyle name="20% - Accent5 5 2 3 2 4 3" xfId="30209" xr:uid="{00000000-0005-0000-0000-0000693C0000}"/>
    <cellStyle name="20% - Accent5 5 2 3 2 5" xfId="13258" xr:uid="{00000000-0005-0000-0000-00006A3C0000}"/>
    <cellStyle name="20% - Accent5 5 2 3 2 5 2" xfId="35860" xr:uid="{00000000-0005-0000-0000-00006B3C0000}"/>
    <cellStyle name="20% - Accent5 5 2 3 2 6" xfId="24559" xr:uid="{00000000-0005-0000-0000-00006C3C0000}"/>
    <cellStyle name="20% - Accent5 5 2 3 3" xfId="2652" xr:uid="{00000000-0005-0000-0000-00006D3C0000}"/>
    <cellStyle name="20% - Accent5 5 2 3 3 2" xfId="5671" xr:uid="{00000000-0005-0000-0000-00006E3C0000}"/>
    <cellStyle name="20% - Accent5 5 2 3 3 2 2" xfId="11321" xr:uid="{00000000-0005-0000-0000-00006F3C0000}"/>
    <cellStyle name="20% - Accent5 5 2 3 3 2 2 2" xfId="22622" xr:uid="{00000000-0005-0000-0000-0000703C0000}"/>
    <cellStyle name="20% - Accent5 5 2 3 3 2 2 2 2" xfId="45224" xr:uid="{00000000-0005-0000-0000-0000713C0000}"/>
    <cellStyle name="20% - Accent5 5 2 3 3 2 2 3" xfId="33923" xr:uid="{00000000-0005-0000-0000-0000723C0000}"/>
    <cellStyle name="20% - Accent5 5 2 3 3 2 3" xfId="16972" xr:uid="{00000000-0005-0000-0000-0000733C0000}"/>
    <cellStyle name="20% - Accent5 5 2 3 3 2 3 2" xfId="39574" xr:uid="{00000000-0005-0000-0000-0000743C0000}"/>
    <cellStyle name="20% - Accent5 5 2 3 3 2 4" xfId="28273" xr:uid="{00000000-0005-0000-0000-0000753C0000}"/>
    <cellStyle name="20% - Accent5 5 2 3 3 3" xfId="8488" xr:uid="{00000000-0005-0000-0000-0000763C0000}"/>
    <cellStyle name="20% - Accent5 5 2 3 3 3 2" xfId="19789" xr:uid="{00000000-0005-0000-0000-0000773C0000}"/>
    <cellStyle name="20% - Accent5 5 2 3 3 3 2 2" xfId="42391" xr:uid="{00000000-0005-0000-0000-0000783C0000}"/>
    <cellStyle name="20% - Accent5 5 2 3 3 3 3" xfId="31090" xr:uid="{00000000-0005-0000-0000-0000793C0000}"/>
    <cellStyle name="20% - Accent5 5 2 3 3 4" xfId="14139" xr:uid="{00000000-0005-0000-0000-00007A3C0000}"/>
    <cellStyle name="20% - Accent5 5 2 3 3 4 2" xfId="36741" xr:uid="{00000000-0005-0000-0000-00007B3C0000}"/>
    <cellStyle name="20% - Accent5 5 2 3 3 5" xfId="25440" xr:uid="{00000000-0005-0000-0000-00007C3C0000}"/>
    <cellStyle name="20% - Accent5 5 2 3 4" xfId="4437" xr:uid="{00000000-0005-0000-0000-00007D3C0000}"/>
    <cellStyle name="20% - Accent5 5 2 3 4 2" xfId="10087" xr:uid="{00000000-0005-0000-0000-00007E3C0000}"/>
    <cellStyle name="20% - Accent5 5 2 3 4 2 2" xfId="21388" xr:uid="{00000000-0005-0000-0000-00007F3C0000}"/>
    <cellStyle name="20% - Accent5 5 2 3 4 2 2 2" xfId="43990" xr:uid="{00000000-0005-0000-0000-0000803C0000}"/>
    <cellStyle name="20% - Accent5 5 2 3 4 2 3" xfId="32689" xr:uid="{00000000-0005-0000-0000-0000813C0000}"/>
    <cellStyle name="20% - Accent5 5 2 3 4 3" xfId="15738" xr:uid="{00000000-0005-0000-0000-0000823C0000}"/>
    <cellStyle name="20% - Accent5 5 2 3 4 3 2" xfId="38340" xr:uid="{00000000-0005-0000-0000-0000833C0000}"/>
    <cellStyle name="20% - Accent5 5 2 3 4 4" xfId="27039" xr:uid="{00000000-0005-0000-0000-0000843C0000}"/>
    <cellStyle name="20% - Accent5 5 2 3 5" xfId="7234" xr:uid="{00000000-0005-0000-0000-0000853C0000}"/>
    <cellStyle name="20% - Accent5 5 2 3 5 2" xfId="18535" xr:uid="{00000000-0005-0000-0000-0000863C0000}"/>
    <cellStyle name="20% - Accent5 5 2 3 5 2 2" xfId="41137" xr:uid="{00000000-0005-0000-0000-0000873C0000}"/>
    <cellStyle name="20% - Accent5 5 2 3 5 3" xfId="29836" xr:uid="{00000000-0005-0000-0000-0000883C0000}"/>
    <cellStyle name="20% - Accent5 5 2 3 6" xfId="12885" xr:uid="{00000000-0005-0000-0000-0000893C0000}"/>
    <cellStyle name="20% - Accent5 5 2 3 6 2" xfId="35487" xr:uid="{00000000-0005-0000-0000-00008A3C0000}"/>
    <cellStyle name="20% - Accent5 5 2 3 7" xfId="24186" xr:uid="{00000000-0005-0000-0000-00008B3C0000}"/>
    <cellStyle name="20% - Accent5 5 2 4" xfId="946" xr:uid="{00000000-0005-0000-0000-00008C3C0000}"/>
    <cellStyle name="20% - Accent5 5 2 4 2" xfId="3016" xr:uid="{00000000-0005-0000-0000-00008D3C0000}"/>
    <cellStyle name="20% - Accent5 5 2 4 2 2" xfId="5988" xr:uid="{00000000-0005-0000-0000-00008E3C0000}"/>
    <cellStyle name="20% - Accent5 5 2 4 2 2 2" xfId="11638" xr:uid="{00000000-0005-0000-0000-00008F3C0000}"/>
    <cellStyle name="20% - Accent5 5 2 4 2 2 2 2" xfId="22939" xr:uid="{00000000-0005-0000-0000-0000903C0000}"/>
    <cellStyle name="20% - Accent5 5 2 4 2 2 2 2 2" xfId="45541" xr:uid="{00000000-0005-0000-0000-0000913C0000}"/>
    <cellStyle name="20% - Accent5 5 2 4 2 2 2 3" xfId="34240" xr:uid="{00000000-0005-0000-0000-0000923C0000}"/>
    <cellStyle name="20% - Accent5 5 2 4 2 2 3" xfId="17289" xr:uid="{00000000-0005-0000-0000-0000933C0000}"/>
    <cellStyle name="20% - Accent5 5 2 4 2 2 3 2" xfId="39891" xr:uid="{00000000-0005-0000-0000-0000943C0000}"/>
    <cellStyle name="20% - Accent5 5 2 4 2 2 4" xfId="28590" xr:uid="{00000000-0005-0000-0000-0000953C0000}"/>
    <cellStyle name="20% - Accent5 5 2 4 2 3" xfId="8806" xr:uid="{00000000-0005-0000-0000-0000963C0000}"/>
    <cellStyle name="20% - Accent5 5 2 4 2 3 2" xfId="20107" xr:uid="{00000000-0005-0000-0000-0000973C0000}"/>
    <cellStyle name="20% - Accent5 5 2 4 2 3 2 2" xfId="42709" xr:uid="{00000000-0005-0000-0000-0000983C0000}"/>
    <cellStyle name="20% - Accent5 5 2 4 2 3 3" xfId="31408" xr:uid="{00000000-0005-0000-0000-0000993C0000}"/>
    <cellStyle name="20% - Accent5 5 2 4 2 4" xfId="14457" xr:uid="{00000000-0005-0000-0000-00009A3C0000}"/>
    <cellStyle name="20% - Accent5 5 2 4 2 4 2" xfId="37059" xr:uid="{00000000-0005-0000-0000-00009B3C0000}"/>
    <cellStyle name="20% - Accent5 5 2 4 2 5" xfId="25758" xr:uid="{00000000-0005-0000-0000-00009C3C0000}"/>
    <cellStyle name="20% - Accent5 5 2 4 3" xfId="4754" xr:uid="{00000000-0005-0000-0000-00009D3C0000}"/>
    <cellStyle name="20% - Accent5 5 2 4 3 2" xfId="10404" xr:uid="{00000000-0005-0000-0000-00009E3C0000}"/>
    <cellStyle name="20% - Accent5 5 2 4 3 2 2" xfId="21705" xr:uid="{00000000-0005-0000-0000-00009F3C0000}"/>
    <cellStyle name="20% - Accent5 5 2 4 3 2 2 2" xfId="44307" xr:uid="{00000000-0005-0000-0000-0000A03C0000}"/>
    <cellStyle name="20% - Accent5 5 2 4 3 2 3" xfId="33006" xr:uid="{00000000-0005-0000-0000-0000A13C0000}"/>
    <cellStyle name="20% - Accent5 5 2 4 3 3" xfId="16055" xr:uid="{00000000-0005-0000-0000-0000A23C0000}"/>
    <cellStyle name="20% - Accent5 5 2 4 3 3 2" xfId="38657" xr:uid="{00000000-0005-0000-0000-0000A33C0000}"/>
    <cellStyle name="20% - Accent5 5 2 4 3 4" xfId="27356" xr:uid="{00000000-0005-0000-0000-0000A43C0000}"/>
    <cellStyle name="20% - Accent5 5 2 4 4" xfId="6941" xr:uid="{00000000-0005-0000-0000-0000A53C0000}"/>
    <cellStyle name="20% - Accent5 5 2 4 4 2" xfId="18242" xr:uid="{00000000-0005-0000-0000-0000A63C0000}"/>
    <cellStyle name="20% - Accent5 5 2 4 4 2 2" xfId="40844" xr:uid="{00000000-0005-0000-0000-0000A73C0000}"/>
    <cellStyle name="20% - Accent5 5 2 4 4 3" xfId="29543" xr:uid="{00000000-0005-0000-0000-0000A83C0000}"/>
    <cellStyle name="20% - Accent5 5 2 4 5" xfId="12592" xr:uid="{00000000-0005-0000-0000-0000A93C0000}"/>
    <cellStyle name="20% - Accent5 5 2 4 5 2" xfId="35194" xr:uid="{00000000-0005-0000-0000-0000AA3C0000}"/>
    <cellStyle name="20% - Accent5 5 2 4 6" xfId="23893" xr:uid="{00000000-0005-0000-0000-0000AB3C0000}"/>
    <cellStyle name="20% - Accent5 5 2 5" xfId="1748" xr:uid="{00000000-0005-0000-0000-0000AC3C0000}"/>
    <cellStyle name="20% - Accent5 5 2 5 2" xfId="3670" xr:uid="{00000000-0005-0000-0000-0000AD3C0000}"/>
    <cellStyle name="20% - Accent5 5 2 5 2 2" xfId="9381" xr:uid="{00000000-0005-0000-0000-0000AE3C0000}"/>
    <cellStyle name="20% - Accent5 5 2 5 2 2 2" xfId="20682" xr:uid="{00000000-0005-0000-0000-0000AF3C0000}"/>
    <cellStyle name="20% - Accent5 5 2 5 2 2 2 2" xfId="43284" xr:uid="{00000000-0005-0000-0000-0000B03C0000}"/>
    <cellStyle name="20% - Accent5 5 2 5 2 2 3" xfId="31983" xr:uid="{00000000-0005-0000-0000-0000B13C0000}"/>
    <cellStyle name="20% - Accent5 5 2 5 2 3" xfId="15032" xr:uid="{00000000-0005-0000-0000-0000B23C0000}"/>
    <cellStyle name="20% - Accent5 5 2 5 2 3 2" xfId="37634" xr:uid="{00000000-0005-0000-0000-0000B33C0000}"/>
    <cellStyle name="20% - Accent5 5 2 5 2 4" xfId="26333" xr:uid="{00000000-0005-0000-0000-0000B43C0000}"/>
    <cellStyle name="20% - Accent5 5 2 5 3" xfId="5364" xr:uid="{00000000-0005-0000-0000-0000B53C0000}"/>
    <cellStyle name="20% - Accent5 5 2 5 3 2" xfId="11014" xr:uid="{00000000-0005-0000-0000-0000B63C0000}"/>
    <cellStyle name="20% - Accent5 5 2 5 3 2 2" xfId="22315" xr:uid="{00000000-0005-0000-0000-0000B73C0000}"/>
    <cellStyle name="20% - Accent5 5 2 5 3 2 2 2" xfId="44917" xr:uid="{00000000-0005-0000-0000-0000B83C0000}"/>
    <cellStyle name="20% - Accent5 5 2 5 3 2 3" xfId="33616" xr:uid="{00000000-0005-0000-0000-0000B93C0000}"/>
    <cellStyle name="20% - Accent5 5 2 5 3 3" xfId="16665" xr:uid="{00000000-0005-0000-0000-0000BA3C0000}"/>
    <cellStyle name="20% - Accent5 5 2 5 3 3 2" xfId="39267" xr:uid="{00000000-0005-0000-0000-0000BB3C0000}"/>
    <cellStyle name="20% - Accent5 5 2 5 3 4" xfId="27966" xr:uid="{00000000-0005-0000-0000-0000BC3C0000}"/>
    <cellStyle name="20% - Accent5 5 2 5 4" xfId="7604" xr:uid="{00000000-0005-0000-0000-0000BD3C0000}"/>
    <cellStyle name="20% - Accent5 5 2 5 4 2" xfId="18905" xr:uid="{00000000-0005-0000-0000-0000BE3C0000}"/>
    <cellStyle name="20% - Accent5 5 2 5 4 2 2" xfId="41507" xr:uid="{00000000-0005-0000-0000-0000BF3C0000}"/>
    <cellStyle name="20% - Accent5 5 2 5 4 3" xfId="30206" xr:uid="{00000000-0005-0000-0000-0000C03C0000}"/>
    <cellStyle name="20% - Accent5 5 2 5 5" xfId="13255" xr:uid="{00000000-0005-0000-0000-0000C13C0000}"/>
    <cellStyle name="20% - Accent5 5 2 5 5 2" xfId="35857" xr:uid="{00000000-0005-0000-0000-0000C23C0000}"/>
    <cellStyle name="20% - Accent5 5 2 5 6" xfId="24556" xr:uid="{00000000-0005-0000-0000-0000C33C0000}"/>
    <cellStyle name="20% - Accent5 5 2 6" xfId="2343" xr:uid="{00000000-0005-0000-0000-0000C43C0000}"/>
    <cellStyle name="20% - Accent5 5 2 6 2" xfId="8179" xr:uid="{00000000-0005-0000-0000-0000C53C0000}"/>
    <cellStyle name="20% - Accent5 5 2 6 2 2" xfId="19480" xr:uid="{00000000-0005-0000-0000-0000C63C0000}"/>
    <cellStyle name="20% - Accent5 5 2 6 2 2 2" xfId="42082" xr:uid="{00000000-0005-0000-0000-0000C73C0000}"/>
    <cellStyle name="20% - Accent5 5 2 6 2 3" xfId="30781" xr:uid="{00000000-0005-0000-0000-0000C83C0000}"/>
    <cellStyle name="20% - Accent5 5 2 6 3" xfId="13830" xr:uid="{00000000-0005-0000-0000-0000C93C0000}"/>
    <cellStyle name="20% - Accent5 5 2 6 3 2" xfId="36432" xr:uid="{00000000-0005-0000-0000-0000CA3C0000}"/>
    <cellStyle name="20% - Accent5 5 2 6 4" xfId="25131" xr:uid="{00000000-0005-0000-0000-0000CB3C0000}"/>
    <cellStyle name="20% - Accent5 5 2 7" xfId="4130" xr:uid="{00000000-0005-0000-0000-0000CC3C0000}"/>
    <cellStyle name="20% - Accent5 5 2 7 2" xfId="9780" xr:uid="{00000000-0005-0000-0000-0000CD3C0000}"/>
    <cellStyle name="20% - Accent5 5 2 7 2 2" xfId="21081" xr:uid="{00000000-0005-0000-0000-0000CE3C0000}"/>
    <cellStyle name="20% - Accent5 5 2 7 2 2 2" xfId="43683" xr:uid="{00000000-0005-0000-0000-0000CF3C0000}"/>
    <cellStyle name="20% - Accent5 5 2 7 2 3" xfId="32382" xr:uid="{00000000-0005-0000-0000-0000D03C0000}"/>
    <cellStyle name="20% - Accent5 5 2 7 3" xfId="15431" xr:uid="{00000000-0005-0000-0000-0000D13C0000}"/>
    <cellStyle name="20% - Accent5 5 2 7 3 2" xfId="38033" xr:uid="{00000000-0005-0000-0000-0000D23C0000}"/>
    <cellStyle name="20% - Accent5 5 2 7 4" xfId="26732" xr:uid="{00000000-0005-0000-0000-0000D33C0000}"/>
    <cellStyle name="20% - Accent5 5 2 8" xfId="6581" xr:uid="{00000000-0005-0000-0000-0000D43C0000}"/>
    <cellStyle name="20% - Accent5 5 2 8 2" xfId="17882" xr:uid="{00000000-0005-0000-0000-0000D53C0000}"/>
    <cellStyle name="20% - Accent5 5 2 8 2 2" xfId="40484" xr:uid="{00000000-0005-0000-0000-0000D63C0000}"/>
    <cellStyle name="20% - Accent5 5 2 8 3" xfId="29183" xr:uid="{00000000-0005-0000-0000-0000D73C0000}"/>
    <cellStyle name="20% - Accent5 5 2 9" xfId="12232" xr:uid="{00000000-0005-0000-0000-0000D83C0000}"/>
    <cellStyle name="20% - Accent5 5 2 9 2" xfId="34834" xr:uid="{00000000-0005-0000-0000-0000D93C0000}"/>
    <cellStyle name="20% - Accent5 5 3" xfId="587" xr:uid="{00000000-0005-0000-0000-0000DA3C0000}"/>
    <cellStyle name="20% - Accent5 5 3 2" xfId="1300" xr:uid="{00000000-0005-0000-0000-0000DB3C0000}"/>
    <cellStyle name="20% - Accent5 5 3 2 2" xfId="1753" xr:uid="{00000000-0005-0000-0000-0000DC3C0000}"/>
    <cellStyle name="20% - Accent5 5 3 2 2 2" xfId="3369" xr:uid="{00000000-0005-0000-0000-0000DD3C0000}"/>
    <cellStyle name="20% - Accent5 5 3 2 2 2 2" xfId="6341" xr:uid="{00000000-0005-0000-0000-0000DE3C0000}"/>
    <cellStyle name="20% - Accent5 5 3 2 2 2 2 2" xfId="11991" xr:uid="{00000000-0005-0000-0000-0000DF3C0000}"/>
    <cellStyle name="20% - Accent5 5 3 2 2 2 2 2 2" xfId="23292" xr:uid="{00000000-0005-0000-0000-0000E03C0000}"/>
    <cellStyle name="20% - Accent5 5 3 2 2 2 2 2 2 2" xfId="45894" xr:uid="{00000000-0005-0000-0000-0000E13C0000}"/>
    <cellStyle name="20% - Accent5 5 3 2 2 2 2 2 3" xfId="34593" xr:uid="{00000000-0005-0000-0000-0000E23C0000}"/>
    <cellStyle name="20% - Accent5 5 3 2 2 2 2 3" xfId="17642" xr:uid="{00000000-0005-0000-0000-0000E33C0000}"/>
    <cellStyle name="20% - Accent5 5 3 2 2 2 2 3 2" xfId="40244" xr:uid="{00000000-0005-0000-0000-0000E43C0000}"/>
    <cellStyle name="20% - Accent5 5 3 2 2 2 2 4" xfId="28943" xr:uid="{00000000-0005-0000-0000-0000E53C0000}"/>
    <cellStyle name="20% - Accent5 5 3 2 2 2 3" xfId="9159" xr:uid="{00000000-0005-0000-0000-0000E63C0000}"/>
    <cellStyle name="20% - Accent5 5 3 2 2 2 3 2" xfId="20460" xr:uid="{00000000-0005-0000-0000-0000E73C0000}"/>
    <cellStyle name="20% - Accent5 5 3 2 2 2 3 2 2" xfId="43062" xr:uid="{00000000-0005-0000-0000-0000E83C0000}"/>
    <cellStyle name="20% - Accent5 5 3 2 2 2 3 3" xfId="31761" xr:uid="{00000000-0005-0000-0000-0000E93C0000}"/>
    <cellStyle name="20% - Accent5 5 3 2 2 2 4" xfId="14810" xr:uid="{00000000-0005-0000-0000-0000EA3C0000}"/>
    <cellStyle name="20% - Accent5 5 3 2 2 2 4 2" xfId="37412" xr:uid="{00000000-0005-0000-0000-0000EB3C0000}"/>
    <cellStyle name="20% - Accent5 5 3 2 2 2 5" xfId="26111" xr:uid="{00000000-0005-0000-0000-0000EC3C0000}"/>
    <cellStyle name="20% - Accent5 5 3 2 2 3" xfId="5107" xr:uid="{00000000-0005-0000-0000-0000ED3C0000}"/>
    <cellStyle name="20% - Accent5 5 3 2 2 3 2" xfId="10757" xr:uid="{00000000-0005-0000-0000-0000EE3C0000}"/>
    <cellStyle name="20% - Accent5 5 3 2 2 3 2 2" xfId="22058" xr:uid="{00000000-0005-0000-0000-0000EF3C0000}"/>
    <cellStyle name="20% - Accent5 5 3 2 2 3 2 2 2" xfId="44660" xr:uid="{00000000-0005-0000-0000-0000F03C0000}"/>
    <cellStyle name="20% - Accent5 5 3 2 2 3 2 3" xfId="33359" xr:uid="{00000000-0005-0000-0000-0000F13C0000}"/>
    <cellStyle name="20% - Accent5 5 3 2 2 3 3" xfId="16408" xr:uid="{00000000-0005-0000-0000-0000F23C0000}"/>
    <cellStyle name="20% - Accent5 5 3 2 2 3 3 2" xfId="39010" xr:uid="{00000000-0005-0000-0000-0000F33C0000}"/>
    <cellStyle name="20% - Accent5 5 3 2 2 3 4" xfId="27709" xr:uid="{00000000-0005-0000-0000-0000F43C0000}"/>
    <cellStyle name="20% - Accent5 5 3 2 2 4" xfId="7609" xr:uid="{00000000-0005-0000-0000-0000F53C0000}"/>
    <cellStyle name="20% - Accent5 5 3 2 2 4 2" xfId="18910" xr:uid="{00000000-0005-0000-0000-0000F63C0000}"/>
    <cellStyle name="20% - Accent5 5 3 2 2 4 2 2" xfId="41512" xr:uid="{00000000-0005-0000-0000-0000F73C0000}"/>
    <cellStyle name="20% - Accent5 5 3 2 2 4 3" xfId="30211" xr:uid="{00000000-0005-0000-0000-0000F83C0000}"/>
    <cellStyle name="20% - Accent5 5 3 2 2 5" xfId="13260" xr:uid="{00000000-0005-0000-0000-0000F93C0000}"/>
    <cellStyle name="20% - Accent5 5 3 2 2 5 2" xfId="35862" xr:uid="{00000000-0005-0000-0000-0000FA3C0000}"/>
    <cellStyle name="20% - Accent5 5 3 2 2 6" xfId="24561" xr:uid="{00000000-0005-0000-0000-0000FB3C0000}"/>
    <cellStyle name="20% - Accent5 5 3 2 3" xfId="2698" xr:uid="{00000000-0005-0000-0000-0000FC3C0000}"/>
    <cellStyle name="20% - Accent5 5 3 2 3 2" xfId="5717" xr:uid="{00000000-0005-0000-0000-0000FD3C0000}"/>
    <cellStyle name="20% - Accent5 5 3 2 3 2 2" xfId="11367" xr:uid="{00000000-0005-0000-0000-0000FE3C0000}"/>
    <cellStyle name="20% - Accent5 5 3 2 3 2 2 2" xfId="22668" xr:uid="{00000000-0005-0000-0000-0000FF3C0000}"/>
    <cellStyle name="20% - Accent5 5 3 2 3 2 2 2 2" xfId="45270" xr:uid="{00000000-0005-0000-0000-0000003D0000}"/>
    <cellStyle name="20% - Accent5 5 3 2 3 2 2 3" xfId="33969" xr:uid="{00000000-0005-0000-0000-0000013D0000}"/>
    <cellStyle name="20% - Accent5 5 3 2 3 2 3" xfId="17018" xr:uid="{00000000-0005-0000-0000-0000023D0000}"/>
    <cellStyle name="20% - Accent5 5 3 2 3 2 3 2" xfId="39620" xr:uid="{00000000-0005-0000-0000-0000033D0000}"/>
    <cellStyle name="20% - Accent5 5 3 2 3 2 4" xfId="28319" xr:uid="{00000000-0005-0000-0000-0000043D0000}"/>
    <cellStyle name="20% - Accent5 5 3 2 3 3" xfId="8534" xr:uid="{00000000-0005-0000-0000-0000053D0000}"/>
    <cellStyle name="20% - Accent5 5 3 2 3 3 2" xfId="19835" xr:uid="{00000000-0005-0000-0000-0000063D0000}"/>
    <cellStyle name="20% - Accent5 5 3 2 3 3 2 2" xfId="42437" xr:uid="{00000000-0005-0000-0000-0000073D0000}"/>
    <cellStyle name="20% - Accent5 5 3 2 3 3 3" xfId="31136" xr:uid="{00000000-0005-0000-0000-0000083D0000}"/>
    <cellStyle name="20% - Accent5 5 3 2 3 4" xfId="14185" xr:uid="{00000000-0005-0000-0000-0000093D0000}"/>
    <cellStyle name="20% - Accent5 5 3 2 3 4 2" xfId="36787" xr:uid="{00000000-0005-0000-0000-00000A3D0000}"/>
    <cellStyle name="20% - Accent5 5 3 2 3 5" xfId="25486" xr:uid="{00000000-0005-0000-0000-00000B3D0000}"/>
    <cellStyle name="20% - Accent5 5 3 2 4" xfId="4483" xr:uid="{00000000-0005-0000-0000-00000C3D0000}"/>
    <cellStyle name="20% - Accent5 5 3 2 4 2" xfId="10133" xr:uid="{00000000-0005-0000-0000-00000D3D0000}"/>
    <cellStyle name="20% - Accent5 5 3 2 4 2 2" xfId="21434" xr:uid="{00000000-0005-0000-0000-00000E3D0000}"/>
    <cellStyle name="20% - Accent5 5 3 2 4 2 2 2" xfId="44036" xr:uid="{00000000-0005-0000-0000-00000F3D0000}"/>
    <cellStyle name="20% - Accent5 5 3 2 4 2 3" xfId="32735" xr:uid="{00000000-0005-0000-0000-0000103D0000}"/>
    <cellStyle name="20% - Accent5 5 3 2 4 3" xfId="15784" xr:uid="{00000000-0005-0000-0000-0000113D0000}"/>
    <cellStyle name="20% - Accent5 5 3 2 4 3 2" xfId="38386" xr:uid="{00000000-0005-0000-0000-0000123D0000}"/>
    <cellStyle name="20% - Accent5 5 3 2 4 4" xfId="27085" xr:uid="{00000000-0005-0000-0000-0000133D0000}"/>
    <cellStyle name="20% - Accent5 5 3 2 5" xfId="7279" xr:uid="{00000000-0005-0000-0000-0000143D0000}"/>
    <cellStyle name="20% - Accent5 5 3 2 5 2" xfId="18580" xr:uid="{00000000-0005-0000-0000-0000153D0000}"/>
    <cellStyle name="20% - Accent5 5 3 2 5 2 2" xfId="41182" xr:uid="{00000000-0005-0000-0000-0000163D0000}"/>
    <cellStyle name="20% - Accent5 5 3 2 5 3" xfId="29881" xr:uid="{00000000-0005-0000-0000-0000173D0000}"/>
    <cellStyle name="20% - Accent5 5 3 2 6" xfId="12930" xr:uid="{00000000-0005-0000-0000-0000183D0000}"/>
    <cellStyle name="20% - Accent5 5 3 2 6 2" xfId="35532" xr:uid="{00000000-0005-0000-0000-0000193D0000}"/>
    <cellStyle name="20% - Accent5 5 3 2 7" xfId="24231" xr:uid="{00000000-0005-0000-0000-00001A3D0000}"/>
    <cellStyle name="20% - Accent5 5 3 3" xfId="998" xr:uid="{00000000-0005-0000-0000-00001B3D0000}"/>
    <cellStyle name="20% - Accent5 5 3 3 2" xfId="3061" xr:uid="{00000000-0005-0000-0000-00001C3D0000}"/>
    <cellStyle name="20% - Accent5 5 3 3 2 2" xfId="6033" xr:uid="{00000000-0005-0000-0000-00001D3D0000}"/>
    <cellStyle name="20% - Accent5 5 3 3 2 2 2" xfId="11683" xr:uid="{00000000-0005-0000-0000-00001E3D0000}"/>
    <cellStyle name="20% - Accent5 5 3 3 2 2 2 2" xfId="22984" xr:uid="{00000000-0005-0000-0000-00001F3D0000}"/>
    <cellStyle name="20% - Accent5 5 3 3 2 2 2 2 2" xfId="45586" xr:uid="{00000000-0005-0000-0000-0000203D0000}"/>
    <cellStyle name="20% - Accent5 5 3 3 2 2 2 3" xfId="34285" xr:uid="{00000000-0005-0000-0000-0000213D0000}"/>
    <cellStyle name="20% - Accent5 5 3 3 2 2 3" xfId="17334" xr:uid="{00000000-0005-0000-0000-0000223D0000}"/>
    <cellStyle name="20% - Accent5 5 3 3 2 2 3 2" xfId="39936" xr:uid="{00000000-0005-0000-0000-0000233D0000}"/>
    <cellStyle name="20% - Accent5 5 3 3 2 2 4" xfId="28635" xr:uid="{00000000-0005-0000-0000-0000243D0000}"/>
    <cellStyle name="20% - Accent5 5 3 3 2 3" xfId="8851" xr:uid="{00000000-0005-0000-0000-0000253D0000}"/>
    <cellStyle name="20% - Accent5 5 3 3 2 3 2" xfId="20152" xr:uid="{00000000-0005-0000-0000-0000263D0000}"/>
    <cellStyle name="20% - Accent5 5 3 3 2 3 2 2" xfId="42754" xr:uid="{00000000-0005-0000-0000-0000273D0000}"/>
    <cellStyle name="20% - Accent5 5 3 3 2 3 3" xfId="31453" xr:uid="{00000000-0005-0000-0000-0000283D0000}"/>
    <cellStyle name="20% - Accent5 5 3 3 2 4" xfId="14502" xr:uid="{00000000-0005-0000-0000-0000293D0000}"/>
    <cellStyle name="20% - Accent5 5 3 3 2 4 2" xfId="37104" xr:uid="{00000000-0005-0000-0000-00002A3D0000}"/>
    <cellStyle name="20% - Accent5 5 3 3 2 5" xfId="25803" xr:uid="{00000000-0005-0000-0000-00002B3D0000}"/>
    <cellStyle name="20% - Accent5 5 3 3 3" xfId="4799" xr:uid="{00000000-0005-0000-0000-00002C3D0000}"/>
    <cellStyle name="20% - Accent5 5 3 3 3 2" xfId="10449" xr:uid="{00000000-0005-0000-0000-00002D3D0000}"/>
    <cellStyle name="20% - Accent5 5 3 3 3 2 2" xfId="21750" xr:uid="{00000000-0005-0000-0000-00002E3D0000}"/>
    <cellStyle name="20% - Accent5 5 3 3 3 2 2 2" xfId="44352" xr:uid="{00000000-0005-0000-0000-00002F3D0000}"/>
    <cellStyle name="20% - Accent5 5 3 3 3 2 3" xfId="33051" xr:uid="{00000000-0005-0000-0000-0000303D0000}"/>
    <cellStyle name="20% - Accent5 5 3 3 3 3" xfId="16100" xr:uid="{00000000-0005-0000-0000-0000313D0000}"/>
    <cellStyle name="20% - Accent5 5 3 3 3 3 2" xfId="38702" xr:uid="{00000000-0005-0000-0000-0000323D0000}"/>
    <cellStyle name="20% - Accent5 5 3 3 3 4" xfId="27401" xr:uid="{00000000-0005-0000-0000-0000333D0000}"/>
    <cellStyle name="20% - Accent5 5 3 3 4" xfId="6986" xr:uid="{00000000-0005-0000-0000-0000343D0000}"/>
    <cellStyle name="20% - Accent5 5 3 3 4 2" xfId="18287" xr:uid="{00000000-0005-0000-0000-0000353D0000}"/>
    <cellStyle name="20% - Accent5 5 3 3 4 2 2" xfId="40889" xr:uid="{00000000-0005-0000-0000-0000363D0000}"/>
    <cellStyle name="20% - Accent5 5 3 3 4 3" xfId="29588" xr:uid="{00000000-0005-0000-0000-0000373D0000}"/>
    <cellStyle name="20% - Accent5 5 3 3 5" xfId="12637" xr:uid="{00000000-0005-0000-0000-0000383D0000}"/>
    <cellStyle name="20% - Accent5 5 3 3 5 2" xfId="35239" xr:uid="{00000000-0005-0000-0000-0000393D0000}"/>
    <cellStyle name="20% - Accent5 5 3 3 6" xfId="23938" xr:uid="{00000000-0005-0000-0000-00003A3D0000}"/>
    <cellStyle name="20% - Accent5 5 3 4" xfId="1752" xr:uid="{00000000-0005-0000-0000-00003B3D0000}"/>
    <cellStyle name="20% - Accent5 5 3 4 2" xfId="3672" xr:uid="{00000000-0005-0000-0000-00003C3D0000}"/>
    <cellStyle name="20% - Accent5 5 3 4 2 2" xfId="9383" xr:uid="{00000000-0005-0000-0000-00003D3D0000}"/>
    <cellStyle name="20% - Accent5 5 3 4 2 2 2" xfId="20684" xr:uid="{00000000-0005-0000-0000-00003E3D0000}"/>
    <cellStyle name="20% - Accent5 5 3 4 2 2 2 2" xfId="43286" xr:uid="{00000000-0005-0000-0000-00003F3D0000}"/>
    <cellStyle name="20% - Accent5 5 3 4 2 2 3" xfId="31985" xr:uid="{00000000-0005-0000-0000-0000403D0000}"/>
    <cellStyle name="20% - Accent5 5 3 4 2 3" xfId="15034" xr:uid="{00000000-0005-0000-0000-0000413D0000}"/>
    <cellStyle name="20% - Accent5 5 3 4 2 3 2" xfId="37636" xr:uid="{00000000-0005-0000-0000-0000423D0000}"/>
    <cellStyle name="20% - Accent5 5 3 4 2 4" xfId="26335" xr:uid="{00000000-0005-0000-0000-0000433D0000}"/>
    <cellStyle name="20% - Accent5 5 3 4 3" xfId="5409" xr:uid="{00000000-0005-0000-0000-0000443D0000}"/>
    <cellStyle name="20% - Accent5 5 3 4 3 2" xfId="11059" xr:uid="{00000000-0005-0000-0000-0000453D0000}"/>
    <cellStyle name="20% - Accent5 5 3 4 3 2 2" xfId="22360" xr:uid="{00000000-0005-0000-0000-0000463D0000}"/>
    <cellStyle name="20% - Accent5 5 3 4 3 2 2 2" xfId="44962" xr:uid="{00000000-0005-0000-0000-0000473D0000}"/>
    <cellStyle name="20% - Accent5 5 3 4 3 2 3" xfId="33661" xr:uid="{00000000-0005-0000-0000-0000483D0000}"/>
    <cellStyle name="20% - Accent5 5 3 4 3 3" xfId="16710" xr:uid="{00000000-0005-0000-0000-0000493D0000}"/>
    <cellStyle name="20% - Accent5 5 3 4 3 3 2" xfId="39312" xr:uid="{00000000-0005-0000-0000-00004A3D0000}"/>
    <cellStyle name="20% - Accent5 5 3 4 3 4" xfId="28011" xr:uid="{00000000-0005-0000-0000-00004B3D0000}"/>
    <cellStyle name="20% - Accent5 5 3 4 4" xfId="7608" xr:uid="{00000000-0005-0000-0000-00004C3D0000}"/>
    <cellStyle name="20% - Accent5 5 3 4 4 2" xfId="18909" xr:uid="{00000000-0005-0000-0000-00004D3D0000}"/>
    <cellStyle name="20% - Accent5 5 3 4 4 2 2" xfId="41511" xr:uid="{00000000-0005-0000-0000-00004E3D0000}"/>
    <cellStyle name="20% - Accent5 5 3 4 4 3" xfId="30210" xr:uid="{00000000-0005-0000-0000-00004F3D0000}"/>
    <cellStyle name="20% - Accent5 5 3 4 5" xfId="13259" xr:uid="{00000000-0005-0000-0000-0000503D0000}"/>
    <cellStyle name="20% - Accent5 5 3 4 5 2" xfId="35861" xr:uid="{00000000-0005-0000-0000-0000513D0000}"/>
    <cellStyle name="20% - Accent5 5 3 4 6" xfId="24560" xr:uid="{00000000-0005-0000-0000-0000523D0000}"/>
    <cellStyle name="20% - Accent5 5 3 5" xfId="2390" xr:uid="{00000000-0005-0000-0000-0000533D0000}"/>
    <cellStyle name="20% - Accent5 5 3 5 2" xfId="8226" xr:uid="{00000000-0005-0000-0000-0000543D0000}"/>
    <cellStyle name="20% - Accent5 5 3 5 2 2" xfId="19527" xr:uid="{00000000-0005-0000-0000-0000553D0000}"/>
    <cellStyle name="20% - Accent5 5 3 5 2 2 2" xfId="42129" xr:uid="{00000000-0005-0000-0000-0000563D0000}"/>
    <cellStyle name="20% - Accent5 5 3 5 2 3" xfId="30828" xr:uid="{00000000-0005-0000-0000-0000573D0000}"/>
    <cellStyle name="20% - Accent5 5 3 5 3" xfId="13877" xr:uid="{00000000-0005-0000-0000-0000583D0000}"/>
    <cellStyle name="20% - Accent5 5 3 5 3 2" xfId="36479" xr:uid="{00000000-0005-0000-0000-0000593D0000}"/>
    <cellStyle name="20% - Accent5 5 3 5 4" xfId="25178" xr:uid="{00000000-0005-0000-0000-00005A3D0000}"/>
    <cellStyle name="20% - Accent5 5 3 6" xfId="4175" xr:uid="{00000000-0005-0000-0000-00005B3D0000}"/>
    <cellStyle name="20% - Accent5 5 3 6 2" xfId="9825" xr:uid="{00000000-0005-0000-0000-00005C3D0000}"/>
    <cellStyle name="20% - Accent5 5 3 6 2 2" xfId="21126" xr:uid="{00000000-0005-0000-0000-00005D3D0000}"/>
    <cellStyle name="20% - Accent5 5 3 6 2 2 2" xfId="43728" xr:uid="{00000000-0005-0000-0000-00005E3D0000}"/>
    <cellStyle name="20% - Accent5 5 3 6 2 3" xfId="32427" xr:uid="{00000000-0005-0000-0000-00005F3D0000}"/>
    <cellStyle name="20% - Accent5 5 3 6 3" xfId="15476" xr:uid="{00000000-0005-0000-0000-0000603D0000}"/>
    <cellStyle name="20% - Accent5 5 3 6 3 2" xfId="38078" xr:uid="{00000000-0005-0000-0000-0000613D0000}"/>
    <cellStyle name="20% - Accent5 5 3 6 4" xfId="26777" xr:uid="{00000000-0005-0000-0000-0000623D0000}"/>
    <cellStyle name="20% - Accent5 5 3 7" xfId="6653" xr:uid="{00000000-0005-0000-0000-0000633D0000}"/>
    <cellStyle name="20% - Accent5 5 3 7 2" xfId="17954" xr:uid="{00000000-0005-0000-0000-0000643D0000}"/>
    <cellStyle name="20% - Accent5 5 3 7 2 2" xfId="40556" xr:uid="{00000000-0005-0000-0000-0000653D0000}"/>
    <cellStyle name="20% - Accent5 5 3 7 3" xfId="29255" xr:uid="{00000000-0005-0000-0000-0000663D0000}"/>
    <cellStyle name="20% - Accent5 5 3 8" xfId="12304" xr:uid="{00000000-0005-0000-0000-0000673D0000}"/>
    <cellStyle name="20% - Accent5 5 3 8 2" xfId="34906" xr:uid="{00000000-0005-0000-0000-0000683D0000}"/>
    <cellStyle name="20% - Accent5 5 3 9" xfId="23605" xr:uid="{00000000-0005-0000-0000-0000693D0000}"/>
    <cellStyle name="20% - Accent5 5 4" xfId="1160" xr:uid="{00000000-0005-0000-0000-00006A3D0000}"/>
    <cellStyle name="20% - Accent5 5 4 2" xfId="1754" xr:uid="{00000000-0005-0000-0000-00006B3D0000}"/>
    <cellStyle name="20% - Accent5 5 4 2 2" xfId="3228" xr:uid="{00000000-0005-0000-0000-00006C3D0000}"/>
    <cellStyle name="20% - Accent5 5 4 2 2 2" xfId="6200" xr:uid="{00000000-0005-0000-0000-00006D3D0000}"/>
    <cellStyle name="20% - Accent5 5 4 2 2 2 2" xfId="11850" xr:uid="{00000000-0005-0000-0000-00006E3D0000}"/>
    <cellStyle name="20% - Accent5 5 4 2 2 2 2 2" xfId="23151" xr:uid="{00000000-0005-0000-0000-00006F3D0000}"/>
    <cellStyle name="20% - Accent5 5 4 2 2 2 2 2 2" xfId="45753" xr:uid="{00000000-0005-0000-0000-0000703D0000}"/>
    <cellStyle name="20% - Accent5 5 4 2 2 2 2 3" xfId="34452" xr:uid="{00000000-0005-0000-0000-0000713D0000}"/>
    <cellStyle name="20% - Accent5 5 4 2 2 2 3" xfId="17501" xr:uid="{00000000-0005-0000-0000-0000723D0000}"/>
    <cellStyle name="20% - Accent5 5 4 2 2 2 3 2" xfId="40103" xr:uid="{00000000-0005-0000-0000-0000733D0000}"/>
    <cellStyle name="20% - Accent5 5 4 2 2 2 4" xfId="28802" xr:uid="{00000000-0005-0000-0000-0000743D0000}"/>
    <cellStyle name="20% - Accent5 5 4 2 2 3" xfId="9018" xr:uid="{00000000-0005-0000-0000-0000753D0000}"/>
    <cellStyle name="20% - Accent5 5 4 2 2 3 2" xfId="20319" xr:uid="{00000000-0005-0000-0000-0000763D0000}"/>
    <cellStyle name="20% - Accent5 5 4 2 2 3 2 2" xfId="42921" xr:uid="{00000000-0005-0000-0000-0000773D0000}"/>
    <cellStyle name="20% - Accent5 5 4 2 2 3 3" xfId="31620" xr:uid="{00000000-0005-0000-0000-0000783D0000}"/>
    <cellStyle name="20% - Accent5 5 4 2 2 4" xfId="14669" xr:uid="{00000000-0005-0000-0000-0000793D0000}"/>
    <cellStyle name="20% - Accent5 5 4 2 2 4 2" xfId="37271" xr:uid="{00000000-0005-0000-0000-00007A3D0000}"/>
    <cellStyle name="20% - Accent5 5 4 2 2 5" xfId="25970" xr:uid="{00000000-0005-0000-0000-00007B3D0000}"/>
    <cellStyle name="20% - Accent5 5 4 2 3" xfId="4966" xr:uid="{00000000-0005-0000-0000-00007C3D0000}"/>
    <cellStyle name="20% - Accent5 5 4 2 3 2" xfId="10616" xr:uid="{00000000-0005-0000-0000-00007D3D0000}"/>
    <cellStyle name="20% - Accent5 5 4 2 3 2 2" xfId="21917" xr:uid="{00000000-0005-0000-0000-00007E3D0000}"/>
    <cellStyle name="20% - Accent5 5 4 2 3 2 2 2" xfId="44519" xr:uid="{00000000-0005-0000-0000-00007F3D0000}"/>
    <cellStyle name="20% - Accent5 5 4 2 3 2 3" xfId="33218" xr:uid="{00000000-0005-0000-0000-0000803D0000}"/>
    <cellStyle name="20% - Accent5 5 4 2 3 3" xfId="16267" xr:uid="{00000000-0005-0000-0000-0000813D0000}"/>
    <cellStyle name="20% - Accent5 5 4 2 3 3 2" xfId="38869" xr:uid="{00000000-0005-0000-0000-0000823D0000}"/>
    <cellStyle name="20% - Accent5 5 4 2 3 4" xfId="27568" xr:uid="{00000000-0005-0000-0000-0000833D0000}"/>
    <cellStyle name="20% - Accent5 5 4 2 4" xfId="7610" xr:uid="{00000000-0005-0000-0000-0000843D0000}"/>
    <cellStyle name="20% - Accent5 5 4 2 4 2" xfId="18911" xr:uid="{00000000-0005-0000-0000-0000853D0000}"/>
    <cellStyle name="20% - Accent5 5 4 2 4 2 2" xfId="41513" xr:uid="{00000000-0005-0000-0000-0000863D0000}"/>
    <cellStyle name="20% - Accent5 5 4 2 4 3" xfId="30212" xr:uid="{00000000-0005-0000-0000-0000873D0000}"/>
    <cellStyle name="20% - Accent5 5 4 2 5" xfId="13261" xr:uid="{00000000-0005-0000-0000-0000883D0000}"/>
    <cellStyle name="20% - Accent5 5 4 2 5 2" xfId="35863" xr:uid="{00000000-0005-0000-0000-0000893D0000}"/>
    <cellStyle name="20% - Accent5 5 4 2 6" xfId="24562" xr:uid="{00000000-0005-0000-0000-00008A3D0000}"/>
    <cellStyle name="20% - Accent5 5 4 3" xfId="2557" xr:uid="{00000000-0005-0000-0000-00008B3D0000}"/>
    <cellStyle name="20% - Accent5 5 4 3 2" xfId="5576" xr:uid="{00000000-0005-0000-0000-00008C3D0000}"/>
    <cellStyle name="20% - Accent5 5 4 3 2 2" xfId="11226" xr:uid="{00000000-0005-0000-0000-00008D3D0000}"/>
    <cellStyle name="20% - Accent5 5 4 3 2 2 2" xfId="22527" xr:uid="{00000000-0005-0000-0000-00008E3D0000}"/>
    <cellStyle name="20% - Accent5 5 4 3 2 2 2 2" xfId="45129" xr:uid="{00000000-0005-0000-0000-00008F3D0000}"/>
    <cellStyle name="20% - Accent5 5 4 3 2 2 3" xfId="33828" xr:uid="{00000000-0005-0000-0000-0000903D0000}"/>
    <cellStyle name="20% - Accent5 5 4 3 2 3" xfId="16877" xr:uid="{00000000-0005-0000-0000-0000913D0000}"/>
    <cellStyle name="20% - Accent5 5 4 3 2 3 2" xfId="39479" xr:uid="{00000000-0005-0000-0000-0000923D0000}"/>
    <cellStyle name="20% - Accent5 5 4 3 2 4" xfId="28178" xr:uid="{00000000-0005-0000-0000-0000933D0000}"/>
    <cellStyle name="20% - Accent5 5 4 3 3" xfId="8393" xr:uid="{00000000-0005-0000-0000-0000943D0000}"/>
    <cellStyle name="20% - Accent5 5 4 3 3 2" xfId="19694" xr:uid="{00000000-0005-0000-0000-0000953D0000}"/>
    <cellStyle name="20% - Accent5 5 4 3 3 2 2" xfId="42296" xr:uid="{00000000-0005-0000-0000-0000963D0000}"/>
    <cellStyle name="20% - Accent5 5 4 3 3 3" xfId="30995" xr:uid="{00000000-0005-0000-0000-0000973D0000}"/>
    <cellStyle name="20% - Accent5 5 4 3 4" xfId="14044" xr:uid="{00000000-0005-0000-0000-0000983D0000}"/>
    <cellStyle name="20% - Accent5 5 4 3 4 2" xfId="36646" xr:uid="{00000000-0005-0000-0000-0000993D0000}"/>
    <cellStyle name="20% - Accent5 5 4 3 5" xfId="25345" xr:uid="{00000000-0005-0000-0000-00009A3D0000}"/>
    <cellStyle name="20% - Accent5 5 4 4" xfId="4342" xr:uid="{00000000-0005-0000-0000-00009B3D0000}"/>
    <cellStyle name="20% - Accent5 5 4 4 2" xfId="9992" xr:uid="{00000000-0005-0000-0000-00009C3D0000}"/>
    <cellStyle name="20% - Accent5 5 4 4 2 2" xfId="21293" xr:uid="{00000000-0005-0000-0000-00009D3D0000}"/>
    <cellStyle name="20% - Accent5 5 4 4 2 2 2" xfId="43895" xr:uid="{00000000-0005-0000-0000-00009E3D0000}"/>
    <cellStyle name="20% - Accent5 5 4 4 2 3" xfId="32594" xr:uid="{00000000-0005-0000-0000-00009F3D0000}"/>
    <cellStyle name="20% - Accent5 5 4 4 3" xfId="15643" xr:uid="{00000000-0005-0000-0000-0000A03D0000}"/>
    <cellStyle name="20% - Accent5 5 4 4 3 2" xfId="38245" xr:uid="{00000000-0005-0000-0000-0000A13D0000}"/>
    <cellStyle name="20% - Accent5 5 4 4 4" xfId="26944" xr:uid="{00000000-0005-0000-0000-0000A23D0000}"/>
    <cellStyle name="20% - Accent5 5 4 5" xfId="7139" xr:uid="{00000000-0005-0000-0000-0000A33D0000}"/>
    <cellStyle name="20% - Accent5 5 4 5 2" xfId="18440" xr:uid="{00000000-0005-0000-0000-0000A43D0000}"/>
    <cellStyle name="20% - Accent5 5 4 5 2 2" xfId="41042" xr:uid="{00000000-0005-0000-0000-0000A53D0000}"/>
    <cellStyle name="20% - Accent5 5 4 5 3" xfId="29741" xr:uid="{00000000-0005-0000-0000-0000A63D0000}"/>
    <cellStyle name="20% - Accent5 5 4 6" xfId="12790" xr:uid="{00000000-0005-0000-0000-0000A73D0000}"/>
    <cellStyle name="20% - Accent5 5 4 6 2" xfId="35392" xr:uid="{00000000-0005-0000-0000-0000A83D0000}"/>
    <cellStyle name="20% - Accent5 5 4 7" xfId="24091" xr:uid="{00000000-0005-0000-0000-0000A93D0000}"/>
    <cellStyle name="20% - Accent5 5 5" xfId="840" xr:uid="{00000000-0005-0000-0000-0000AA3D0000}"/>
    <cellStyle name="20% - Accent5 5 5 2" xfId="2921" xr:uid="{00000000-0005-0000-0000-0000AB3D0000}"/>
    <cellStyle name="20% - Accent5 5 5 2 2" xfId="5893" xr:uid="{00000000-0005-0000-0000-0000AC3D0000}"/>
    <cellStyle name="20% - Accent5 5 5 2 2 2" xfId="11543" xr:uid="{00000000-0005-0000-0000-0000AD3D0000}"/>
    <cellStyle name="20% - Accent5 5 5 2 2 2 2" xfId="22844" xr:uid="{00000000-0005-0000-0000-0000AE3D0000}"/>
    <cellStyle name="20% - Accent5 5 5 2 2 2 2 2" xfId="45446" xr:uid="{00000000-0005-0000-0000-0000AF3D0000}"/>
    <cellStyle name="20% - Accent5 5 5 2 2 2 3" xfId="34145" xr:uid="{00000000-0005-0000-0000-0000B03D0000}"/>
    <cellStyle name="20% - Accent5 5 5 2 2 3" xfId="17194" xr:uid="{00000000-0005-0000-0000-0000B13D0000}"/>
    <cellStyle name="20% - Accent5 5 5 2 2 3 2" xfId="39796" xr:uid="{00000000-0005-0000-0000-0000B23D0000}"/>
    <cellStyle name="20% - Accent5 5 5 2 2 4" xfId="28495" xr:uid="{00000000-0005-0000-0000-0000B33D0000}"/>
    <cellStyle name="20% - Accent5 5 5 2 3" xfId="8711" xr:uid="{00000000-0005-0000-0000-0000B43D0000}"/>
    <cellStyle name="20% - Accent5 5 5 2 3 2" xfId="20012" xr:uid="{00000000-0005-0000-0000-0000B53D0000}"/>
    <cellStyle name="20% - Accent5 5 5 2 3 2 2" xfId="42614" xr:uid="{00000000-0005-0000-0000-0000B63D0000}"/>
    <cellStyle name="20% - Accent5 5 5 2 3 3" xfId="31313" xr:uid="{00000000-0005-0000-0000-0000B73D0000}"/>
    <cellStyle name="20% - Accent5 5 5 2 4" xfId="14362" xr:uid="{00000000-0005-0000-0000-0000B83D0000}"/>
    <cellStyle name="20% - Accent5 5 5 2 4 2" xfId="36964" xr:uid="{00000000-0005-0000-0000-0000B93D0000}"/>
    <cellStyle name="20% - Accent5 5 5 2 5" xfId="25663" xr:uid="{00000000-0005-0000-0000-0000BA3D0000}"/>
    <cellStyle name="20% - Accent5 5 5 3" xfId="4659" xr:uid="{00000000-0005-0000-0000-0000BB3D0000}"/>
    <cellStyle name="20% - Accent5 5 5 3 2" xfId="10309" xr:uid="{00000000-0005-0000-0000-0000BC3D0000}"/>
    <cellStyle name="20% - Accent5 5 5 3 2 2" xfId="21610" xr:uid="{00000000-0005-0000-0000-0000BD3D0000}"/>
    <cellStyle name="20% - Accent5 5 5 3 2 2 2" xfId="44212" xr:uid="{00000000-0005-0000-0000-0000BE3D0000}"/>
    <cellStyle name="20% - Accent5 5 5 3 2 3" xfId="32911" xr:uid="{00000000-0005-0000-0000-0000BF3D0000}"/>
    <cellStyle name="20% - Accent5 5 5 3 3" xfId="15960" xr:uid="{00000000-0005-0000-0000-0000C03D0000}"/>
    <cellStyle name="20% - Accent5 5 5 3 3 2" xfId="38562" xr:uid="{00000000-0005-0000-0000-0000C13D0000}"/>
    <cellStyle name="20% - Accent5 5 5 3 4" xfId="27261" xr:uid="{00000000-0005-0000-0000-0000C23D0000}"/>
    <cellStyle name="20% - Accent5 5 5 4" xfId="6845" xr:uid="{00000000-0005-0000-0000-0000C33D0000}"/>
    <cellStyle name="20% - Accent5 5 5 4 2" xfId="18146" xr:uid="{00000000-0005-0000-0000-0000C43D0000}"/>
    <cellStyle name="20% - Accent5 5 5 4 2 2" xfId="40748" xr:uid="{00000000-0005-0000-0000-0000C53D0000}"/>
    <cellStyle name="20% - Accent5 5 5 4 3" xfId="29447" xr:uid="{00000000-0005-0000-0000-0000C63D0000}"/>
    <cellStyle name="20% - Accent5 5 5 5" xfId="12496" xr:uid="{00000000-0005-0000-0000-0000C73D0000}"/>
    <cellStyle name="20% - Accent5 5 5 5 2" xfId="35098" xr:uid="{00000000-0005-0000-0000-0000C83D0000}"/>
    <cellStyle name="20% - Accent5 5 5 6" xfId="23797" xr:uid="{00000000-0005-0000-0000-0000C93D0000}"/>
    <cellStyle name="20% - Accent5 5 6" xfId="1747" xr:uid="{00000000-0005-0000-0000-0000CA3D0000}"/>
    <cellStyle name="20% - Accent5 5 6 2" xfId="3669" xr:uid="{00000000-0005-0000-0000-0000CB3D0000}"/>
    <cellStyle name="20% - Accent5 5 6 2 2" xfId="9380" xr:uid="{00000000-0005-0000-0000-0000CC3D0000}"/>
    <cellStyle name="20% - Accent5 5 6 2 2 2" xfId="20681" xr:uid="{00000000-0005-0000-0000-0000CD3D0000}"/>
    <cellStyle name="20% - Accent5 5 6 2 2 2 2" xfId="43283" xr:uid="{00000000-0005-0000-0000-0000CE3D0000}"/>
    <cellStyle name="20% - Accent5 5 6 2 2 3" xfId="31982" xr:uid="{00000000-0005-0000-0000-0000CF3D0000}"/>
    <cellStyle name="20% - Accent5 5 6 2 3" xfId="15031" xr:uid="{00000000-0005-0000-0000-0000D03D0000}"/>
    <cellStyle name="20% - Accent5 5 6 2 3 2" xfId="37633" xr:uid="{00000000-0005-0000-0000-0000D13D0000}"/>
    <cellStyle name="20% - Accent5 5 6 2 4" xfId="26332" xr:uid="{00000000-0005-0000-0000-0000D23D0000}"/>
    <cellStyle name="20% - Accent5 5 6 3" xfId="5269" xr:uid="{00000000-0005-0000-0000-0000D33D0000}"/>
    <cellStyle name="20% - Accent5 5 6 3 2" xfId="10919" xr:uid="{00000000-0005-0000-0000-0000D43D0000}"/>
    <cellStyle name="20% - Accent5 5 6 3 2 2" xfId="22220" xr:uid="{00000000-0005-0000-0000-0000D53D0000}"/>
    <cellStyle name="20% - Accent5 5 6 3 2 2 2" xfId="44822" xr:uid="{00000000-0005-0000-0000-0000D63D0000}"/>
    <cellStyle name="20% - Accent5 5 6 3 2 3" xfId="33521" xr:uid="{00000000-0005-0000-0000-0000D73D0000}"/>
    <cellStyle name="20% - Accent5 5 6 3 3" xfId="16570" xr:uid="{00000000-0005-0000-0000-0000D83D0000}"/>
    <cellStyle name="20% - Accent5 5 6 3 3 2" xfId="39172" xr:uid="{00000000-0005-0000-0000-0000D93D0000}"/>
    <cellStyle name="20% - Accent5 5 6 3 4" xfId="27871" xr:uid="{00000000-0005-0000-0000-0000DA3D0000}"/>
    <cellStyle name="20% - Accent5 5 6 4" xfId="7603" xr:uid="{00000000-0005-0000-0000-0000DB3D0000}"/>
    <cellStyle name="20% - Accent5 5 6 4 2" xfId="18904" xr:uid="{00000000-0005-0000-0000-0000DC3D0000}"/>
    <cellStyle name="20% - Accent5 5 6 4 2 2" xfId="41506" xr:uid="{00000000-0005-0000-0000-0000DD3D0000}"/>
    <cellStyle name="20% - Accent5 5 6 4 3" xfId="30205" xr:uid="{00000000-0005-0000-0000-0000DE3D0000}"/>
    <cellStyle name="20% - Accent5 5 6 5" xfId="13254" xr:uid="{00000000-0005-0000-0000-0000DF3D0000}"/>
    <cellStyle name="20% - Accent5 5 6 5 2" xfId="35856" xr:uid="{00000000-0005-0000-0000-0000E03D0000}"/>
    <cellStyle name="20% - Accent5 5 6 6" xfId="24555" xr:uid="{00000000-0005-0000-0000-0000E13D0000}"/>
    <cellStyle name="20% - Accent5 5 7" xfId="2242" xr:uid="{00000000-0005-0000-0000-0000E23D0000}"/>
    <cellStyle name="20% - Accent5 5 7 2" xfId="8083" xr:uid="{00000000-0005-0000-0000-0000E33D0000}"/>
    <cellStyle name="20% - Accent5 5 7 2 2" xfId="19384" xr:uid="{00000000-0005-0000-0000-0000E43D0000}"/>
    <cellStyle name="20% - Accent5 5 7 2 2 2" xfId="41986" xr:uid="{00000000-0005-0000-0000-0000E53D0000}"/>
    <cellStyle name="20% - Accent5 5 7 2 3" xfId="30685" xr:uid="{00000000-0005-0000-0000-0000E63D0000}"/>
    <cellStyle name="20% - Accent5 5 7 3" xfId="13734" xr:uid="{00000000-0005-0000-0000-0000E73D0000}"/>
    <cellStyle name="20% - Accent5 5 7 3 2" xfId="36336" xr:uid="{00000000-0005-0000-0000-0000E83D0000}"/>
    <cellStyle name="20% - Accent5 5 7 4" xfId="25035" xr:uid="{00000000-0005-0000-0000-0000E93D0000}"/>
    <cellStyle name="20% - Accent5 5 8" xfId="4035" xr:uid="{00000000-0005-0000-0000-0000EA3D0000}"/>
    <cellStyle name="20% - Accent5 5 8 2" xfId="9685" xr:uid="{00000000-0005-0000-0000-0000EB3D0000}"/>
    <cellStyle name="20% - Accent5 5 8 2 2" xfId="20986" xr:uid="{00000000-0005-0000-0000-0000EC3D0000}"/>
    <cellStyle name="20% - Accent5 5 8 2 2 2" xfId="43588" xr:uid="{00000000-0005-0000-0000-0000ED3D0000}"/>
    <cellStyle name="20% - Accent5 5 8 2 3" xfId="32287" xr:uid="{00000000-0005-0000-0000-0000EE3D0000}"/>
    <cellStyle name="20% - Accent5 5 8 3" xfId="15336" xr:uid="{00000000-0005-0000-0000-0000EF3D0000}"/>
    <cellStyle name="20% - Accent5 5 8 3 2" xfId="37938" xr:uid="{00000000-0005-0000-0000-0000F03D0000}"/>
    <cellStyle name="20% - Accent5 5 8 4" xfId="26637" xr:uid="{00000000-0005-0000-0000-0000F13D0000}"/>
    <cellStyle name="20% - Accent5 5 9" xfId="6486" xr:uid="{00000000-0005-0000-0000-0000F23D0000}"/>
    <cellStyle name="20% - Accent5 5 9 2" xfId="17787" xr:uid="{00000000-0005-0000-0000-0000F33D0000}"/>
    <cellStyle name="20% - Accent5 5 9 2 2" xfId="40389" xr:uid="{00000000-0005-0000-0000-0000F43D0000}"/>
    <cellStyle name="20% - Accent5 5 9 3" xfId="29088" xr:uid="{00000000-0005-0000-0000-0000F53D0000}"/>
    <cellStyle name="20% - Accent5 6" xfId="289" xr:uid="{00000000-0005-0000-0000-0000F63D0000}"/>
    <cellStyle name="20% - Accent5 7" xfId="396" xr:uid="{00000000-0005-0000-0000-0000F73D0000}"/>
    <cellStyle name="20% - Accent5 7 10" xfId="23491" xr:uid="{00000000-0005-0000-0000-0000F83D0000}"/>
    <cellStyle name="20% - Accent5 7 2" xfId="641" xr:uid="{00000000-0005-0000-0000-0000F93D0000}"/>
    <cellStyle name="20% - Accent5 7 2 2" xfId="1351" xr:uid="{00000000-0005-0000-0000-0000FA3D0000}"/>
    <cellStyle name="20% - Accent5 7 2 2 2" xfId="1757" xr:uid="{00000000-0005-0000-0000-0000FB3D0000}"/>
    <cellStyle name="20% - Accent5 7 2 2 2 2" xfId="3420" xr:uid="{00000000-0005-0000-0000-0000FC3D0000}"/>
    <cellStyle name="20% - Accent5 7 2 2 2 2 2" xfId="6392" xr:uid="{00000000-0005-0000-0000-0000FD3D0000}"/>
    <cellStyle name="20% - Accent5 7 2 2 2 2 2 2" xfId="12042" xr:uid="{00000000-0005-0000-0000-0000FE3D0000}"/>
    <cellStyle name="20% - Accent5 7 2 2 2 2 2 2 2" xfId="23343" xr:uid="{00000000-0005-0000-0000-0000FF3D0000}"/>
    <cellStyle name="20% - Accent5 7 2 2 2 2 2 2 2 2" xfId="45945" xr:uid="{00000000-0005-0000-0000-0000003E0000}"/>
    <cellStyle name="20% - Accent5 7 2 2 2 2 2 2 3" xfId="34644" xr:uid="{00000000-0005-0000-0000-0000013E0000}"/>
    <cellStyle name="20% - Accent5 7 2 2 2 2 2 3" xfId="17693" xr:uid="{00000000-0005-0000-0000-0000023E0000}"/>
    <cellStyle name="20% - Accent5 7 2 2 2 2 2 3 2" xfId="40295" xr:uid="{00000000-0005-0000-0000-0000033E0000}"/>
    <cellStyle name="20% - Accent5 7 2 2 2 2 2 4" xfId="28994" xr:uid="{00000000-0005-0000-0000-0000043E0000}"/>
    <cellStyle name="20% - Accent5 7 2 2 2 2 3" xfId="9210" xr:uid="{00000000-0005-0000-0000-0000053E0000}"/>
    <cellStyle name="20% - Accent5 7 2 2 2 2 3 2" xfId="20511" xr:uid="{00000000-0005-0000-0000-0000063E0000}"/>
    <cellStyle name="20% - Accent5 7 2 2 2 2 3 2 2" xfId="43113" xr:uid="{00000000-0005-0000-0000-0000073E0000}"/>
    <cellStyle name="20% - Accent5 7 2 2 2 2 3 3" xfId="31812" xr:uid="{00000000-0005-0000-0000-0000083E0000}"/>
    <cellStyle name="20% - Accent5 7 2 2 2 2 4" xfId="14861" xr:uid="{00000000-0005-0000-0000-0000093E0000}"/>
    <cellStyle name="20% - Accent5 7 2 2 2 2 4 2" xfId="37463" xr:uid="{00000000-0005-0000-0000-00000A3E0000}"/>
    <cellStyle name="20% - Accent5 7 2 2 2 2 5" xfId="26162" xr:uid="{00000000-0005-0000-0000-00000B3E0000}"/>
    <cellStyle name="20% - Accent5 7 2 2 2 3" xfId="5158" xr:uid="{00000000-0005-0000-0000-00000C3E0000}"/>
    <cellStyle name="20% - Accent5 7 2 2 2 3 2" xfId="10808" xr:uid="{00000000-0005-0000-0000-00000D3E0000}"/>
    <cellStyle name="20% - Accent5 7 2 2 2 3 2 2" xfId="22109" xr:uid="{00000000-0005-0000-0000-00000E3E0000}"/>
    <cellStyle name="20% - Accent5 7 2 2 2 3 2 2 2" xfId="44711" xr:uid="{00000000-0005-0000-0000-00000F3E0000}"/>
    <cellStyle name="20% - Accent5 7 2 2 2 3 2 3" xfId="33410" xr:uid="{00000000-0005-0000-0000-0000103E0000}"/>
    <cellStyle name="20% - Accent5 7 2 2 2 3 3" xfId="16459" xr:uid="{00000000-0005-0000-0000-0000113E0000}"/>
    <cellStyle name="20% - Accent5 7 2 2 2 3 3 2" xfId="39061" xr:uid="{00000000-0005-0000-0000-0000123E0000}"/>
    <cellStyle name="20% - Accent5 7 2 2 2 3 4" xfId="27760" xr:uid="{00000000-0005-0000-0000-0000133E0000}"/>
    <cellStyle name="20% - Accent5 7 2 2 2 4" xfId="7613" xr:uid="{00000000-0005-0000-0000-0000143E0000}"/>
    <cellStyle name="20% - Accent5 7 2 2 2 4 2" xfId="18914" xr:uid="{00000000-0005-0000-0000-0000153E0000}"/>
    <cellStyle name="20% - Accent5 7 2 2 2 4 2 2" xfId="41516" xr:uid="{00000000-0005-0000-0000-0000163E0000}"/>
    <cellStyle name="20% - Accent5 7 2 2 2 4 3" xfId="30215" xr:uid="{00000000-0005-0000-0000-0000173E0000}"/>
    <cellStyle name="20% - Accent5 7 2 2 2 5" xfId="13264" xr:uid="{00000000-0005-0000-0000-0000183E0000}"/>
    <cellStyle name="20% - Accent5 7 2 2 2 5 2" xfId="35866" xr:uid="{00000000-0005-0000-0000-0000193E0000}"/>
    <cellStyle name="20% - Accent5 7 2 2 2 6" xfId="24565" xr:uid="{00000000-0005-0000-0000-00001A3E0000}"/>
    <cellStyle name="20% - Accent5 7 2 2 3" xfId="2749" xr:uid="{00000000-0005-0000-0000-00001B3E0000}"/>
    <cellStyle name="20% - Accent5 7 2 2 3 2" xfId="5768" xr:uid="{00000000-0005-0000-0000-00001C3E0000}"/>
    <cellStyle name="20% - Accent5 7 2 2 3 2 2" xfId="11418" xr:uid="{00000000-0005-0000-0000-00001D3E0000}"/>
    <cellStyle name="20% - Accent5 7 2 2 3 2 2 2" xfId="22719" xr:uid="{00000000-0005-0000-0000-00001E3E0000}"/>
    <cellStyle name="20% - Accent5 7 2 2 3 2 2 2 2" xfId="45321" xr:uid="{00000000-0005-0000-0000-00001F3E0000}"/>
    <cellStyle name="20% - Accent5 7 2 2 3 2 2 3" xfId="34020" xr:uid="{00000000-0005-0000-0000-0000203E0000}"/>
    <cellStyle name="20% - Accent5 7 2 2 3 2 3" xfId="17069" xr:uid="{00000000-0005-0000-0000-0000213E0000}"/>
    <cellStyle name="20% - Accent5 7 2 2 3 2 3 2" xfId="39671" xr:uid="{00000000-0005-0000-0000-0000223E0000}"/>
    <cellStyle name="20% - Accent5 7 2 2 3 2 4" xfId="28370" xr:uid="{00000000-0005-0000-0000-0000233E0000}"/>
    <cellStyle name="20% - Accent5 7 2 2 3 3" xfId="8585" xr:uid="{00000000-0005-0000-0000-0000243E0000}"/>
    <cellStyle name="20% - Accent5 7 2 2 3 3 2" xfId="19886" xr:uid="{00000000-0005-0000-0000-0000253E0000}"/>
    <cellStyle name="20% - Accent5 7 2 2 3 3 2 2" xfId="42488" xr:uid="{00000000-0005-0000-0000-0000263E0000}"/>
    <cellStyle name="20% - Accent5 7 2 2 3 3 3" xfId="31187" xr:uid="{00000000-0005-0000-0000-0000273E0000}"/>
    <cellStyle name="20% - Accent5 7 2 2 3 4" xfId="14236" xr:uid="{00000000-0005-0000-0000-0000283E0000}"/>
    <cellStyle name="20% - Accent5 7 2 2 3 4 2" xfId="36838" xr:uid="{00000000-0005-0000-0000-0000293E0000}"/>
    <cellStyle name="20% - Accent5 7 2 2 3 5" xfId="25537" xr:uid="{00000000-0005-0000-0000-00002A3E0000}"/>
    <cellStyle name="20% - Accent5 7 2 2 4" xfId="4534" xr:uid="{00000000-0005-0000-0000-00002B3E0000}"/>
    <cellStyle name="20% - Accent5 7 2 2 4 2" xfId="10184" xr:uid="{00000000-0005-0000-0000-00002C3E0000}"/>
    <cellStyle name="20% - Accent5 7 2 2 4 2 2" xfId="21485" xr:uid="{00000000-0005-0000-0000-00002D3E0000}"/>
    <cellStyle name="20% - Accent5 7 2 2 4 2 2 2" xfId="44087" xr:uid="{00000000-0005-0000-0000-00002E3E0000}"/>
    <cellStyle name="20% - Accent5 7 2 2 4 2 3" xfId="32786" xr:uid="{00000000-0005-0000-0000-00002F3E0000}"/>
    <cellStyle name="20% - Accent5 7 2 2 4 3" xfId="15835" xr:uid="{00000000-0005-0000-0000-0000303E0000}"/>
    <cellStyle name="20% - Accent5 7 2 2 4 3 2" xfId="38437" xr:uid="{00000000-0005-0000-0000-0000313E0000}"/>
    <cellStyle name="20% - Accent5 7 2 2 4 4" xfId="27136" xr:uid="{00000000-0005-0000-0000-0000323E0000}"/>
    <cellStyle name="20% - Accent5 7 2 2 5" xfId="7330" xr:uid="{00000000-0005-0000-0000-0000333E0000}"/>
    <cellStyle name="20% - Accent5 7 2 2 5 2" xfId="18631" xr:uid="{00000000-0005-0000-0000-0000343E0000}"/>
    <cellStyle name="20% - Accent5 7 2 2 5 2 2" xfId="41233" xr:uid="{00000000-0005-0000-0000-0000353E0000}"/>
    <cellStyle name="20% - Accent5 7 2 2 5 3" xfId="29932" xr:uid="{00000000-0005-0000-0000-0000363E0000}"/>
    <cellStyle name="20% - Accent5 7 2 2 6" xfId="12981" xr:uid="{00000000-0005-0000-0000-0000373E0000}"/>
    <cellStyle name="20% - Accent5 7 2 2 6 2" xfId="35583" xr:uid="{00000000-0005-0000-0000-0000383E0000}"/>
    <cellStyle name="20% - Accent5 7 2 2 7" xfId="24282" xr:uid="{00000000-0005-0000-0000-0000393E0000}"/>
    <cellStyle name="20% - Accent5 7 2 3" xfId="1049" xr:uid="{00000000-0005-0000-0000-00003A3E0000}"/>
    <cellStyle name="20% - Accent5 7 2 3 2" xfId="3112" xr:uid="{00000000-0005-0000-0000-00003B3E0000}"/>
    <cellStyle name="20% - Accent5 7 2 3 2 2" xfId="6084" xr:uid="{00000000-0005-0000-0000-00003C3E0000}"/>
    <cellStyle name="20% - Accent5 7 2 3 2 2 2" xfId="11734" xr:uid="{00000000-0005-0000-0000-00003D3E0000}"/>
    <cellStyle name="20% - Accent5 7 2 3 2 2 2 2" xfId="23035" xr:uid="{00000000-0005-0000-0000-00003E3E0000}"/>
    <cellStyle name="20% - Accent5 7 2 3 2 2 2 2 2" xfId="45637" xr:uid="{00000000-0005-0000-0000-00003F3E0000}"/>
    <cellStyle name="20% - Accent5 7 2 3 2 2 2 3" xfId="34336" xr:uid="{00000000-0005-0000-0000-0000403E0000}"/>
    <cellStyle name="20% - Accent5 7 2 3 2 2 3" xfId="17385" xr:uid="{00000000-0005-0000-0000-0000413E0000}"/>
    <cellStyle name="20% - Accent5 7 2 3 2 2 3 2" xfId="39987" xr:uid="{00000000-0005-0000-0000-0000423E0000}"/>
    <cellStyle name="20% - Accent5 7 2 3 2 2 4" xfId="28686" xr:uid="{00000000-0005-0000-0000-0000433E0000}"/>
    <cellStyle name="20% - Accent5 7 2 3 2 3" xfId="8902" xr:uid="{00000000-0005-0000-0000-0000443E0000}"/>
    <cellStyle name="20% - Accent5 7 2 3 2 3 2" xfId="20203" xr:uid="{00000000-0005-0000-0000-0000453E0000}"/>
    <cellStyle name="20% - Accent5 7 2 3 2 3 2 2" xfId="42805" xr:uid="{00000000-0005-0000-0000-0000463E0000}"/>
    <cellStyle name="20% - Accent5 7 2 3 2 3 3" xfId="31504" xr:uid="{00000000-0005-0000-0000-0000473E0000}"/>
    <cellStyle name="20% - Accent5 7 2 3 2 4" xfId="14553" xr:uid="{00000000-0005-0000-0000-0000483E0000}"/>
    <cellStyle name="20% - Accent5 7 2 3 2 4 2" xfId="37155" xr:uid="{00000000-0005-0000-0000-0000493E0000}"/>
    <cellStyle name="20% - Accent5 7 2 3 2 5" xfId="25854" xr:uid="{00000000-0005-0000-0000-00004A3E0000}"/>
    <cellStyle name="20% - Accent5 7 2 3 3" xfId="4850" xr:uid="{00000000-0005-0000-0000-00004B3E0000}"/>
    <cellStyle name="20% - Accent5 7 2 3 3 2" xfId="10500" xr:uid="{00000000-0005-0000-0000-00004C3E0000}"/>
    <cellStyle name="20% - Accent5 7 2 3 3 2 2" xfId="21801" xr:uid="{00000000-0005-0000-0000-00004D3E0000}"/>
    <cellStyle name="20% - Accent5 7 2 3 3 2 2 2" xfId="44403" xr:uid="{00000000-0005-0000-0000-00004E3E0000}"/>
    <cellStyle name="20% - Accent5 7 2 3 3 2 3" xfId="33102" xr:uid="{00000000-0005-0000-0000-00004F3E0000}"/>
    <cellStyle name="20% - Accent5 7 2 3 3 3" xfId="16151" xr:uid="{00000000-0005-0000-0000-0000503E0000}"/>
    <cellStyle name="20% - Accent5 7 2 3 3 3 2" xfId="38753" xr:uid="{00000000-0005-0000-0000-0000513E0000}"/>
    <cellStyle name="20% - Accent5 7 2 3 3 4" xfId="27452" xr:uid="{00000000-0005-0000-0000-0000523E0000}"/>
    <cellStyle name="20% - Accent5 7 2 3 4" xfId="7037" xr:uid="{00000000-0005-0000-0000-0000533E0000}"/>
    <cellStyle name="20% - Accent5 7 2 3 4 2" xfId="18338" xr:uid="{00000000-0005-0000-0000-0000543E0000}"/>
    <cellStyle name="20% - Accent5 7 2 3 4 2 2" xfId="40940" xr:uid="{00000000-0005-0000-0000-0000553E0000}"/>
    <cellStyle name="20% - Accent5 7 2 3 4 3" xfId="29639" xr:uid="{00000000-0005-0000-0000-0000563E0000}"/>
    <cellStyle name="20% - Accent5 7 2 3 5" xfId="12688" xr:uid="{00000000-0005-0000-0000-0000573E0000}"/>
    <cellStyle name="20% - Accent5 7 2 3 5 2" xfId="35290" xr:uid="{00000000-0005-0000-0000-0000583E0000}"/>
    <cellStyle name="20% - Accent5 7 2 3 6" xfId="23989" xr:uid="{00000000-0005-0000-0000-0000593E0000}"/>
    <cellStyle name="20% - Accent5 7 2 4" xfId="1756" xr:uid="{00000000-0005-0000-0000-00005A3E0000}"/>
    <cellStyle name="20% - Accent5 7 2 4 2" xfId="3674" xr:uid="{00000000-0005-0000-0000-00005B3E0000}"/>
    <cellStyle name="20% - Accent5 7 2 4 2 2" xfId="9385" xr:uid="{00000000-0005-0000-0000-00005C3E0000}"/>
    <cellStyle name="20% - Accent5 7 2 4 2 2 2" xfId="20686" xr:uid="{00000000-0005-0000-0000-00005D3E0000}"/>
    <cellStyle name="20% - Accent5 7 2 4 2 2 2 2" xfId="43288" xr:uid="{00000000-0005-0000-0000-00005E3E0000}"/>
    <cellStyle name="20% - Accent5 7 2 4 2 2 3" xfId="31987" xr:uid="{00000000-0005-0000-0000-00005F3E0000}"/>
    <cellStyle name="20% - Accent5 7 2 4 2 3" xfId="15036" xr:uid="{00000000-0005-0000-0000-0000603E0000}"/>
    <cellStyle name="20% - Accent5 7 2 4 2 3 2" xfId="37638" xr:uid="{00000000-0005-0000-0000-0000613E0000}"/>
    <cellStyle name="20% - Accent5 7 2 4 2 4" xfId="26337" xr:uid="{00000000-0005-0000-0000-0000623E0000}"/>
    <cellStyle name="20% - Accent5 7 2 4 3" xfId="5460" xr:uid="{00000000-0005-0000-0000-0000633E0000}"/>
    <cellStyle name="20% - Accent5 7 2 4 3 2" xfId="11110" xr:uid="{00000000-0005-0000-0000-0000643E0000}"/>
    <cellStyle name="20% - Accent5 7 2 4 3 2 2" xfId="22411" xr:uid="{00000000-0005-0000-0000-0000653E0000}"/>
    <cellStyle name="20% - Accent5 7 2 4 3 2 2 2" xfId="45013" xr:uid="{00000000-0005-0000-0000-0000663E0000}"/>
    <cellStyle name="20% - Accent5 7 2 4 3 2 3" xfId="33712" xr:uid="{00000000-0005-0000-0000-0000673E0000}"/>
    <cellStyle name="20% - Accent5 7 2 4 3 3" xfId="16761" xr:uid="{00000000-0005-0000-0000-0000683E0000}"/>
    <cellStyle name="20% - Accent5 7 2 4 3 3 2" xfId="39363" xr:uid="{00000000-0005-0000-0000-0000693E0000}"/>
    <cellStyle name="20% - Accent5 7 2 4 3 4" xfId="28062" xr:uid="{00000000-0005-0000-0000-00006A3E0000}"/>
    <cellStyle name="20% - Accent5 7 2 4 4" xfId="7612" xr:uid="{00000000-0005-0000-0000-00006B3E0000}"/>
    <cellStyle name="20% - Accent5 7 2 4 4 2" xfId="18913" xr:uid="{00000000-0005-0000-0000-00006C3E0000}"/>
    <cellStyle name="20% - Accent5 7 2 4 4 2 2" xfId="41515" xr:uid="{00000000-0005-0000-0000-00006D3E0000}"/>
    <cellStyle name="20% - Accent5 7 2 4 4 3" xfId="30214" xr:uid="{00000000-0005-0000-0000-00006E3E0000}"/>
    <cellStyle name="20% - Accent5 7 2 4 5" xfId="13263" xr:uid="{00000000-0005-0000-0000-00006F3E0000}"/>
    <cellStyle name="20% - Accent5 7 2 4 5 2" xfId="35865" xr:uid="{00000000-0005-0000-0000-0000703E0000}"/>
    <cellStyle name="20% - Accent5 7 2 4 6" xfId="24564" xr:uid="{00000000-0005-0000-0000-0000713E0000}"/>
    <cellStyle name="20% - Accent5 7 2 5" xfId="2441" xr:uid="{00000000-0005-0000-0000-0000723E0000}"/>
    <cellStyle name="20% - Accent5 7 2 5 2" xfId="8277" xr:uid="{00000000-0005-0000-0000-0000733E0000}"/>
    <cellStyle name="20% - Accent5 7 2 5 2 2" xfId="19578" xr:uid="{00000000-0005-0000-0000-0000743E0000}"/>
    <cellStyle name="20% - Accent5 7 2 5 2 2 2" xfId="42180" xr:uid="{00000000-0005-0000-0000-0000753E0000}"/>
    <cellStyle name="20% - Accent5 7 2 5 2 3" xfId="30879" xr:uid="{00000000-0005-0000-0000-0000763E0000}"/>
    <cellStyle name="20% - Accent5 7 2 5 3" xfId="13928" xr:uid="{00000000-0005-0000-0000-0000773E0000}"/>
    <cellStyle name="20% - Accent5 7 2 5 3 2" xfId="36530" xr:uid="{00000000-0005-0000-0000-0000783E0000}"/>
    <cellStyle name="20% - Accent5 7 2 5 4" xfId="25229" xr:uid="{00000000-0005-0000-0000-0000793E0000}"/>
    <cellStyle name="20% - Accent5 7 2 6" xfId="4226" xr:uid="{00000000-0005-0000-0000-00007A3E0000}"/>
    <cellStyle name="20% - Accent5 7 2 6 2" xfId="9876" xr:uid="{00000000-0005-0000-0000-00007B3E0000}"/>
    <cellStyle name="20% - Accent5 7 2 6 2 2" xfId="21177" xr:uid="{00000000-0005-0000-0000-00007C3E0000}"/>
    <cellStyle name="20% - Accent5 7 2 6 2 2 2" xfId="43779" xr:uid="{00000000-0005-0000-0000-00007D3E0000}"/>
    <cellStyle name="20% - Accent5 7 2 6 2 3" xfId="32478" xr:uid="{00000000-0005-0000-0000-00007E3E0000}"/>
    <cellStyle name="20% - Accent5 7 2 6 3" xfId="15527" xr:uid="{00000000-0005-0000-0000-00007F3E0000}"/>
    <cellStyle name="20% - Accent5 7 2 6 3 2" xfId="38129" xr:uid="{00000000-0005-0000-0000-0000803E0000}"/>
    <cellStyle name="20% - Accent5 7 2 6 4" xfId="26828" xr:uid="{00000000-0005-0000-0000-0000813E0000}"/>
    <cellStyle name="20% - Accent5 7 2 7" xfId="6706" xr:uid="{00000000-0005-0000-0000-0000823E0000}"/>
    <cellStyle name="20% - Accent5 7 2 7 2" xfId="18007" xr:uid="{00000000-0005-0000-0000-0000833E0000}"/>
    <cellStyle name="20% - Accent5 7 2 7 2 2" xfId="40609" xr:uid="{00000000-0005-0000-0000-0000843E0000}"/>
    <cellStyle name="20% - Accent5 7 2 7 3" xfId="29308" xr:uid="{00000000-0005-0000-0000-0000853E0000}"/>
    <cellStyle name="20% - Accent5 7 2 8" xfId="12357" xr:uid="{00000000-0005-0000-0000-0000863E0000}"/>
    <cellStyle name="20% - Accent5 7 2 8 2" xfId="34959" xr:uid="{00000000-0005-0000-0000-0000873E0000}"/>
    <cellStyle name="20% - Accent5 7 2 9" xfId="23658" xr:uid="{00000000-0005-0000-0000-0000883E0000}"/>
    <cellStyle name="20% - Accent5 7 3" xfId="1213" xr:uid="{00000000-0005-0000-0000-0000893E0000}"/>
    <cellStyle name="20% - Accent5 7 3 2" xfId="1758" xr:uid="{00000000-0005-0000-0000-00008A3E0000}"/>
    <cellStyle name="20% - Accent5 7 3 2 2" xfId="3281" xr:uid="{00000000-0005-0000-0000-00008B3E0000}"/>
    <cellStyle name="20% - Accent5 7 3 2 2 2" xfId="6253" xr:uid="{00000000-0005-0000-0000-00008C3E0000}"/>
    <cellStyle name="20% - Accent5 7 3 2 2 2 2" xfId="11903" xr:uid="{00000000-0005-0000-0000-00008D3E0000}"/>
    <cellStyle name="20% - Accent5 7 3 2 2 2 2 2" xfId="23204" xr:uid="{00000000-0005-0000-0000-00008E3E0000}"/>
    <cellStyle name="20% - Accent5 7 3 2 2 2 2 2 2" xfId="45806" xr:uid="{00000000-0005-0000-0000-00008F3E0000}"/>
    <cellStyle name="20% - Accent5 7 3 2 2 2 2 3" xfId="34505" xr:uid="{00000000-0005-0000-0000-0000903E0000}"/>
    <cellStyle name="20% - Accent5 7 3 2 2 2 3" xfId="17554" xr:uid="{00000000-0005-0000-0000-0000913E0000}"/>
    <cellStyle name="20% - Accent5 7 3 2 2 2 3 2" xfId="40156" xr:uid="{00000000-0005-0000-0000-0000923E0000}"/>
    <cellStyle name="20% - Accent5 7 3 2 2 2 4" xfId="28855" xr:uid="{00000000-0005-0000-0000-0000933E0000}"/>
    <cellStyle name="20% - Accent5 7 3 2 2 3" xfId="9071" xr:uid="{00000000-0005-0000-0000-0000943E0000}"/>
    <cellStyle name="20% - Accent5 7 3 2 2 3 2" xfId="20372" xr:uid="{00000000-0005-0000-0000-0000953E0000}"/>
    <cellStyle name="20% - Accent5 7 3 2 2 3 2 2" xfId="42974" xr:uid="{00000000-0005-0000-0000-0000963E0000}"/>
    <cellStyle name="20% - Accent5 7 3 2 2 3 3" xfId="31673" xr:uid="{00000000-0005-0000-0000-0000973E0000}"/>
    <cellStyle name="20% - Accent5 7 3 2 2 4" xfId="14722" xr:uid="{00000000-0005-0000-0000-0000983E0000}"/>
    <cellStyle name="20% - Accent5 7 3 2 2 4 2" xfId="37324" xr:uid="{00000000-0005-0000-0000-0000993E0000}"/>
    <cellStyle name="20% - Accent5 7 3 2 2 5" xfId="26023" xr:uid="{00000000-0005-0000-0000-00009A3E0000}"/>
    <cellStyle name="20% - Accent5 7 3 2 3" xfId="5019" xr:uid="{00000000-0005-0000-0000-00009B3E0000}"/>
    <cellStyle name="20% - Accent5 7 3 2 3 2" xfId="10669" xr:uid="{00000000-0005-0000-0000-00009C3E0000}"/>
    <cellStyle name="20% - Accent5 7 3 2 3 2 2" xfId="21970" xr:uid="{00000000-0005-0000-0000-00009D3E0000}"/>
    <cellStyle name="20% - Accent5 7 3 2 3 2 2 2" xfId="44572" xr:uid="{00000000-0005-0000-0000-00009E3E0000}"/>
    <cellStyle name="20% - Accent5 7 3 2 3 2 3" xfId="33271" xr:uid="{00000000-0005-0000-0000-00009F3E0000}"/>
    <cellStyle name="20% - Accent5 7 3 2 3 3" xfId="16320" xr:uid="{00000000-0005-0000-0000-0000A03E0000}"/>
    <cellStyle name="20% - Accent5 7 3 2 3 3 2" xfId="38922" xr:uid="{00000000-0005-0000-0000-0000A13E0000}"/>
    <cellStyle name="20% - Accent5 7 3 2 3 4" xfId="27621" xr:uid="{00000000-0005-0000-0000-0000A23E0000}"/>
    <cellStyle name="20% - Accent5 7 3 2 4" xfId="7614" xr:uid="{00000000-0005-0000-0000-0000A33E0000}"/>
    <cellStyle name="20% - Accent5 7 3 2 4 2" xfId="18915" xr:uid="{00000000-0005-0000-0000-0000A43E0000}"/>
    <cellStyle name="20% - Accent5 7 3 2 4 2 2" xfId="41517" xr:uid="{00000000-0005-0000-0000-0000A53E0000}"/>
    <cellStyle name="20% - Accent5 7 3 2 4 3" xfId="30216" xr:uid="{00000000-0005-0000-0000-0000A63E0000}"/>
    <cellStyle name="20% - Accent5 7 3 2 5" xfId="13265" xr:uid="{00000000-0005-0000-0000-0000A73E0000}"/>
    <cellStyle name="20% - Accent5 7 3 2 5 2" xfId="35867" xr:uid="{00000000-0005-0000-0000-0000A83E0000}"/>
    <cellStyle name="20% - Accent5 7 3 2 6" xfId="24566" xr:uid="{00000000-0005-0000-0000-0000A93E0000}"/>
    <cellStyle name="20% - Accent5 7 3 3" xfId="2610" xr:uid="{00000000-0005-0000-0000-0000AA3E0000}"/>
    <cellStyle name="20% - Accent5 7 3 3 2" xfId="5629" xr:uid="{00000000-0005-0000-0000-0000AB3E0000}"/>
    <cellStyle name="20% - Accent5 7 3 3 2 2" xfId="11279" xr:uid="{00000000-0005-0000-0000-0000AC3E0000}"/>
    <cellStyle name="20% - Accent5 7 3 3 2 2 2" xfId="22580" xr:uid="{00000000-0005-0000-0000-0000AD3E0000}"/>
    <cellStyle name="20% - Accent5 7 3 3 2 2 2 2" xfId="45182" xr:uid="{00000000-0005-0000-0000-0000AE3E0000}"/>
    <cellStyle name="20% - Accent5 7 3 3 2 2 3" xfId="33881" xr:uid="{00000000-0005-0000-0000-0000AF3E0000}"/>
    <cellStyle name="20% - Accent5 7 3 3 2 3" xfId="16930" xr:uid="{00000000-0005-0000-0000-0000B03E0000}"/>
    <cellStyle name="20% - Accent5 7 3 3 2 3 2" xfId="39532" xr:uid="{00000000-0005-0000-0000-0000B13E0000}"/>
    <cellStyle name="20% - Accent5 7 3 3 2 4" xfId="28231" xr:uid="{00000000-0005-0000-0000-0000B23E0000}"/>
    <cellStyle name="20% - Accent5 7 3 3 3" xfId="8446" xr:uid="{00000000-0005-0000-0000-0000B33E0000}"/>
    <cellStyle name="20% - Accent5 7 3 3 3 2" xfId="19747" xr:uid="{00000000-0005-0000-0000-0000B43E0000}"/>
    <cellStyle name="20% - Accent5 7 3 3 3 2 2" xfId="42349" xr:uid="{00000000-0005-0000-0000-0000B53E0000}"/>
    <cellStyle name="20% - Accent5 7 3 3 3 3" xfId="31048" xr:uid="{00000000-0005-0000-0000-0000B63E0000}"/>
    <cellStyle name="20% - Accent5 7 3 3 4" xfId="14097" xr:uid="{00000000-0005-0000-0000-0000B73E0000}"/>
    <cellStyle name="20% - Accent5 7 3 3 4 2" xfId="36699" xr:uid="{00000000-0005-0000-0000-0000B83E0000}"/>
    <cellStyle name="20% - Accent5 7 3 3 5" xfId="25398" xr:uid="{00000000-0005-0000-0000-0000B93E0000}"/>
    <cellStyle name="20% - Accent5 7 3 4" xfId="4395" xr:uid="{00000000-0005-0000-0000-0000BA3E0000}"/>
    <cellStyle name="20% - Accent5 7 3 4 2" xfId="10045" xr:uid="{00000000-0005-0000-0000-0000BB3E0000}"/>
    <cellStyle name="20% - Accent5 7 3 4 2 2" xfId="21346" xr:uid="{00000000-0005-0000-0000-0000BC3E0000}"/>
    <cellStyle name="20% - Accent5 7 3 4 2 2 2" xfId="43948" xr:uid="{00000000-0005-0000-0000-0000BD3E0000}"/>
    <cellStyle name="20% - Accent5 7 3 4 2 3" xfId="32647" xr:uid="{00000000-0005-0000-0000-0000BE3E0000}"/>
    <cellStyle name="20% - Accent5 7 3 4 3" xfId="15696" xr:uid="{00000000-0005-0000-0000-0000BF3E0000}"/>
    <cellStyle name="20% - Accent5 7 3 4 3 2" xfId="38298" xr:uid="{00000000-0005-0000-0000-0000C03E0000}"/>
    <cellStyle name="20% - Accent5 7 3 4 4" xfId="26997" xr:uid="{00000000-0005-0000-0000-0000C13E0000}"/>
    <cellStyle name="20% - Accent5 7 3 5" xfId="7192" xr:uid="{00000000-0005-0000-0000-0000C23E0000}"/>
    <cellStyle name="20% - Accent5 7 3 5 2" xfId="18493" xr:uid="{00000000-0005-0000-0000-0000C33E0000}"/>
    <cellStyle name="20% - Accent5 7 3 5 2 2" xfId="41095" xr:uid="{00000000-0005-0000-0000-0000C43E0000}"/>
    <cellStyle name="20% - Accent5 7 3 5 3" xfId="29794" xr:uid="{00000000-0005-0000-0000-0000C53E0000}"/>
    <cellStyle name="20% - Accent5 7 3 6" xfId="12843" xr:uid="{00000000-0005-0000-0000-0000C63E0000}"/>
    <cellStyle name="20% - Accent5 7 3 6 2" xfId="35445" xr:uid="{00000000-0005-0000-0000-0000C73E0000}"/>
    <cellStyle name="20% - Accent5 7 3 7" xfId="24144" xr:uid="{00000000-0005-0000-0000-0000C83E0000}"/>
    <cellStyle name="20% - Accent5 7 4" xfId="904" xr:uid="{00000000-0005-0000-0000-0000C93E0000}"/>
    <cellStyle name="20% - Accent5 7 4 2" xfId="2974" xr:uid="{00000000-0005-0000-0000-0000CA3E0000}"/>
    <cellStyle name="20% - Accent5 7 4 2 2" xfId="5946" xr:uid="{00000000-0005-0000-0000-0000CB3E0000}"/>
    <cellStyle name="20% - Accent5 7 4 2 2 2" xfId="11596" xr:uid="{00000000-0005-0000-0000-0000CC3E0000}"/>
    <cellStyle name="20% - Accent5 7 4 2 2 2 2" xfId="22897" xr:uid="{00000000-0005-0000-0000-0000CD3E0000}"/>
    <cellStyle name="20% - Accent5 7 4 2 2 2 2 2" xfId="45499" xr:uid="{00000000-0005-0000-0000-0000CE3E0000}"/>
    <cellStyle name="20% - Accent5 7 4 2 2 2 3" xfId="34198" xr:uid="{00000000-0005-0000-0000-0000CF3E0000}"/>
    <cellStyle name="20% - Accent5 7 4 2 2 3" xfId="17247" xr:uid="{00000000-0005-0000-0000-0000D03E0000}"/>
    <cellStyle name="20% - Accent5 7 4 2 2 3 2" xfId="39849" xr:uid="{00000000-0005-0000-0000-0000D13E0000}"/>
    <cellStyle name="20% - Accent5 7 4 2 2 4" xfId="28548" xr:uid="{00000000-0005-0000-0000-0000D23E0000}"/>
    <cellStyle name="20% - Accent5 7 4 2 3" xfId="8764" xr:uid="{00000000-0005-0000-0000-0000D33E0000}"/>
    <cellStyle name="20% - Accent5 7 4 2 3 2" xfId="20065" xr:uid="{00000000-0005-0000-0000-0000D43E0000}"/>
    <cellStyle name="20% - Accent5 7 4 2 3 2 2" xfId="42667" xr:uid="{00000000-0005-0000-0000-0000D53E0000}"/>
    <cellStyle name="20% - Accent5 7 4 2 3 3" xfId="31366" xr:uid="{00000000-0005-0000-0000-0000D63E0000}"/>
    <cellStyle name="20% - Accent5 7 4 2 4" xfId="14415" xr:uid="{00000000-0005-0000-0000-0000D73E0000}"/>
    <cellStyle name="20% - Accent5 7 4 2 4 2" xfId="37017" xr:uid="{00000000-0005-0000-0000-0000D83E0000}"/>
    <cellStyle name="20% - Accent5 7 4 2 5" xfId="25716" xr:uid="{00000000-0005-0000-0000-0000D93E0000}"/>
    <cellStyle name="20% - Accent5 7 4 3" xfId="4712" xr:uid="{00000000-0005-0000-0000-0000DA3E0000}"/>
    <cellStyle name="20% - Accent5 7 4 3 2" xfId="10362" xr:uid="{00000000-0005-0000-0000-0000DB3E0000}"/>
    <cellStyle name="20% - Accent5 7 4 3 2 2" xfId="21663" xr:uid="{00000000-0005-0000-0000-0000DC3E0000}"/>
    <cellStyle name="20% - Accent5 7 4 3 2 2 2" xfId="44265" xr:uid="{00000000-0005-0000-0000-0000DD3E0000}"/>
    <cellStyle name="20% - Accent5 7 4 3 2 3" xfId="32964" xr:uid="{00000000-0005-0000-0000-0000DE3E0000}"/>
    <cellStyle name="20% - Accent5 7 4 3 3" xfId="16013" xr:uid="{00000000-0005-0000-0000-0000DF3E0000}"/>
    <cellStyle name="20% - Accent5 7 4 3 3 2" xfId="38615" xr:uid="{00000000-0005-0000-0000-0000E03E0000}"/>
    <cellStyle name="20% - Accent5 7 4 3 4" xfId="27314" xr:uid="{00000000-0005-0000-0000-0000E13E0000}"/>
    <cellStyle name="20% - Accent5 7 4 4" xfId="6899" xr:uid="{00000000-0005-0000-0000-0000E23E0000}"/>
    <cellStyle name="20% - Accent5 7 4 4 2" xfId="18200" xr:uid="{00000000-0005-0000-0000-0000E33E0000}"/>
    <cellStyle name="20% - Accent5 7 4 4 2 2" xfId="40802" xr:uid="{00000000-0005-0000-0000-0000E43E0000}"/>
    <cellStyle name="20% - Accent5 7 4 4 3" xfId="29501" xr:uid="{00000000-0005-0000-0000-0000E53E0000}"/>
    <cellStyle name="20% - Accent5 7 4 5" xfId="12550" xr:uid="{00000000-0005-0000-0000-0000E63E0000}"/>
    <cellStyle name="20% - Accent5 7 4 5 2" xfId="35152" xr:uid="{00000000-0005-0000-0000-0000E73E0000}"/>
    <cellStyle name="20% - Accent5 7 4 6" xfId="23851" xr:uid="{00000000-0005-0000-0000-0000E83E0000}"/>
    <cellStyle name="20% - Accent5 7 5" xfId="1755" xr:uid="{00000000-0005-0000-0000-0000E93E0000}"/>
    <cellStyle name="20% - Accent5 7 5 2" xfId="3673" xr:uid="{00000000-0005-0000-0000-0000EA3E0000}"/>
    <cellStyle name="20% - Accent5 7 5 2 2" xfId="9384" xr:uid="{00000000-0005-0000-0000-0000EB3E0000}"/>
    <cellStyle name="20% - Accent5 7 5 2 2 2" xfId="20685" xr:uid="{00000000-0005-0000-0000-0000EC3E0000}"/>
    <cellStyle name="20% - Accent5 7 5 2 2 2 2" xfId="43287" xr:uid="{00000000-0005-0000-0000-0000ED3E0000}"/>
    <cellStyle name="20% - Accent5 7 5 2 2 3" xfId="31986" xr:uid="{00000000-0005-0000-0000-0000EE3E0000}"/>
    <cellStyle name="20% - Accent5 7 5 2 3" xfId="15035" xr:uid="{00000000-0005-0000-0000-0000EF3E0000}"/>
    <cellStyle name="20% - Accent5 7 5 2 3 2" xfId="37637" xr:uid="{00000000-0005-0000-0000-0000F03E0000}"/>
    <cellStyle name="20% - Accent5 7 5 2 4" xfId="26336" xr:uid="{00000000-0005-0000-0000-0000F13E0000}"/>
    <cellStyle name="20% - Accent5 7 5 3" xfId="5322" xr:uid="{00000000-0005-0000-0000-0000F23E0000}"/>
    <cellStyle name="20% - Accent5 7 5 3 2" xfId="10972" xr:uid="{00000000-0005-0000-0000-0000F33E0000}"/>
    <cellStyle name="20% - Accent5 7 5 3 2 2" xfId="22273" xr:uid="{00000000-0005-0000-0000-0000F43E0000}"/>
    <cellStyle name="20% - Accent5 7 5 3 2 2 2" xfId="44875" xr:uid="{00000000-0005-0000-0000-0000F53E0000}"/>
    <cellStyle name="20% - Accent5 7 5 3 2 3" xfId="33574" xr:uid="{00000000-0005-0000-0000-0000F63E0000}"/>
    <cellStyle name="20% - Accent5 7 5 3 3" xfId="16623" xr:uid="{00000000-0005-0000-0000-0000F73E0000}"/>
    <cellStyle name="20% - Accent5 7 5 3 3 2" xfId="39225" xr:uid="{00000000-0005-0000-0000-0000F83E0000}"/>
    <cellStyle name="20% - Accent5 7 5 3 4" xfId="27924" xr:uid="{00000000-0005-0000-0000-0000F93E0000}"/>
    <cellStyle name="20% - Accent5 7 5 4" xfId="7611" xr:uid="{00000000-0005-0000-0000-0000FA3E0000}"/>
    <cellStyle name="20% - Accent5 7 5 4 2" xfId="18912" xr:uid="{00000000-0005-0000-0000-0000FB3E0000}"/>
    <cellStyle name="20% - Accent5 7 5 4 2 2" xfId="41514" xr:uid="{00000000-0005-0000-0000-0000FC3E0000}"/>
    <cellStyle name="20% - Accent5 7 5 4 3" xfId="30213" xr:uid="{00000000-0005-0000-0000-0000FD3E0000}"/>
    <cellStyle name="20% - Accent5 7 5 5" xfId="13262" xr:uid="{00000000-0005-0000-0000-0000FE3E0000}"/>
    <cellStyle name="20% - Accent5 7 5 5 2" xfId="35864" xr:uid="{00000000-0005-0000-0000-0000FF3E0000}"/>
    <cellStyle name="20% - Accent5 7 5 6" xfId="24563" xr:uid="{00000000-0005-0000-0000-0000003F0000}"/>
    <cellStyle name="20% - Accent5 7 6" xfId="2301" xr:uid="{00000000-0005-0000-0000-0000013F0000}"/>
    <cellStyle name="20% - Accent5 7 6 2" xfId="8137" xr:uid="{00000000-0005-0000-0000-0000023F0000}"/>
    <cellStyle name="20% - Accent5 7 6 2 2" xfId="19438" xr:uid="{00000000-0005-0000-0000-0000033F0000}"/>
    <cellStyle name="20% - Accent5 7 6 2 2 2" xfId="42040" xr:uid="{00000000-0005-0000-0000-0000043F0000}"/>
    <cellStyle name="20% - Accent5 7 6 2 3" xfId="30739" xr:uid="{00000000-0005-0000-0000-0000053F0000}"/>
    <cellStyle name="20% - Accent5 7 6 3" xfId="13788" xr:uid="{00000000-0005-0000-0000-0000063F0000}"/>
    <cellStyle name="20% - Accent5 7 6 3 2" xfId="36390" xr:uid="{00000000-0005-0000-0000-0000073F0000}"/>
    <cellStyle name="20% - Accent5 7 6 4" xfId="25089" xr:uid="{00000000-0005-0000-0000-0000083F0000}"/>
    <cellStyle name="20% - Accent5 7 7" xfId="4088" xr:uid="{00000000-0005-0000-0000-0000093F0000}"/>
    <cellStyle name="20% - Accent5 7 7 2" xfId="9738" xr:uid="{00000000-0005-0000-0000-00000A3F0000}"/>
    <cellStyle name="20% - Accent5 7 7 2 2" xfId="21039" xr:uid="{00000000-0005-0000-0000-00000B3F0000}"/>
    <cellStyle name="20% - Accent5 7 7 2 2 2" xfId="43641" xr:uid="{00000000-0005-0000-0000-00000C3F0000}"/>
    <cellStyle name="20% - Accent5 7 7 2 3" xfId="32340" xr:uid="{00000000-0005-0000-0000-00000D3F0000}"/>
    <cellStyle name="20% - Accent5 7 7 3" xfId="15389" xr:uid="{00000000-0005-0000-0000-00000E3F0000}"/>
    <cellStyle name="20% - Accent5 7 7 3 2" xfId="37991" xr:uid="{00000000-0005-0000-0000-00000F3F0000}"/>
    <cellStyle name="20% - Accent5 7 7 4" xfId="26690" xr:uid="{00000000-0005-0000-0000-0000103F0000}"/>
    <cellStyle name="20% - Accent5 7 8" xfId="6539" xr:uid="{00000000-0005-0000-0000-0000113F0000}"/>
    <cellStyle name="20% - Accent5 7 8 2" xfId="17840" xr:uid="{00000000-0005-0000-0000-0000123F0000}"/>
    <cellStyle name="20% - Accent5 7 8 2 2" xfId="40442" xr:uid="{00000000-0005-0000-0000-0000133F0000}"/>
    <cellStyle name="20% - Accent5 7 8 3" xfId="29141" xr:uid="{00000000-0005-0000-0000-0000143F0000}"/>
    <cellStyle name="20% - Accent5 7 9" xfId="12190" xr:uid="{00000000-0005-0000-0000-0000153F0000}"/>
    <cellStyle name="20% - Accent5 7 9 2" xfId="34792" xr:uid="{00000000-0005-0000-0000-0000163F0000}"/>
    <cellStyle name="20% - Accent5 8" xfId="499" xr:uid="{00000000-0005-0000-0000-0000173F0000}"/>
    <cellStyle name="20% - Accent5 8 2" xfId="1270" xr:uid="{00000000-0005-0000-0000-0000183F0000}"/>
    <cellStyle name="20% - Accent5 8 2 2" xfId="1760" xr:uid="{00000000-0005-0000-0000-0000193F0000}"/>
    <cellStyle name="20% - Accent5 8 2 2 2" xfId="3339" xr:uid="{00000000-0005-0000-0000-00001A3F0000}"/>
    <cellStyle name="20% - Accent5 8 2 2 2 2" xfId="6311" xr:uid="{00000000-0005-0000-0000-00001B3F0000}"/>
    <cellStyle name="20% - Accent5 8 2 2 2 2 2" xfId="11961" xr:uid="{00000000-0005-0000-0000-00001C3F0000}"/>
    <cellStyle name="20% - Accent5 8 2 2 2 2 2 2" xfId="23262" xr:uid="{00000000-0005-0000-0000-00001D3F0000}"/>
    <cellStyle name="20% - Accent5 8 2 2 2 2 2 2 2" xfId="45864" xr:uid="{00000000-0005-0000-0000-00001E3F0000}"/>
    <cellStyle name="20% - Accent5 8 2 2 2 2 2 3" xfId="34563" xr:uid="{00000000-0005-0000-0000-00001F3F0000}"/>
    <cellStyle name="20% - Accent5 8 2 2 2 2 3" xfId="17612" xr:uid="{00000000-0005-0000-0000-0000203F0000}"/>
    <cellStyle name="20% - Accent5 8 2 2 2 2 3 2" xfId="40214" xr:uid="{00000000-0005-0000-0000-0000213F0000}"/>
    <cellStyle name="20% - Accent5 8 2 2 2 2 4" xfId="28913" xr:uid="{00000000-0005-0000-0000-0000223F0000}"/>
    <cellStyle name="20% - Accent5 8 2 2 2 3" xfId="9129" xr:uid="{00000000-0005-0000-0000-0000233F0000}"/>
    <cellStyle name="20% - Accent5 8 2 2 2 3 2" xfId="20430" xr:uid="{00000000-0005-0000-0000-0000243F0000}"/>
    <cellStyle name="20% - Accent5 8 2 2 2 3 2 2" xfId="43032" xr:uid="{00000000-0005-0000-0000-0000253F0000}"/>
    <cellStyle name="20% - Accent5 8 2 2 2 3 3" xfId="31731" xr:uid="{00000000-0005-0000-0000-0000263F0000}"/>
    <cellStyle name="20% - Accent5 8 2 2 2 4" xfId="14780" xr:uid="{00000000-0005-0000-0000-0000273F0000}"/>
    <cellStyle name="20% - Accent5 8 2 2 2 4 2" xfId="37382" xr:uid="{00000000-0005-0000-0000-0000283F0000}"/>
    <cellStyle name="20% - Accent5 8 2 2 2 5" xfId="26081" xr:uid="{00000000-0005-0000-0000-0000293F0000}"/>
    <cellStyle name="20% - Accent5 8 2 2 3" xfId="5077" xr:uid="{00000000-0005-0000-0000-00002A3F0000}"/>
    <cellStyle name="20% - Accent5 8 2 2 3 2" xfId="10727" xr:uid="{00000000-0005-0000-0000-00002B3F0000}"/>
    <cellStyle name="20% - Accent5 8 2 2 3 2 2" xfId="22028" xr:uid="{00000000-0005-0000-0000-00002C3F0000}"/>
    <cellStyle name="20% - Accent5 8 2 2 3 2 2 2" xfId="44630" xr:uid="{00000000-0005-0000-0000-00002D3F0000}"/>
    <cellStyle name="20% - Accent5 8 2 2 3 2 3" xfId="33329" xr:uid="{00000000-0005-0000-0000-00002E3F0000}"/>
    <cellStyle name="20% - Accent5 8 2 2 3 3" xfId="16378" xr:uid="{00000000-0005-0000-0000-00002F3F0000}"/>
    <cellStyle name="20% - Accent5 8 2 2 3 3 2" xfId="38980" xr:uid="{00000000-0005-0000-0000-0000303F0000}"/>
    <cellStyle name="20% - Accent5 8 2 2 3 4" xfId="27679" xr:uid="{00000000-0005-0000-0000-0000313F0000}"/>
    <cellStyle name="20% - Accent5 8 2 2 4" xfId="7616" xr:uid="{00000000-0005-0000-0000-0000323F0000}"/>
    <cellStyle name="20% - Accent5 8 2 2 4 2" xfId="18917" xr:uid="{00000000-0005-0000-0000-0000333F0000}"/>
    <cellStyle name="20% - Accent5 8 2 2 4 2 2" xfId="41519" xr:uid="{00000000-0005-0000-0000-0000343F0000}"/>
    <cellStyle name="20% - Accent5 8 2 2 4 3" xfId="30218" xr:uid="{00000000-0005-0000-0000-0000353F0000}"/>
    <cellStyle name="20% - Accent5 8 2 2 5" xfId="13267" xr:uid="{00000000-0005-0000-0000-0000363F0000}"/>
    <cellStyle name="20% - Accent5 8 2 2 5 2" xfId="35869" xr:uid="{00000000-0005-0000-0000-0000373F0000}"/>
    <cellStyle name="20% - Accent5 8 2 2 6" xfId="24568" xr:uid="{00000000-0005-0000-0000-0000383F0000}"/>
    <cellStyle name="20% - Accent5 8 2 3" xfId="2668" xr:uid="{00000000-0005-0000-0000-0000393F0000}"/>
    <cellStyle name="20% - Accent5 8 2 3 2" xfId="5687" xr:uid="{00000000-0005-0000-0000-00003A3F0000}"/>
    <cellStyle name="20% - Accent5 8 2 3 2 2" xfId="11337" xr:uid="{00000000-0005-0000-0000-00003B3F0000}"/>
    <cellStyle name="20% - Accent5 8 2 3 2 2 2" xfId="22638" xr:uid="{00000000-0005-0000-0000-00003C3F0000}"/>
    <cellStyle name="20% - Accent5 8 2 3 2 2 2 2" xfId="45240" xr:uid="{00000000-0005-0000-0000-00003D3F0000}"/>
    <cellStyle name="20% - Accent5 8 2 3 2 2 3" xfId="33939" xr:uid="{00000000-0005-0000-0000-00003E3F0000}"/>
    <cellStyle name="20% - Accent5 8 2 3 2 3" xfId="16988" xr:uid="{00000000-0005-0000-0000-00003F3F0000}"/>
    <cellStyle name="20% - Accent5 8 2 3 2 3 2" xfId="39590" xr:uid="{00000000-0005-0000-0000-0000403F0000}"/>
    <cellStyle name="20% - Accent5 8 2 3 2 4" xfId="28289" xr:uid="{00000000-0005-0000-0000-0000413F0000}"/>
    <cellStyle name="20% - Accent5 8 2 3 3" xfId="8504" xr:uid="{00000000-0005-0000-0000-0000423F0000}"/>
    <cellStyle name="20% - Accent5 8 2 3 3 2" xfId="19805" xr:uid="{00000000-0005-0000-0000-0000433F0000}"/>
    <cellStyle name="20% - Accent5 8 2 3 3 2 2" xfId="42407" xr:uid="{00000000-0005-0000-0000-0000443F0000}"/>
    <cellStyle name="20% - Accent5 8 2 3 3 3" xfId="31106" xr:uid="{00000000-0005-0000-0000-0000453F0000}"/>
    <cellStyle name="20% - Accent5 8 2 3 4" xfId="14155" xr:uid="{00000000-0005-0000-0000-0000463F0000}"/>
    <cellStyle name="20% - Accent5 8 2 3 4 2" xfId="36757" xr:uid="{00000000-0005-0000-0000-0000473F0000}"/>
    <cellStyle name="20% - Accent5 8 2 3 5" xfId="25456" xr:uid="{00000000-0005-0000-0000-0000483F0000}"/>
    <cellStyle name="20% - Accent5 8 2 4" xfId="4453" xr:uid="{00000000-0005-0000-0000-0000493F0000}"/>
    <cellStyle name="20% - Accent5 8 2 4 2" xfId="10103" xr:uid="{00000000-0005-0000-0000-00004A3F0000}"/>
    <cellStyle name="20% - Accent5 8 2 4 2 2" xfId="21404" xr:uid="{00000000-0005-0000-0000-00004B3F0000}"/>
    <cellStyle name="20% - Accent5 8 2 4 2 2 2" xfId="44006" xr:uid="{00000000-0005-0000-0000-00004C3F0000}"/>
    <cellStyle name="20% - Accent5 8 2 4 2 3" xfId="32705" xr:uid="{00000000-0005-0000-0000-00004D3F0000}"/>
    <cellStyle name="20% - Accent5 8 2 4 3" xfId="15754" xr:uid="{00000000-0005-0000-0000-00004E3F0000}"/>
    <cellStyle name="20% - Accent5 8 2 4 3 2" xfId="38356" xr:uid="{00000000-0005-0000-0000-00004F3F0000}"/>
    <cellStyle name="20% - Accent5 8 2 4 4" xfId="27055" xr:uid="{00000000-0005-0000-0000-0000503F0000}"/>
    <cellStyle name="20% - Accent5 8 2 5" xfId="7249" xr:uid="{00000000-0005-0000-0000-0000513F0000}"/>
    <cellStyle name="20% - Accent5 8 2 5 2" xfId="18550" xr:uid="{00000000-0005-0000-0000-0000523F0000}"/>
    <cellStyle name="20% - Accent5 8 2 5 2 2" xfId="41152" xr:uid="{00000000-0005-0000-0000-0000533F0000}"/>
    <cellStyle name="20% - Accent5 8 2 5 3" xfId="29851" xr:uid="{00000000-0005-0000-0000-0000543F0000}"/>
    <cellStyle name="20% - Accent5 8 2 6" xfId="12900" xr:uid="{00000000-0005-0000-0000-0000553F0000}"/>
    <cellStyle name="20% - Accent5 8 2 6 2" xfId="35502" xr:uid="{00000000-0005-0000-0000-0000563F0000}"/>
    <cellStyle name="20% - Accent5 8 2 7" xfId="24201" xr:uid="{00000000-0005-0000-0000-0000573F0000}"/>
    <cellStyle name="20% - Accent5 8 3" xfId="967" xr:uid="{00000000-0005-0000-0000-0000583F0000}"/>
    <cellStyle name="20% - Accent5 8 3 2" xfId="3031" xr:uid="{00000000-0005-0000-0000-0000593F0000}"/>
    <cellStyle name="20% - Accent5 8 3 2 2" xfId="6003" xr:uid="{00000000-0005-0000-0000-00005A3F0000}"/>
    <cellStyle name="20% - Accent5 8 3 2 2 2" xfId="11653" xr:uid="{00000000-0005-0000-0000-00005B3F0000}"/>
    <cellStyle name="20% - Accent5 8 3 2 2 2 2" xfId="22954" xr:uid="{00000000-0005-0000-0000-00005C3F0000}"/>
    <cellStyle name="20% - Accent5 8 3 2 2 2 2 2" xfId="45556" xr:uid="{00000000-0005-0000-0000-00005D3F0000}"/>
    <cellStyle name="20% - Accent5 8 3 2 2 2 3" xfId="34255" xr:uid="{00000000-0005-0000-0000-00005E3F0000}"/>
    <cellStyle name="20% - Accent5 8 3 2 2 3" xfId="17304" xr:uid="{00000000-0005-0000-0000-00005F3F0000}"/>
    <cellStyle name="20% - Accent5 8 3 2 2 3 2" xfId="39906" xr:uid="{00000000-0005-0000-0000-0000603F0000}"/>
    <cellStyle name="20% - Accent5 8 3 2 2 4" xfId="28605" xr:uid="{00000000-0005-0000-0000-0000613F0000}"/>
    <cellStyle name="20% - Accent5 8 3 2 3" xfId="8821" xr:uid="{00000000-0005-0000-0000-0000623F0000}"/>
    <cellStyle name="20% - Accent5 8 3 2 3 2" xfId="20122" xr:uid="{00000000-0005-0000-0000-0000633F0000}"/>
    <cellStyle name="20% - Accent5 8 3 2 3 2 2" xfId="42724" xr:uid="{00000000-0005-0000-0000-0000643F0000}"/>
    <cellStyle name="20% - Accent5 8 3 2 3 3" xfId="31423" xr:uid="{00000000-0005-0000-0000-0000653F0000}"/>
    <cellStyle name="20% - Accent5 8 3 2 4" xfId="14472" xr:uid="{00000000-0005-0000-0000-0000663F0000}"/>
    <cellStyle name="20% - Accent5 8 3 2 4 2" xfId="37074" xr:uid="{00000000-0005-0000-0000-0000673F0000}"/>
    <cellStyle name="20% - Accent5 8 3 2 5" xfId="25773" xr:uid="{00000000-0005-0000-0000-0000683F0000}"/>
    <cellStyle name="20% - Accent5 8 3 3" xfId="4769" xr:uid="{00000000-0005-0000-0000-0000693F0000}"/>
    <cellStyle name="20% - Accent5 8 3 3 2" xfId="10419" xr:uid="{00000000-0005-0000-0000-00006A3F0000}"/>
    <cellStyle name="20% - Accent5 8 3 3 2 2" xfId="21720" xr:uid="{00000000-0005-0000-0000-00006B3F0000}"/>
    <cellStyle name="20% - Accent5 8 3 3 2 2 2" xfId="44322" xr:uid="{00000000-0005-0000-0000-00006C3F0000}"/>
    <cellStyle name="20% - Accent5 8 3 3 2 3" xfId="33021" xr:uid="{00000000-0005-0000-0000-00006D3F0000}"/>
    <cellStyle name="20% - Accent5 8 3 3 3" xfId="16070" xr:uid="{00000000-0005-0000-0000-00006E3F0000}"/>
    <cellStyle name="20% - Accent5 8 3 3 3 2" xfId="38672" xr:uid="{00000000-0005-0000-0000-00006F3F0000}"/>
    <cellStyle name="20% - Accent5 8 3 3 4" xfId="27371" xr:uid="{00000000-0005-0000-0000-0000703F0000}"/>
    <cellStyle name="20% - Accent5 8 3 4" xfId="6956" xr:uid="{00000000-0005-0000-0000-0000713F0000}"/>
    <cellStyle name="20% - Accent5 8 3 4 2" xfId="18257" xr:uid="{00000000-0005-0000-0000-0000723F0000}"/>
    <cellStyle name="20% - Accent5 8 3 4 2 2" xfId="40859" xr:uid="{00000000-0005-0000-0000-0000733F0000}"/>
    <cellStyle name="20% - Accent5 8 3 4 3" xfId="29558" xr:uid="{00000000-0005-0000-0000-0000743F0000}"/>
    <cellStyle name="20% - Accent5 8 3 5" xfId="12607" xr:uid="{00000000-0005-0000-0000-0000753F0000}"/>
    <cellStyle name="20% - Accent5 8 3 5 2" xfId="35209" xr:uid="{00000000-0005-0000-0000-0000763F0000}"/>
    <cellStyle name="20% - Accent5 8 3 6" xfId="23908" xr:uid="{00000000-0005-0000-0000-0000773F0000}"/>
    <cellStyle name="20% - Accent5 8 4" xfId="1759" xr:uid="{00000000-0005-0000-0000-0000783F0000}"/>
    <cellStyle name="20% - Accent5 8 4 2" xfId="3676" xr:uid="{00000000-0005-0000-0000-0000793F0000}"/>
    <cellStyle name="20% - Accent5 8 4 2 2" xfId="9387" xr:uid="{00000000-0005-0000-0000-00007A3F0000}"/>
    <cellStyle name="20% - Accent5 8 4 2 2 2" xfId="20688" xr:uid="{00000000-0005-0000-0000-00007B3F0000}"/>
    <cellStyle name="20% - Accent5 8 4 2 2 2 2" xfId="43290" xr:uid="{00000000-0005-0000-0000-00007C3F0000}"/>
    <cellStyle name="20% - Accent5 8 4 2 2 3" xfId="31989" xr:uid="{00000000-0005-0000-0000-00007D3F0000}"/>
    <cellStyle name="20% - Accent5 8 4 2 3" xfId="15038" xr:uid="{00000000-0005-0000-0000-00007E3F0000}"/>
    <cellStyle name="20% - Accent5 8 4 2 3 2" xfId="37640" xr:uid="{00000000-0005-0000-0000-00007F3F0000}"/>
    <cellStyle name="20% - Accent5 8 4 2 4" xfId="26339" xr:uid="{00000000-0005-0000-0000-0000803F0000}"/>
    <cellStyle name="20% - Accent5 8 4 3" xfId="5379" xr:uid="{00000000-0005-0000-0000-0000813F0000}"/>
    <cellStyle name="20% - Accent5 8 4 3 2" xfId="11029" xr:uid="{00000000-0005-0000-0000-0000823F0000}"/>
    <cellStyle name="20% - Accent5 8 4 3 2 2" xfId="22330" xr:uid="{00000000-0005-0000-0000-0000833F0000}"/>
    <cellStyle name="20% - Accent5 8 4 3 2 2 2" xfId="44932" xr:uid="{00000000-0005-0000-0000-0000843F0000}"/>
    <cellStyle name="20% - Accent5 8 4 3 2 3" xfId="33631" xr:uid="{00000000-0005-0000-0000-0000853F0000}"/>
    <cellStyle name="20% - Accent5 8 4 3 3" xfId="16680" xr:uid="{00000000-0005-0000-0000-0000863F0000}"/>
    <cellStyle name="20% - Accent5 8 4 3 3 2" xfId="39282" xr:uid="{00000000-0005-0000-0000-0000873F0000}"/>
    <cellStyle name="20% - Accent5 8 4 3 4" xfId="27981" xr:uid="{00000000-0005-0000-0000-0000883F0000}"/>
    <cellStyle name="20% - Accent5 8 4 4" xfId="7615" xr:uid="{00000000-0005-0000-0000-0000893F0000}"/>
    <cellStyle name="20% - Accent5 8 4 4 2" xfId="18916" xr:uid="{00000000-0005-0000-0000-00008A3F0000}"/>
    <cellStyle name="20% - Accent5 8 4 4 2 2" xfId="41518" xr:uid="{00000000-0005-0000-0000-00008B3F0000}"/>
    <cellStyle name="20% - Accent5 8 4 4 3" xfId="30217" xr:uid="{00000000-0005-0000-0000-00008C3F0000}"/>
    <cellStyle name="20% - Accent5 8 4 5" xfId="13266" xr:uid="{00000000-0005-0000-0000-00008D3F0000}"/>
    <cellStyle name="20% - Accent5 8 4 5 2" xfId="35868" xr:uid="{00000000-0005-0000-0000-00008E3F0000}"/>
    <cellStyle name="20% - Accent5 8 4 6" xfId="24567" xr:uid="{00000000-0005-0000-0000-00008F3F0000}"/>
    <cellStyle name="20% - Accent5 8 5" xfId="2360" xr:uid="{00000000-0005-0000-0000-0000903F0000}"/>
    <cellStyle name="20% - Accent5 8 5 2" xfId="8196" xr:uid="{00000000-0005-0000-0000-0000913F0000}"/>
    <cellStyle name="20% - Accent5 8 5 2 2" xfId="19497" xr:uid="{00000000-0005-0000-0000-0000923F0000}"/>
    <cellStyle name="20% - Accent5 8 5 2 2 2" xfId="42099" xr:uid="{00000000-0005-0000-0000-0000933F0000}"/>
    <cellStyle name="20% - Accent5 8 5 2 3" xfId="30798" xr:uid="{00000000-0005-0000-0000-0000943F0000}"/>
    <cellStyle name="20% - Accent5 8 5 3" xfId="13847" xr:uid="{00000000-0005-0000-0000-0000953F0000}"/>
    <cellStyle name="20% - Accent5 8 5 3 2" xfId="36449" xr:uid="{00000000-0005-0000-0000-0000963F0000}"/>
    <cellStyle name="20% - Accent5 8 5 4" xfId="25148" xr:uid="{00000000-0005-0000-0000-0000973F0000}"/>
    <cellStyle name="20% - Accent5 8 6" xfId="4145" xr:uid="{00000000-0005-0000-0000-0000983F0000}"/>
    <cellStyle name="20% - Accent5 8 6 2" xfId="9795" xr:uid="{00000000-0005-0000-0000-0000993F0000}"/>
    <cellStyle name="20% - Accent5 8 6 2 2" xfId="21096" xr:uid="{00000000-0005-0000-0000-00009A3F0000}"/>
    <cellStyle name="20% - Accent5 8 6 2 2 2" xfId="43698" xr:uid="{00000000-0005-0000-0000-00009B3F0000}"/>
    <cellStyle name="20% - Accent5 8 6 2 3" xfId="32397" xr:uid="{00000000-0005-0000-0000-00009C3F0000}"/>
    <cellStyle name="20% - Accent5 8 6 3" xfId="15446" xr:uid="{00000000-0005-0000-0000-00009D3F0000}"/>
    <cellStyle name="20% - Accent5 8 6 3 2" xfId="38048" xr:uid="{00000000-0005-0000-0000-00009E3F0000}"/>
    <cellStyle name="20% - Accent5 8 6 4" xfId="26747" xr:uid="{00000000-0005-0000-0000-00009F3F0000}"/>
    <cellStyle name="20% - Accent5 8 7" xfId="6596" xr:uid="{00000000-0005-0000-0000-0000A03F0000}"/>
    <cellStyle name="20% - Accent5 8 7 2" xfId="17897" xr:uid="{00000000-0005-0000-0000-0000A13F0000}"/>
    <cellStyle name="20% - Accent5 8 7 2 2" xfId="40499" xr:uid="{00000000-0005-0000-0000-0000A23F0000}"/>
    <cellStyle name="20% - Accent5 8 7 3" xfId="29198" xr:uid="{00000000-0005-0000-0000-0000A33F0000}"/>
    <cellStyle name="20% - Accent5 8 8" xfId="12247" xr:uid="{00000000-0005-0000-0000-0000A43F0000}"/>
    <cellStyle name="20% - Accent5 8 8 2" xfId="34849" xr:uid="{00000000-0005-0000-0000-0000A53F0000}"/>
    <cellStyle name="20% - Accent5 8 9" xfId="23548" xr:uid="{00000000-0005-0000-0000-0000A63F0000}"/>
    <cellStyle name="20% - Accent5 9" xfId="701" xr:uid="{00000000-0005-0000-0000-0000A73F0000}"/>
    <cellStyle name="20% - Accent5 9 2" xfId="764" xr:uid="{00000000-0005-0000-0000-0000A83F0000}"/>
    <cellStyle name="20% - Accent5 9 2 2" xfId="3171" xr:uid="{00000000-0005-0000-0000-0000A93F0000}"/>
    <cellStyle name="20% - Accent5 9 2 2 2" xfId="6143" xr:uid="{00000000-0005-0000-0000-0000AA3F0000}"/>
    <cellStyle name="20% - Accent5 9 2 2 2 2" xfId="11793" xr:uid="{00000000-0005-0000-0000-0000AB3F0000}"/>
    <cellStyle name="20% - Accent5 9 2 2 2 2 2" xfId="23094" xr:uid="{00000000-0005-0000-0000-0000AC3F0000}"/>
    <cellStyle name="20% - Accent5 9 2 2 2 2 2 2" xfId="45696" xr:uid="{00000000-0005-0000-0000-0000AD3F0000}"/>
    <cellStyle name="20% - Accent5 9 2 2 2 2 3" xfId="34395" xr:uid="{00000000-0005-0000-0000-0000AE3F0000}"/>
    <cellStyle name="20% - Accent5 9 2 2 2 3" xfId="17444" xr:uid="{00000000-0005-0000-0000-0000AF3F0000}"/>
    <cellStyle name="20% - Accent5 9 2 2 2 3 2" xfId="40046" xr:uid="{00000000-0005-0000-0000-0000B03F0000}"/>
    <cellStyle name="20% - Accent5 9 2 2 2 4" xfId="28745" xr:uid="{00000000-0005-0000-0000-0000B13F0000}"/>
    <cellStyle name="20% - Accent5 9 2 2 3" xfId="8961" xr:uid="{00000000-0005-0000-0000-0000B23F0000}"/>
    <cellStyle name="20% - Accent5 9 2 2 3 2" xfId="20262" xr:uid="{00000000-0005-0000-0000-0000B33F0000}"/>
    <cellStyle name="20% - Accent5 9 2 2 3 2 2" xfId="42864" xr:uid="{00000000-0005-0000-0000-0000B43F0000}"/>
    <cellStyle name="20% - Accent5 9 2 2 3 3" xfId="31563" xr:uid="{00000000-0005-0000-0000-0000B53F0000}"/>
    <cellStyle name="20% - Accent5 9 2 2 4" xfId="14612" xr:uid="{00000000-0005-0000-0000-0000B63F0000}"/>
    <cellStyle name="20% - Accent5 9 2 2 4 2" xfId="37214" xr:uid="{00000000-0005-0000-0000-0000B73F0000}"/>
    <cellStyle name="20% - Accent5 9 2 2 5" xfId="25913" xr:uid="{00000000-0005-0000-0000-0000B83F0000}"/>
    <cellStyle name="20% - Accent5 9 2 3" xfId="4909" xr:uid="{00000000-0005-0000-0000-0000B93F0000}"/>
    <cellStyle name="20% - Accent5 9 2 3 2" xfId="10559" xr:uid="{00000000-0005-0000-0000-0000BA3F0000}"/>
    <cellStyle name="20% - Accent5 9 2 3 2 2" xfId="21860" xr:uid="{00000000-0005-0000-0000-0000BB3F0000}"/>
    <cellStyle name="20% - Accent5 9 2 3 2 2 2" xfId="44462" xr:uid="{00000000-0005-0000-0000-0000BC3F0000}"/>
    <cellStyle name="20% - Accent5 9 2 3 2 3" xfId="33161" xr:uid="{00000000-0005-0000-0000-0000BD3F0000}"/>
    <cellStyle name="20% - Accent5 9 2 3 3" xfId="16210" xr:uid="{00000000-0005-0000-0000-0000BE3F0000}"/>
    <cellStyle name="20% - Accent5 9 2 3 3 2" xfId="38812" xr:uid="{00000000-0005-0000-0000-0000BF3F0000}"/>
    <cellStyle name="20% - Accent5 9 2 3 4" xfId="27511" xr:uid="{00000000-0005-0000-0000-0000C03F0000}"/>
    <cellStyle name="20% - Accent5 9 2 4" xfId="6785" xr:uid="{00000000-0005-0000-0000-0000C13F0000}"/>
    <cellStyle name="20% - Accent5 9 2 4 2" xfId="18086" xr:uid="{00000000-0005-0000-0000-0000C23F0000}"/>
    <cellStyle name="20% - Accent5 9 2 4 2 2" xfId="40688" xr:uid="{00000000-0005-0000-0000-0000C33F0000}"/>
    <cellStyle name="20% - Accent5 9 2 4 3" xfId="29387" xr:uid="{00000000-0005-0000-0000-0000C43F0000}"/>
    <cellStyle name="20% - Accent5 9 2 5" xfId="12436" xr:uid="{00000000-0005-0000-0000-0000C53F0000}"/>
    <cellStyle name="20% - Accent5 9 2 5 2" xfId="35038" xr:uid="{00000000-0005-0000-0000-0000C63F0000}"/>
    <cellStyle name="20% - Accent5 9 2 6" xfId="23737" xr:uid="{00000000-0005-0000-0000-0000C73F0000}"/>
    <cellStyle name="20% - Accent5 9 3" xfId="1761" xr:uid="{00000000-0005-0000-0000-0000C83F0000}"/>
    <cellStyle name="20% - Accent5 9 3 2" xfId="3677" xr:uid="{00000000-0005-0000-0000-0000C93F0000}"/>
    <cellStyle name="20% - Accent5 9 3 2 2" xfId="9388" xr:uid="{00000000-0005-0000-0000-0000CA3F0000}"/>
    <cellStyle name="20% - Accent5 9 3 2 2 2" xfId="20689" xr:uid="{00000000-0005-0000-0000-0000CB3F0000}"/>
    <cellStyle name="20% - Accent5 9 3 2 2 2 2" xfId="43291" xr:uid="{00000000-0005-0000-0000-0000CC3F0000}"/>
    <cellStyle name="20% - Accent5 9 3 2 2 3" xfId="31990" xr:uid="{00000000-0005-0000-0000-0000CD3F0000}"/>
    <cellStyle name="20% - Accent5 9 3 2 3" xfId="15039" xr:uid="{00000000-0005-0000-0000-0000CE3F0000}"/>
    <cellStyle name="20% - Accent5 9 3 2 3 2" xfId="37641" xr:uid="{00000000-0005-0000-0000-0000CF3F0000}"/>
    <cellStyle name="20% - Accent5 9 3 2 4" xfId="26340" xr:uid="{00000000-0005-0000-0000-0000D03F0000}"/>
    <cellStyle name="20% - Accent5 9 3 3" xfId="5519" xr:uid="{00000000-0005-0000-0000-0000D13F0000}"/>
    <cellStyle name="20% - Accent5 9 3 3 2" xfId="11169" xr:uid="{00000000-0005-0000-0000-0000D23F0000}"/>
    <cellStyle name="20% - Accent5 9 3 3 2 2" xfId="22470" xr:uid="{00000000-0005-0000-0000-0000D33F0000}"/>
    <cellStyle name="20% - Accent5 9 3 3 2 2 2" xfId="45072" xr:uid="{00000000-0005-0000-0000-0000D43F0000}"/>
    <cellStyle name="20% - Accent5 9 3 3 2 3" xfId="33771" xr:uid="{00000000-0005-0000-0000-0000D53F0000}"/>
    <cellStyle name="20% - Accent5 9 3 3 3" xfId="16820" xr:uid="{00000000-0005-0000-0000-0000D63F0000}"/>
    <cellStyle name="20% - Accent5 9 3 3 3 2" xfId="39422" xr:uid="{00000000-0005-0000-0000-0000D73F0000}"/>
    <cellStyle name="20% - Accent5 9 3 3 4" xfId="28121" xr:uid="{00000000-0005-0000-0000-0000D83F0000}"/>
    <cellStyle name="20% - Accent5 9 3 4" xfId="7617" xr:uid="{00000000-0005-0000-0000-0000D93F0000}"/>
    <cellStyle name="20% - Accent5 9 3 4 2" xfId="18918" xr:uid="{00000000-0005-0000-0000-0000DA3F0000}"/>
    <cellStyle name="20% - Accent5 9 3 4 2 2" xfId="41520" xr:uid="{00000000-0005-0000-0000-0000DB3F0000}"/>
    <cellStyle name="20% - Accent5 9 3 4 3" xfId="30219" xr:uid="{00000000-0005-0000-0000-0000DC3F0000}"/>
    <cellStyle name="20% - Accent5 9 3 5" xfId="13268" xr:uid="{00000000-0005-0000-0000-0000DD3F0000}"/>
    <cellStyle name="20% - Accent5 9 3 5 2" xfId="35870" xr:uid="{00000000-0005-0000-0000-0000DE3F0000}"/>
    <cellStyle name="20% - Accent5 9 3 6" xfId="24569" xr:uid="{00000000-0005-0000-0000-0000DF3F0000}"/>
    <cellStyle name="20% - Accent5 9 4" xfId="2500" xr:uid="{00000000-0005-0000-0000-0000E03F0000}"/>
    <cellStyle name="20% - Accent5 9 4 2" xfId="8336" xr:uid="{00000000-0005-0000-0000-0000E13F0000}"/>
    <cellStyle name="20% - Accent5 9 4 2 2" xfId="19637" xr:uid="{00000000-0005-0000-0000-0000E23F0000}"/>
    <cellStyle name="20% - Accent5 9 4 2 2 2" xfId="42239" xr:uid="{00000000-0005-0000-0000-0000E33F0000}"/>
    <cellStyle name="20% - Accent5 9 4 2 3" xfId="30938" xr:uid="{00000000-0005-0000-0000-0000E43F0000}"/>
    <cellStyle name="20% - Accent5 9 4 3" xfId="13987" xr:uid="{00000000-0005-0000-0000-0000E53F0000}"/>
    <cellStyle name="20% - Accent5 9 4 3 2" xfId="36589" xr:uid="{00000000-0005-0000-0000-0000E63F0000}"/>
    <cellStyle name="20% - Accent5 9 4 4" xfId="25288" xr:uid="{00000000-0005-0000-0000-0000E73F0000}"/>
    <cellStyle name="20% - Accent5 9 5" xfId="4285" xr:uid="{00000000-0005-0000-0000-0000E83F0000}"/>
    <cellStyle name="20% - Accent5 9 5 2" xfId="9935" xr:uid="{00000000-0005-0000-0000-0000E93F0000}"/>
    <cellStyle name="20% - Accent5 9 5 2 2" xfId="21236" xr:uid="{00000000-0005-0000-0000-0000EA3F0000}"/>
    <cellStyle name="20% - Accent5 9 5 2 2 2" xfId="43838" xr:uid="{00000000-0005-0000-0000-0000EB3F0000}"/>
    <cellStyle name="20% - Accent5 9 5 2 3" xfId="32537" xr:uid="{00000000-0005-0000-0000-0000EC3F0000}"/>
    <cellStyle name="20% - Accent5 9 5 3" xfId="15586" xr:uid="{00000000-0005-0000-0000-0000ED3F0000}"/>
    <cellStyle name="20% - Accent5 9 5 3 2" xfId="38188" xr:uid="{00000000-0005-0000-0000-0000EE3F0000}"/>
    <cellStyle name="20% - Accent5 9 5 4" xfId="26887" xr:uid="{00000000-0005-0000-0000-0000EF3F0000}"/>
    <cellStyle name="20% - Accent5 9 6" xfId="6764" xr:uid="{00000000-0005-0000-0000-0000F03F0000}"/>
    <cellStyle name="20% - Accent5 9 6 2" xfId="18065" xr:uid="{00000000-0005-0000-0000-0000F13F0000}"/>
    <cellStyle name="20% - Accent5 9 6 2 2" xfId="40667" xr:uid="{00000000-0005-0000-0000-0000F23F0000}"/>
    <cellStyle name="20% - Accent5 9 6 3" xfId="29366" xr:uid="{00000000-0005-0000-0000-0000F33F0000}"/>
    <cellStyle name="20% - Accent5 9 7" xfId="12415" xr:uid="{00000000-0005-0000-0000-0000F43F0000}"/>
    <cellStyle name="20% - Accent5 9 7 2" xfId="35017" xr:uid="{00000000-0005-0000-0000-0000F53F0000}"/>
    <cellStyle name="20% - Accent5 9 8" xfId="23716" xr:uid="{00000000-0005-0000-0000-0000F63F0000}"/>
    <cellStyle name="20% - Accent6" xfId="39" builtinId="50" customBuiltin="1"/>
    <cellStyle name="20% - Accent6 10" xfId="834" xr:uid="{00000000-0005-0000-0000-0000F83F0000}"/>
    <cellStyle name="20% - Accent6 10 2" xfId="1762" xr:uid="{00000000-0005-0000-0000-0000F93F0000}"/>
    <cellStyle name="20% - Accent6 10 2 2" xfId="3474" xr:uid="{00000000-0005-0000-0000-0000FA3F0000}"/>
    <cellStyle name="20% - Accent6 10 2 2 2" xfId="6446" xr:uid="{00000000-0005-0000-0000-0000FB3F0000}"/>
    <cellStyle name="20% - Accent6 10 2 2 2 2" xfId="12096" xr:uid="{00000000-0005-0000-0000-0000FC3F0000}"/>
    <cellStyle name="20% - Accent6 10 2 2 2 2 2" xfId="23397" xr:uid="{00000000-0005-0000-0000-0000FD3F0000}"/>
    <cellStyle name="20% - Accent6 10 2 2 2 2 2 2" xfId="45999" xr:uid="{00000000-0005-0000-0000-0000FE3F0000}"/>
    <cellStyle name="20% - Accent6 10 2 2 2 2 3" xfId="34698" xr:uid="{00000000-0005-0000-0000-0000FF3F0000}"/>
    <cellStyle name="20% - Accent6 10 2 2 2 3" xfId="17747" xr:uid="{00000000-0005-0000-0000-000000400000}"/>
    <cellStyle name="20% - Accent6 10 2 2 2 3 2" xfId="40349" xr:uid="{00000000-0005-0000-0000-000001400000}"/>
    <cellStyle name="20% - Accent6 10 2 2 2 4" xfId="29048" xr:uid="{00000000-0005-0000-0000-000002400000}"/>
    <cellStyle name="20% - Accent6 10 2 2 3" xfId="9264" xr:uid="{00000000-0005-0000-0000-000003400000}"/>
    <cellStyle name="20% - Accent6 10 2 2 3 2" xfId="20565" xr:uid="{00000000-0005-0000-0000-000004400000}"/>
    <cellStyle name="20% - Accent6 10 2 2 3 2 2" xfId="43167" xr:uid="{00000000-0005-0000-0000-000005400000}"/>
    <cellStyle name="20% - Accent6 10 2 2 3 3" xfId="31866" xr:uid="{00000000-0005-0000-0000-000006400000}"/>
    <cellStyle name="20% - Accent6 10 2 2 4" xfId="14915" xr:uid="{00000000-0005-0000-0000-000007400000}"/>
    <cellStyle name="20% - Accent6 10 2 2 4 2" xfId="37517" xr:uid="{00000000-0005-0000-0000-000008400000}"/>
    <cellStyle name="20% - Accent6 10 2 2 5" xfId="26216" xr:uid="{00000000-0005-0000-0000-000009400000}"/>
    <cellStyle name="20% - Accent6 10 2 3" xfId="5212" xr:uid="{00000000-0005-0000-0000-00000A400000}"/>
    <cellStyle name="20% - Accent6 10 2 3 2" xfId="10862" xr:uid="{00000000-0005-0000-0000-00000B400000}"/>
    <cellStyle name="20% - Accent6 10 2 3 2 2" xfId="22163" xr:uid="{00000000-0005-0000-0000-00000C400000}"/>
    <cellStyle name="20% - Accent6 10 2 3 2 2 2" xfId="44765" xr:uid="{00000000-0005-0000-0000-00000D400000}"/>
    <cellStyle name="20% - Accent6 10 2 3 2 3" xfId="33464" xr:uid="{00000000-0005-0000-0000-00000E400000}"/>
    <cellStyle name="20% - Accent6 10 2 3 3" xfId="16513" xr:uid="{00000000-0005-0000-0000-00000F400000}"/>
    <cellStyle name="20% - Accent6 10 2 3 3 2" xfId="39115" xr:uid="{00000000-0005-0000-0000-000010400000}"/>
    <cellStyle name="20% - Accent6 10 2 3 4" xfId="27814" xr:uid="{00000000-0005-0000-0000-000011400000}"/>
    <cellStyle name="20% - Accent6 10 2 4" xfId="7618" xr:uid="{00000000-0005-0000-0000-000012400000}"/>
    <cellStyle name="20% - Accent6 10 2 4 2" xfId="18919" xr:uid="{00000000-0005-0000-0000-000013400000}"/>
    <cellStyle name="20% - Accent6 10 2 4 2 2" xfId="41521" xr:uid="{00000000-0005-0000-0000-000014400000}"/>
    <cellStyle name="20% - Accent6 10 2 4 3" xfId="30220" xr:uid="{00000000-0005-0000-0000-000015400000}"/>
    <cellStyle name="20% - Accent6 10 2 5" xfId="13269" xr:uid="{00000000-0005-0000-0000-000016400000}"/>
    <cellStyle name="20% - Accent6 10 2 5 2" xfId="35871" xr:uid="{00000000-0005-0000-0000-000017400000}"/>
    <cellStyle name="20% - Accent6 10 2 6" xfId="24570" xr:uid="{00000000-0005-0000-0000-000018400000}"/>
    <cellStyle name="20% - Accent6 10 3" xfId="2805" xr:uid="{00000000-0005-0000-0000-000019400000}"/>
    <cellStyle name="20% - Accent6 10 3 2" xfId="5822" xr:uid="{00000000-0005-0000-0000-00001A400000}"/>
    <cellStyle name="20% - Accent6 10 3 2 2" xfId="11472" xr:uid="{00000000-0005-0000-0000-00001B400000}"/>
    <cellStyle name="20% - Accent6 10 3 2 2 2" xfId="22773" xr:uid="{00000000-0005-0000-0000-00001C400000}"/>
    <cellStyle name="20% - Accent6 10 3 2 2 2 2" xfId="45375" xr:uid="{00000000-0005-0000-0000-00001D400000}"/>
    <cellStyle name="20% - Accent6 10 3 2 2 3" xfId="34074" xr:uid="{00000000-0005-0000-0000-00001E400000}"/>
    <cellStyle name="20% - Accent6 10 3 2 3" xfId="17123" xr:uid="{00000000-0005-0000-0000-00001F400000}"/>
    <cellStyle name="20% - Accent6 10 3 2 3 2" xfId="39725" xr:uid="{00000000-0005-0000-0000-000020400000}"/>
    <cellStyle name="20% - Accent6 10 3 2 4" xfId="28424" xr:uid="{00000000-0005-0000-0000-000021400000}"/>
    <cellStyle name="20% - Accent6 10 3 3" xfId="8639" xr:uid="{00000000-0005-0000-0000-000022400000}"/>
    <cellStyle name="20% - Accent6 10 3 3 2" xfId="19940" xr:uid="{00000000-0005-0000-0000-000023400000}"/>
    <cellStyle name="20% - Accent6 10 3 3 2 2" xfId="42542" xr:uid="{00000000-0005-0000-0000-000024400000}"/>
    <cellStyle name="20% - Accent6 10 3 3 3" xfId="31241" xr:uid="{00000000-0005-0000-0000-000025400000}"/>
    <cellStyle name="20% - Accent6 10 3 4" xfId="14290" xr:uid="{00000000-0005-0000-0000-000026400000}"/>
    <cellStyle name="20% - Accent6 10 3 4 2" xfId="36892" xr:uid="{00000000-0005-0000-0000-000027400000}"/>
    <cellStyle name="20% - Accent6 10 3 5" xfId="25591" xr:uid="{00000000-0005-0000-0000-000028400000}"/>
    <cellStyle name="20% - Accent6 10 4" xfId="4588" xr:uid="{00000000-0005-0000-0000-000029400000}"/>
    <cellStyle name="20% - Accent6 10 4 2" xfId="10238" xr:uid="{00000000-0005-0000-0000-00002A400000}"/>
    <cellStyle name="20% - Accent6 10 4 2 2" xfId="21539" xr:uid="{00000000-0005-0000-0000-00002B400000}"/>
    <cellStyle name="20% - Accent6 10 4 2 2 2" xfId="44141" xr:uid="{00000000-0005-0000-0000-00002C400000}"/>
    <cellStyle name="20% - Accent6 10 4 2 3" xfId="32840" xr:uid="{00000000-0005-0000-0000-00002D400000}"/>
    <cellStyle name="20% - Accent6 10 4 3" xfId="15889" xr:uid="{00000000-0005-0000-0000-00002E400000}"/>
    <cellStyle name="20% - Accent6 10 4 3 2" xfId="38491" xr:uid="{00000000-0005-0000-0000-00002F400000}"/>
    <cellStyle name="20% - Accent6 10 4 4" xfId="27190" xr:uid="{00000000-0005-0000-0000-000030400000}"/>
    <cellStyle name="20% - Accent6 10 5" xfId="6839" xr:uid="{00000000-0005-0000-0000-000031400000}"/>
    <cellStyle name="20% - Accent6 10 5 2" xfId="18140" xr:uid="{00000000-0005-0000-0000-000032400000}"/>
    <cellStyle name="20% - Accent6 10 5 2 2" xfId="40742" xr:uid="{00000000-0005-0000-0000-000033400000}"/>
    <cellStyle name="20% - Accent6 10 5 3" xfId="29441" xr:uid="{00000000-0005-0000-0000-000034400000}"/>
    <cellStyle name="20% - Accent6 10 6" xfId="12490" xr:uid="{00000000-0005-0000-0000-000035400000}"/>
    <cellStyle name="20% - Accent6 10 6 2" xfId="35092" xr:uid="{00000000-0005-0000-0000-000036400000}"/>
    <cellStyle name="20% - Accent6 10 7" xfId="23791" xr:uid="{00000000-0005-0000-0000-000037400000}"/>
    <cellStyle name="20% - Accent6 11" xfId="828" xr:uid="{00000000-0005-0000-0000-000038400000}"/>
    <cellStyle name="20% - Accent6 11 2" xfId="1763" xr:uid="{00000000-0005-0000-0000-000039400000}"/>
    <cellStyle name="20% - Accent6 11 2 2" xfId="3678" xr:uid="{00000000-0005-0000-0000-00003A400000}"/>
    <cellStyle name="20% - Accent6 11 2 2 2" xfId="9389" xr:uid="{00000000-0005-0000-0000-00003B400000}"/>
    <cellStyle name="20% - Accent6 11 2 2 2 2" xfId="20690" xr:uid="{00000000-0005-0000-0000-00003C400000}"/>
    <cellStyle name="20% - Accent6 11 2 2 2 2 2" xfId="43292" xr:uid="{00000000-0005-0000-0000-00003D400000}"/>
    <cellStyle name="20% - Accent6 11 2 2 2 3" xfId="31991" xr:uid="{00000000-0005-0000-0000-00003E400000}"/>
    <cellStyle name="20% - Accent6 11 2 2 3" xfId="15040" xr:uid="{00000000-0005-0000-0000-00003F400000}"/>
    <cellStyle name="20% - Accent6 11 2 2 3 2" xfId="37642" xr:uid="{00000000-0005-0000-0000-000040400000}"/>
    <cellStyle name="20% - Accent6 11 2 2 4" xfId="26341" xr:uid="{00000000-0005-0000-0000-000041400000}"/>
    <cellStyle name="20% - Accent6 11 2 3" xfId="7619" xr:uid="{00000000-0005-0000-0000-000042400000}"/>
    <cellStyle name="20% - Accent6 11 2 3 2" xfId="18920" xr:uid="{00000000-0005-0000-0000-000043400000}"/>
    <cellStyle name="20% - Accent6 11 2 3 2 2" xfId="41522" xr:uid="{00000000-0005-0000-0000-000044400000}"/>
    <cellStyle name="20% - Accent6 11 2 3 3" xfId="30221" xr:uid="{00000000-0005-0000-0000-000045400000}"/>
    <cellStyle name="20% - Accent6 11 2 4" xfId="13270" xr:uid="{00000000-0005-0000-0000-000046400000}"/>
    <cellStyle name="20% - Accent6 11 2 4 2" xfId="35872" xr:uid="{00000000-0005-0000-0000-000047400000}"/>
    <cellStyle name="20% - Accent6 11 2 5" xfId="24571" xr:uid="{00000000-0005-0000-0000-000048400000}"/>
    <cellStyle name="20% - Accent6 11 3" xfId="2184" xr:uid="{00000000-0005-0000-0000-000049400000}"/>
    <cellStyle name="20% - Accent6 11 3 2" xfId="8028" xr:uid="{00000000-0005-0000-0000-00004A400000}"/>
    <cellStyle name="20% - Accent6 11 3 2 2" xfId="19329" xr:uid="{00000000-0005-0000-0000-00004B400000}"/>
    <cellStyle name="20% - Accent6 11 3 2 2 2" xfId="41931" xr:uid="{00000000-0005-0000-0000-00004C400000}"/>
    <cellStyle name="20% - Accent6 11 3 2 3" xfId="30630" xr:uid="{00000000-0005-0000-0000-00004D400000}"/>
    <cellStyle name="20% - Accent6 11 3 3" xfId="13679" xr:uid="{00000000-0005-0000-0000-00004E400000}"/>
    <cellStyle name="20% - Accent6 11 3 3 2" xfId="36281" xr:uid="{00000000-0005-0000-0000-00004F400000}"/>
    <cellStyle name="20% - Accent6 11 3 4" xfId="24980" xr:uid="{00000000-0005-0000-0000-000050400000}"/>
    <cellStyle name="20% - Accent6 11 4" xfId="3980" xr:uid="{00000000-0005-0000-0000-000051400000}"/>
    <cellStyle name="20% - Accent6 11 4 2" xfId="9630" xr:uid="{00000000-0005-0000-0000-000052400000}"/>
    <cellStyle name="20% - Accent6 11 4 2 2" xfId="20931" xr:uid="{00000000-0005-0000-0000-000053400000}"/>
    <cellStyle name="20% - Accent6 11 4 2 2 2" xfId="43533" xr:uid="{00000000-0005-0000-0000-000054400000}"/>
    <cellStyle name="20% - Accent6 11 4 2 3" xfId="32232" xr:uid="{00000000-0005-0000-0000-000055400000}"/>
    <cellStyle name="20% - Accent6 11 4 3" xfId="15281" xr:uid="{00000000-0005-0000-0000-000056400000}"/>
    <cellStyle name="20% - Accent6 11 4 3 2" xfId="37883" xr:uid="{00000000-0005-0000-0000-000057400000}"/>
    <cellStyle name="20% - Accent6 11 4 4" xfId="26582" xr:uid="{00000000-0005-0000-0000-000058400000}"/>
    <cellStyle name="20% - Accent6 11 5" xfId="6834" xr:uid="{00000000-0005-0000-0000-000059400000}"/>
    <cellStyle name="20% - Accent6 11 5 2" xfId="18135" xr:uid="{00000000-0005-0000-0000-00005A400000}"/>
    <cellStyle name="20% - Accent6 11 5 2 2" xfId="40737" xr:uid="{00000000-0005-0000-0000-00005B400000}"/>
    <cellStyle name="20% - Accent6 11 5 3" xfId="29436" xr:uid="{00000000-0005-0000-0000-00005C400000}"/>
    <cellStyle name="20% - Accent6 11 6" xfId="12485" xr:uid="{00000000-0005-0000-0000-00005D400000}"/>
    <cellStyle name="20% - Accent6 11 6 2" xfId="35087" xr:uid="{00000000-0005-0000-0000-00005E400000}"/>
    <cellStyle name="20% - Accent6 11 7" xfId="23786" xr:uid="{00000000-0005-0000-0000-00005F400000}"/>
    <cellStyle name="20% - Accent6 12" xfId="1423" xr:uid="{00000000-0005-0000-0000-000060400000}"/>
    <cellStyle name="20% - Accent6 12 2" xfId="3945" xr:uid="{00000000-0005-0000-0000-000061400000}"/>
    <cellStyle name="20% - Accent6 12 2 2" xfId="9614" xr:uid="{00000000-0005-0000-0000-000062400000}"/>
    <cellStyle name="20% - Accent6 12 2 2 2" xfId="20915" xr:uid="{00000000-0005-0000-0000-000063400000}"/>
    <cellStyle name="20% - Accent6 12 2 2 2 2" xfId="43517" xr:uid="{00000000-0005-0000-0000-000064400000}"/>
    <cellStyle name="20% - Accent6 12 2 2 3" xfId="32216" xr:uid="{00000000-0005-0000-0000-000065400000}"/>
    <cellStyle name="20% - Accent6 12 2 3" xfId="15265" xr:uid="{00000000-0005-0000-0000-000066400000}"/>
    <cellStyle name="20% - Accent6 12 2 3 2" xfId="37867" xr:uid="{00000000-0005-0000-0000-000067400000}"/>
    <cellStyle name="20% - Accent6 12 2 4" xfId="26566" xr:uid="{00000000-0005-0000-0000-000068400000}"/>
    <cellStyle name="20% - Accent6 13" xfId="3505" xr:uid="{00000000-0005-0000-0000-000069400000}"/>
    <cellStyle name="20% - Accent6 14" xfId="108" xr:uid="{00000000-0005-0000-0000-00006A400000}"/>
    <cellStyle name="20% - Accent6 2" xfId="56" xr:uid="{00000000-0005-0000-0000-00006B400000}"/>
    <cellStyle name="20% - Accent6 2 2" xfId="284" xr:uid="{00000000-0005-0000-0000-00006C400000}"/>
    <cellStyle name="20% - Accent6 2 2 10" xfId="23445" xr:uid="{00000000-0005-0000-0000-00006D400000}"/>
    <cellStyle name="20% - Accent6 2 2 2" xfId="594" xr:uid="{00000000-0005-0000-0000-00006E400000}"/>
    <cellStyle name="20% - Accent6 2 2 2 2" xfId="1305" xr:uid="{00000000-0005-0000-0000-00006F400000}"/>
    <cellStyle name="20% - Accent6 2 2 2 2 2" xfId="1766" xr:uid="{00000000-0005-0000-0000-000070400000}"/>
    <cellStyle name="20% - Accent6 2 2 2 2 2 2" xfId="3374" xr:uid="{00000000-0005-0000-0000-000071400000}"/>
    <cellStyle name="20% - Accent6 2 2 2 2 2 2 2" xfId="6346" xr:uid="{00000000-0005-0000-0000-000072400000}"/>
    <cellStyle name="20% - Accent6 2 2 2 2 2 2 2 2" xfId="11996" xr:uid="{00000000-0005-0000-0000-000073400000}"/>
    <cellStyle name="20% - Accent6 2 2 2 2 2 2 2 2 2" xfId="23297" xr:uid="{00000000-0005-0000-0000-000074400000}"/>
    <cellStyle name="20% - Accent6 2 2 2 2 2 2 2 2 2 2" xfId="45899" xr:uid="{00000000-0005-0000-0000-000075400000}"/>
    <cellStyle name="20% - Accent6 2 2 2 2 2 2 2 2 3" xfId="34598" xr:uid="{00000000-0005-0000-0000-000076400000}"/>
    <cellStyle name="20% - Accent6 2 2 2 2 2 2 2 3" xfId="17647" xr:uid="{00000000-0005-0000-0000-000077400000}"/>
    <cellStyle name="20% - Accent6 2 2 2 2 2 2 2 3 2" xfId="40249" xr:uid="{00000000-0005-0000-0000-000078400000}"/>
    <cellStyle name="20% - Accent6 2 2 2 2 2 2 2 4" xfId="28948" xr:uid="{00000000-0005-0000-0000-000079400000}"/>
    <cellStyle name="20% - Accent6 2 2 2 2 2 2 3" xfId="9164" xr:uid="{00000000-0005-0000-0000-00007A400000}"/>
    <cellStyle name="20% - Accent6 2 2 2 2 2 2 3 2" xfId="20465" xr:uid="{00000000-0005-0000-0000-00007B400000}"/>
    <cellStyle name="20% - Accent6 2 2 2 2 2 2 3 2 2" xfId="43067" xr:uid="{00000000-0005-0000-0000-00007C400000}"/>
    <cellStyle name="20% - Accent6 2 2 2 2 2 2 3 3" xfId="31766" xr:uid="{00000000-0005-0000-0000-00007D400000}"/>
    <cellStyle name="20% - Accent6 2 2 2 2 2 2 4" xfId="14815" xr:uid="{00000000-0005-0000-0000-00007E400000}"/>
    <cellStyle name="20% - Accent6 2 2 2 2 2 2 4 2" xfId="37417" xr:uid="{00000000-0005-0000-0000-00007F400000}"/>
    <cellStyle name="20% - Accent6 2 2 2 2 2 2 5" xfId="26116" xr:uid="{00000000-0005-0000-0000-000080400000}"/>
    <cellStyle name="20% - Accent6 2 2 2 2 2 3" xfId="5112" xr:uid="{00000000-0005-0000-0000-000081400000}"/>
    <cellStyle name="20% - Accent6 2 2 2 2 2 3 2" xfId="10762" xr:uid="{00000000-0005-0000-0000-000082400000}"/>
    <cellStyle name="20% - Accent6 2 2 2 2 2 3 2 2" xfId="22063" xr:uid="{00000000-0005-0000-0000-000083400000}"/>
    <cellStyle name="20% - Accent6 2 2 2 2 2 3 2 2 2" xfId="44665" xr:uid="{00000000-0005-0000-0000-000084400000}"/>
    <cellStyle name="20% - Accent6 2 2 2 2 2 3 2 3" xfId="33364" xr:uid="{00000000-0005-0000-0000-000085400000}"/>
    <cellStyle name="20% - Accent6 2 2 2 2 2 3 3" xfId="16413" xr:uid="{00000000-0005-0000-0000-000086400000}"/>
    <cellStyle name="20% - Accent6 2 2 2 2 2 3 3 2" xfId="39015" xr:uid="{00000000-0005-0000-0000-000087400000}"/>
    <cellStyle name="20% - Accent6 2 2 2 2 2 3 4" xfId="27714" xr:uid="{00000000-0005-0000-0000-000088400000}"/>
    <cellStyle name="20% - Accent6 2 2 2 2 2 4" xfId="7622" xr:uid="{00000000-0005-0000-0000-000089400000}"/>
    <cellStyle name="20% - Accent6 2 2 2 2 2 4 2" xfId="18923" xr:uid="{00000000-0005-0000-0000-00008A400000}"/>
    <cellStyle name="20% - Accent6 2 2 2 2 2 4 2 2" xfId="41525" xr:uid="{00000000-0005-0000-0000-00008B400000}"/>
    <cellStyle name="20% - Accent6 2 2 2 2 2 4 3" xfId="30224" xr:uid="{00000000-0005-0000-0000-00008C400000}"/>
    <cellStyle name="20% - Accent6 2 2 2 2 2 5" xfId="13273" xr:uid="{00000000-0005-0000-0000-00008D400000}"/>
    <cellStyle name="20% - Accent6 2 2 2 2 2 5 2" xfId="35875" xr:uid="{00000000-0005-0000-0000-00008E400000}"/>
    <cellStyle name="20% - Accent6 2 2 2 2 2 6" xfId="24574" xr:uid="{00000000-0005-0000-0000-00008F400000}"/>
    <cellStyle name="20% - Accent6 2 2 2 2 3" xfId="2703" xr:uid="{00000000-0005-0000-0000-000090400000}"/>
    <cellStyle name="20% - Accent6 2 2 2 2 3 2" xfId="5722" xr:uid="{00000000-0005-0000-0000-000091400000}"/>
    <cellStyle name="20% - Accent6 2 2 2 2 3 2 2" xfId="11372" xr:uid="{00000000-0005-0000-0000-000092400000}"/>
    <cellStyle name="20% - Accent6 2 2 2 2 3 2 2 2" xfId="22673" xr:uid="{00000000-0005-0000-0000-000093400000}"/>
    <cellStyle name="20% - Accent6 2 2 2 2 3 2 2 2 2" xfId="45275" xr:uid="{00000000-0005-0000-0000-000094400000}"/>
    <cellStyle name="20% - Accent6 2 2 2 2 3 2 2 3" xfId="33974" xr:uid="{00000000-0005-0000-0000-000095400000}"/>
    <cellStyle name="20% - Accent6 2 2 2 2 3 2 3" xfId="17023" xr:uid="{00000000-0005-0000-0000-000096400000}"/>
    <cellStyle name="20% - Accent6 2 2 2 2 3 2 3 2" xfId="39625" xr:uid="{00000000-0005-0000-0000-000097400000}"/>
    <cellStyle name="20% - Accent6 2 2 2 2 3 2 4" xfId="28324" xr:uid="{00000000-0005-0000-0000-000098400000}"/>
    <cellStyle name="20% - Accent6 2 2 2 2 3 3" xfId="8539" xr:uid="{00000000-0005-0000-0000-000099400000}"/>
    <cellStyle name="20% - Accent6 2 2 2 2 3 3 2" xfId="19840" xr:uid="{00000000-0005-0000-0000-00009A400000}"/>
    <cellStyle name="20% - Accent6 2 2 2 2 3 3 2 2" xfId="42442" xr:uid="{00000000-0005-0000-0000-00009B400000}"/>
    <cellStyle name="20% - Accent6 2 2 2 2 3 3 3" xfId="31141" xr:uid="{00000000-0005-0000-0000-00009C400000}"/>
    <cellStyle name="20% - Accent6 2 2 2 2 3 4" xfId="14190" xr:uid="{00000000-0005-0000-0000-00009D400000}"/>
    <cellStyle name="20% - Accent6 2 2 2 2 3 4 2" xfId="36792" xr:uid="{00000000-0005-0000-0000-00009E400000}"/>
    <cellStyle name="20% - Accent6 2 2 2 2 3 5" xfId="25491" xr:uid="{00000000-0005-0000-0000-00009F400000}"/>
    <cellStyle name="20% - Accent6 2 2 2 2 4" xfId="4488" xr:uid="{00000000-0005-0000-0000-0000A0400000}"/>
    <cellStyle name="20% - Accent6 2 2 2 2 4 2" xfId="10138" xr:uid="{00000000-0005-0000-0000-0000A1400000}"/>
    <cellStyle name="20% - Accent6 2 2 2 2 4 2 2" xfId="21439" xr:uid="{00000000-0005-0000-0000-0000A2400000}"/>
    <cellStyle name="20% - Accent6 2 2 2 2 4 2 2 2" xfId="44041" xr:uid="{00000000-0005-0000-0000-0000A3400000}"/>
    <cellStyle name="20% - Accent6 2 2 2 2 4 2 3" xfId="32740" xr:uid="{00000000-0005-0000-0000-0000A4400000}"/>
    <cellStyle name="20% - Accent6 2 2 2 2 4 3" xfId="15789" xr:uid="{00000000-0005-0000-0000-0000A5400000}"/>
    <cellStyle name="20% - Accent6 2 2 2 2 4 3 2" xfId="38391" xr:uid="{00000000-0005-0000-0000-0000A6400000}"/>
    <cellStyle name="20% - Accent6 2 2 2 2 4 4" xfId="27090" xr:uid="{00000000-0005-0000-0000-0000A7400000}"/>
    <cellStyle name="20% - Accent6 2 2 2 2 5" xfId="7284" xr:uid="{00000000-0005-0000-0000-0000A8400000}"/>
    <cellStyle name="20% - Accent6 2 2 2 2 5 2" xfId="18585" xr:uid="{00000000-0005-0000-0000-0000A9400000}"/>
    <cellStyle name="20% - Accent6 2 2 2 2 5 2 2" xfId="41187" xr:uid="{00000000-0005-0000-0000-0000AA400000}"/>
    <cellStyle name="20% - Accent6 2 2 2 2 5 3" xfId="29886" xr:uid="{00000000-0005-0000-0000-0000AB400000}"/>
    <cellStyle name="20% - Accent6 2 2 2 2 6" xfId="12935" xr:uid="{00000000-0005-0000-0000-0000AC400000}"/>
    <cellStyle name="20% - Accent6 2 2 2 2 6 2" xfId="35537" xr:uid="{00000000-0005-0000-0000-0000AD400000}"/>
    <cellStyle name="20% - Accent6 2 2 2 2 7" xfId="24236" xr:uid="{00000000-0005-0000-0000-0000AE400000}"/>
    <cellStyle name="20% - Accent6 2 2 2 3" xfId="1003" xr:uid="{00000000-0005-0000-0000-0000AF400000}"/>
    <cellStyle name="20% - Accent6 2 2 2 3 2" xfId="3066" xr:uid="{00000000-0005-0000-0000-0000B0400000}"/>
    <cellStyle name="20% - Accent6 2 2 2 3 2 2" xfId="6038" xr:uid="{00000000-0005-0000-0000-0000B1400000}"/>
    <cellStyle name="20% - Accent6 2 2 2 3 2 2 2" xfId="11688" xr:uid="{00000000-0005-0000-0000-0000B2400000}"/>
    <cellStyle name="20% - Accent6 2 2 2 3 2 2 2 2" xfId="22989" xr:uid="{00000000-0005-0000-0000-0000B3400000}"/>
    <cellStyle name="20% - Accent6 2 2 2 3 2 2 2 2 2" xfId="45591" xr:uid="{00000000-0005-0000-0000-0000B4400000}"/>
    <cellStyle name="20% - Accent6 2 2 2 3 2 2 2 3" xfId="34290" xr:uid="{00000000-0005-0000-0000-0000B5400000}"/>
    <cellStyle name="20% - Accent6 2 2 2 3 2 2 3" xfId="17339" xr:uid="{00000000-0005-0000-0000-0000B6400000}"/>
    <cellStyle name="20% - Accent6 2 2 2 3 2 2 3 2" xfId="39941" xr:uid="{00000000-0005-0000-0000-0000B7400000}"/>
    <cellStyle name="20% - Accent6 2 2 2 3 2 2 4" xfId="28640" xr:uid="{00000000-0005-0000-0000-0000B8400000}"/>
    <cellStyle name="20% - Accent6 2 2 2 3 2 3" xfId="8856" xr:uid="{00000000-0005-0000-0000-0000B9400000}"/>
    <cellStyle name="20% - Accent6 2 2 2 3 2 3 2" xfId="20157" xr:uid="{00000000-0005-0000-0000-0000BA400000}"/>
    <cellStyle name="20% - Accent6 2 2 2 3 2 3 2 2" xfId="42759" xr:uid="{00000000-0005-0000-0000-0000BB400000}"/>
    <cellStyle name="20% - Accent6 2 2 2 3 2 3 3" xfId="31458" xr:uid="{00000000-0005-0000-0000-0000BC400000}"/>
    <cellStyle name="20% - Accent6 2 2 2 3 2 4" xfId="14507" xr:uid="{00000000-0005-0000-0000-0000BD400000}"/>
    <cellStyle name="20% - Accent6 2 2 2 3 2 4 2" xfId="37109" xr:uid="{00000000-0005-0000-0000-0000BE400000}"/>
    <cellStyle name="20% - Accent6 2 2 2 3 2 5" xfId="25808" xr:uid="{00000000-0005-0000-0000-0000BF400000}"/>
    <cellStyle name="20% - Accent6 2 2 2 3 3" xfId="4804" xr:uid="{00000000-0005-0000-0000-0000C0400000}"/>
    <cellStyle name="20% - Accent6 2 2 2 3 3 2" xfId="10454" xr:uid="{00000000-0005-0000-0000-0000C1400000}"/>
    <cellStyle name="20% - Accent6 2 2 2 3 3 2 2" xfId="21755" xr:uid="{00000000-0005-0000-0000-0000C2400000}"/>
    <cellStyle name="20% - Accent6 2 2 2 3 3 2 2 2" xfId="44357" xr:uid="{00000000-0005-0000-0000-0000C3400000}"/>
    <cellStyle name="20% - Accent6 2 2 2 3 3 2 3" xfId="33056" xr:uid="{00000000-0005-0000-0000-0000C4400000}"/>
    <cellStyle name="20% - Accent6 2 2 2 3 3 3" xfId="16105" xr:uid="{00000000-0005-0000-0000-0000C5400000}"/>
    <cellStyle name="20% - Accent6 2 2 2 3 3 3 2" xfId="38707" xr:uid="{00000000-0005-0000-0000-0000C6400000}"/>
    <cellStyle name="20% - Accent6 2 2 2 3 3 4" xfId="27406" xr:uid="{00000000-0005-0000-0000-0000C7400000}"/>
    <cellStyle name="20% - Accent6 2 2 2 3 4" xfId="6991" xr:uid="{00000000-0005-0000-0000-0000C8400000}"/>
    <cellStyle name="20% - Accent6 2 2 2 3 4 2" xfId="18292" xr:uid="{00000000-0005-0000-0000-0000C9400000}"/>
    <cellStyle name="20% - Accent6 2 2 2 3 4 2 2" xfId="40894" xr:uid="{00000000-0005-0000-0000-0000CA400000}"/>
    <cellStyle name="20% - Accent6 2 2 2 3 4 3" xfId="29593" xr:uid="{00000000-0005-0000-0000-0000CB400000}"/>
    <cellStyle name="20% - Accent6 2 2 2 3 5" xfId="12642" xr:uid="{00000000-0005-0000-0000-0000CC400000}"/>
    <cellStyle name="20% - Accent6 2 2 2 3 5 2" xfId="35244" xr:uid="{00000000-0005-0000-0000-0000CD400000}"/>
    <cellStyle name="20% - Accent6 2 2 2 3 6" xfId="23943" xr:uid="{00000000-0005-0000-0000-0000CE400000}"/>
    <cellStyle name="20% - Accent6 2 2 2 4" xfId="1765" xr:uid="{00000000-0005-0000-0000-0000CF400000}"/>
    <cellStyle name="20% - Accent6 2 2 2 4 2" xfId="3680" xr:uid="{00000000-0005-0000-0000-0000D0400000}"/>
    <cellStyle name="20% - Accent6 2 2 2 4 2 2" xfId="9391" xr:uid="{00000000-0005-0000-0000-0000D1400000}"/>
    <cellStyle name="20% - Accent6 2 2 2 4 2 2 2" xfId="20692" xr:uid="{00000000-0005-0000-0000-0000D2400000}"/>
    <cellStyle name="20% - Accent6 2 2 2 4 2 2 2 2" xfId="43294" xr:uid="{00000000-0005-0000-0000-0000D3400000}"/>
    <cellStyle name="20% - Accent6 2 2 2 4 2 2 3" xfId="31993" xr:uid="{00000000-0005-0000-0000-0000D4400000}"/>
    <cellStyle name="20% - Accent6 2 2 2 4 2 3" xfId="15042" xr:uid="{00000000-0005-0000-0000-0000D5400000}"/>
    <cellStyle name="20% - Accent6 2 2 2 4 2 3 2" xfId="37644" xr:uid="{00000000-0005-0000-0000-0000D6400000}"/>
    <cellStyle name="20% - Accent6 2 2 2 4 2 4" xfId="26343" xr:uid="{00000000-0005-0000-0000-0000D7400000}"/>
    <cellStyle name="20% - Accent6 2 2 2 4 3" xfId="5414" xr:uid="{00000000-0005-0000-0000-0000D8400000}"/>
    <cellStyle name="20% - Accent6 2 2 2 4 3 2" xfId="11064" xr:uid="{00000000-0005-0000-0000-0000D9400000}"/>
    <cellStyle name="20% - Accent6 2 2 2 4 3 2 2" xfId="22365" xr:uid="{00000000-0005-0000-0000-0000DA400000}"/>
    <cellStyle name="20% - Accent6 2 2 2 4 3 2 2 2" xfId="44967" xr:uid="{00000000-0005-0000-0000-0000DB400000}"/>
    <cellStyle name="20% - Accent6 2 2 2 4 3 2 3" xfId="33666" xr:uid="{00000000-0005-0000-0000-0000DC400000}"/>
    <cellStyle name="20% - Accent6 2 2 2 4 3 3" xfId="16715" xr:uid="{00000000-0005-0000-0000-0000DD400000}"/>
    <cellStyle name="20% - Accent6 2 2 2 4 3 3 2" xfId="39317" xr:uid="{00000000-0005-0000-0000-0000DE400000}"/>
    <cellStyle name="20% - Accent6 2 2 2 4 3 4" xfId="28016" xr:uid="{00000000-0005-0000-0000-0000DF400000}"/>
    <cellStyle name="20% - Accent6 2 2 2 4 4" xfId="7621" xr:uid="{00000000-0005-0000-0000-0000E0400000}"/>
    <cellStyle name="20% - Accent6 2 2 2 4 4 2" xfId="18922" xr:uid="{00000000-0005-0000-0000-0000E1400000}"/>
    <cellStyle name="20% - Accent6 2 2 2 4 4 2 2" xfId="41524" xr:uid="{00000000-0005-0000-0000-0000E2400000}"/>
    <cellStyle name="20% - Accent6 2 2 2 4 4 3" xfId="30223" xr:uid="{00000000-0005-0000-0000-0000E3400000}"/>
    <cellStyle name="20% - Accent6 2 2 2 4 5" xfId="13272" xr:uid="{00000000-0005-0000-0000-0000E4400000}"/>
    <cellStyle name="20% - Accent6 2 2 2 4 5 2" xfId="35874" xr:uid="{00000000-0005-0000-0000-0000E5400000}"/>
    <cellStyle name="20% - Accent6 2 2 2 4 6" xfId="24573" xr:uid="{00000000-0005-0000-0000-0000E6400000}"/>
    <cellStyle name="20% - Accent6 2 2 2 5" xfId="2395" xr:uid="{00000000-0005-0000-0000-0000E7400000}"/>
    <cellStyle name="20% - Accent6 2 2 2 5 2" xfId="8231" xr:uid="{00000000-0005-0000-0000-0000E8400000}"/>
    <cellStyle name="20% - Accent6 2 2 2 5 2 2" xfId="19532" xr:uid="{00000000-0005-0000-0000-0000E9400000}"/>
    <cellStyle name="20% - Accent6 2 2 2 5 2 2 2" xfId="42134" xr:uid="{00000000-0005-0000-0000-0000EA400000}"/>
    <cellStyle name="20% - Accent6 2 2 2 5 2 3" xfId="30833" xr:uid="{00000000-0005-0000-0000-0000EB400000}"/>
    <cellStyle name="20% - Accent6 2 2 2 5 3" xfId="13882" xr:uid="{00000000-0005-0000-0000-0000EC400000}"/>
    <cellStyle name="20% - Accent6 2 2 2 5 3 2" xfId="36484" xr:uid="{00000000-0005-0000-0000-0000ED400000}"/>
    <cellStyle name="20% - Accent6 2 2 2 5 4" xfId="25183" xr:uid="{00000000-0005-0000-0000-0000EE400000}"/>
    <cellStyle name="20% - Accent6 2 2 2 6" xfId="4180" xr:uid="{00000000-0005-0000-0000-0000EF400000}"/>
    <cellStyle name="20% - Accent6 2 2 2 6 2" xfId="9830" xr:uid="{00000000-0005-0000-0000-0000F0400000}"/>
    <cellStyle name="20% - Accent6 2 2 2 6 2 2" xfId="21131" xr:uid="{00000000-0005-0000-0000-0000F1400000}"/>
    <cellStyle name="20% - Accent6 2 2 2 6 2 2 2" xfId="43733" xr:uid="{00000000-0005-0000-0000-0000F2400000}"/>
    <cellStyle name="20% - Accent6 2 2 2 6 2 3" xfId="32432" xr:uid="{00000000-0005-0000-0000-0000F3400000}"/>
    <cellStyle name="20% - Accent6 2 2 2 6 3" xfId="15481" xr:uid="{00000000-0005-0000-0000-0000F4400000}"/>
    <cellStyle name="20% - Accent6 2 2 2 6 3 2" xfId="38083" xr:uid="{00000000-0005-0000-0000-0000F5400000}"/>
    <cellStyle name="20% - Accent6 2 2 2 6 4" xfId="26782" xr:uid="{00000000-0005-0000-0000-0000F6400000}"/>
    <cellStyle name="20% - Accent6 2 2 2 7" xfId="6660" xr:uid="{00000000-0005-0000-0000-0000F7400000}"/>
    <cellStyle name="20% - Accent6 2 2 2 7 2" xfId="17961" xr:uid="{00000000-0005-0000-0000-0000F8400000}"/>
    <cellStyle name="20% - Accent6 2 2 2 7 2 2" xfId="40563" xr:uid="{00000000-0005-0000-0000-0000F9400000}"/>
    <cellStyle name="20% - Accent6 2 2 2 7 3" xfId="29262" xr:uid="{00000000-0005-0000-0000-0000FA400000}"/>
    <cellStyle name="20% - Accent6 2 2 2 8" xfId="12311" xr:uid="{00000000-0005-0000-0000-0000FB400000}"/>
    <cellStyle name="20% - Accent6 2 2 2 8 2" xfId="34913" xr:uid="{00000000-0005-0000-0000-0000FC400000}"/>
    <cellStyle name="20% - Accent6 2 2 2 9" xfId="23612" xr:uid="{00000000-0005-0000-0000-0000FD400000}"/>
    <cellStyle name="20% - Accent6 2 2 3" xfId="1167" xr:uid="{00000000-0005-0000-0000-0000FE400000}"/>
    <cellStyle name="20% - Accent6 2 2 3 2" xfId="1767" xr:uid="{00000000-0005-0000-0000-0000FF400000}"/>
    <cellStyle name="20% - Accent6 2 2 3 2 2" xfId="3235" xr:uid="{00000000-0005-0000-0000-000000410000}"/>
    <cellStyle name="20% - Accent6 2 2 3 2 2 2" xfId="6207" xr:uid="{00000000-0005-0000-0000-000001410000}"/>
    <cellStyle name="20% - Accent6 2 2 3 2 2 2 2" xfId="11857" xr:uid="{00000000-0005-0000-0000-000002410000}"/>
    <cellStyle name="20% - Accent6 2 2 3 2 2 2 2 2" xfId="23158" xr:uid="{00000000-0005-0000-0000-000003410000}"/>
    <cellStyle name="20% - Accent6 2 2 3 2 2 2 2 2 2" xfId="45760" xr:uid="{00000000-0005-0000-0000-000004410000}"/>
    <cellStyle name="20% - Accent6 2 2 3 2 2 2 2 3" xfId="34459" xr:uid="{00000000-0005-0000-0000-000005410000}"/>
    <cellStyle name="20% - Accent6 2 2 3 2 2 2 3" xfId="17508" xr:uid="{00000000-0005-0000-0000-000006410000}"/>
    <cellStyle name="20% - Accent6 2 2 3 2 2 2 3 2" xfId="40110" xr:uid="{00000000-0005-0000-0000-000007410000}"/>
    <cellStyle name="20% - Accent6 2 2 3 2 2 2 4" xfId="28809" xr:uid="{00000000-0005-0000-0000-000008410000}"/>
    <cellStyle name="20% - Accent6 2 2 3 2 2 3" xfId="9025" xr:uid="{00000000-0005-0000-0000-000009410000}"/>
    <cellStyle name="20% - Accent6 2 2 3 2 2 3 2" xfId="20326" xr:uid="{00000000-0005-0000-0000-00000A410000}"/>
    <cellStyle name="20% - Accent6 2 2 3 2 2 3 2 2" xfId="42928" xr:uid="{00000000-0005-0000-0000-00000B410000}"/>
    <cellStyle name="20% - Accent6 2 2 3 2 2 3 3" xfId="31627" xr:uid="{00000000-0005-0000-0000-00000C410000}"/>
    <cellStyle name="20% - Accent6 2 2 3 2 2 4" xfId="14676" xr:uid="{00000000-0005-0000-0000-00000D410000}"/>
    <cellStyle name="20% - Accent6 2 2 3 2 2 4 2" xfId="37278" xr:uid="{00000000-0005-0000-0000-00000E410000}"/>
    <cellStyle name="20% - Accent6 2 2 3 2 2 5" xfId="25977" xr:uid="{00000000-0005-0000-0000-00000F410000}"/>
    <cellStyle name="20% - Accent6 2 2 3 2 3" xfId="4973" xr:uid="{00000000-0005-0000-0000-000010410000}"/>
    <cellStyle name="20% - Accent6 2 2 3 2 3 2" xfId="10623" xr:uid="{00000000-0005-0000-0000-000011410000}"/>
    <cellStyle name="20% - Accent6 2 2 3 2 3 2 2" xfId="21924" xr:uid="{00000000-0005-0000-0000-000012410000}"/>
    <cellStyle name="20% - Accent6 2 2 3 2 3 2 2 2" xfId="44526" xr:uid="{00000000-0005-0000-0000-000013410000}"/>
    <cellStyle name="20% - Accent6 2 2 3 2 3 2 3" xfId="33225" xr:uid="{00000000-0005-0000-0000-000014410000}"/>
    <cellStyle name="20% - Accent6 2 2 3 2 3 3" xfId="16274" xr:uid="{00000000-0005-0000-0000-000015410000}"/>
    <cellStyle name="20% - Accent6 2 2 3 2 3 3 2" xfId="38876" xr:uid="{00000000-0005-0000-0000-000016410000}"/>
    <cellStyle name="20% - Accent6 2 2 3 2 3 4" xfId="27575" xr:uid="{00000000-0005-0000-0000-000017410000}"/>
    <cellStyle name="20% - Accent6 2 2 3 2 4" xfId="7623" xr:uid="{00000000-0005-0000-0000-000018410000}"/>
    <cellStyle name="20% - Accent6 2 2 3 2 4 2" xfId="18924" xr:uid="{00000000-0005-0000-0000-000019410000}"/>
    <cellStyle name="20% - Accent6 2 2 3 2 4 2 2" xfId="41526" xr:uid="{00000000-0005-0000-0000-00001A410000}"/>
    <cellStyle name="20% - Accent6 2 2 3 2 4 3" xfId="30225" xr:uid="{00000000-0005-0000-0000-00001B410000}"/>
    <cellStyle name="20% - Accent6 2 2 3 2 5" xfId="13274" xr:uid="{00000000-0005-0000-0000-00001C410000}"/>
    <cellStyle name="20% - Accent6 2 2 3 2 5 2" xfId="35876" xr:uid="{00000000-0005-0000-0000-00001D410000}"/>
    <cellStyle name="20% - Accent6 2 2 3 2 6" xfId="24575" xr:uid="{00000000-0005-0000-0000-00001E410000}"/>
    <cellStyle name="20% - Accent6 2 2 3 3" xfId="2564" xr:uid="{00000000-0005-0000-0000-00001F410000}"/>
    <cellStyle name="20% - Accent6 2 2 3 3 2" xfId="5583" xr:uid="{00000000-0005-0000-0000-000020410000}"/>
    <cellStyle name="20% - Accent6 2 2 3 3 2 2" xfId="11233" xr:uid="{00000000-0005-0000-0000-000021410000}"/>
    <cellStyle name="20% - Accent6 2 2 3 3 2 2 2" xfId="22534" xr:uid="{00000000-0005-0000-0000-000022410000}"/>
    <cellStyle name="20% - Accent6 2 2 3 3 2 2 2 2" xfId="45136" xr:uid="{00000000-0005-0000-0000-000023410000}"/>
    <cellStyle name="20% - Accent6 2 2 3 3 2 2 3" xfId="33835" xr:uid="{00000000-0005-0000-0000-000024410000}"/>
    <cellStyle name="20% - Accent6 2 2 3 3 2 3" xfId="16884" xr:uid="{00000000-0005-0000-0000-000025410000}"/>
    <cellStyle name="20% - Accent6 2 2 3 3 2 3 2" xfId="39486" xr:uid="{00000000-0005-0000-0000-000026410000}"/>
    <cellStyle name="20% - Accent6 2 2 3 3 2 4" xfId="28185" xr:uid="{00000000-0005-0000-0000-000027410000}"/>
    <cellStyle name="20% - Accent6 2 2 3 3 3" xfId="8400" xr:uid="{00000000-0005-0000-0000-000028410000}"/>
    <cellStyle name="20% - Accent6 2 2 3 3 3 2" xfId="19701" xr:uid="{00000000-0005-0000-0000-000029410000}"/>
    <cellStyle name="20% - Accent6 2 2 3 3 3 2 2" xfId="42303" xr:uid="{00000000-0005-0000-0000-00002A410000}"/>
    <cellStyle name="20% - Accent6 2 2 3 3 3 3" xfId="31002" xr:uid="{00000000-0005-0000-0000-00002B410000}"/>
    <cellStyle name="20% - Accent6 2 2 3 3 4" xfId="14051" xr:uid="{00000000-0005-0000-0000-00002C410000}"/>
    <cellStyle name="20% - Accent6 2 2 3 3 4 2" xfId="36653" xr:uid="{00000000-0005-0000-0000-00002D410000}"/>
    <cellStyle name="20% - Accent6 2 2 3 3 5" xfId="25352" xr:uid="{00000000-0005-0000-0000-00002E410000}"/>
    <cellStyle name="20% - Accent6 2 2 3 4" xfId="4349" xr:uid="{00000000-0005-0000-0000-00002F410000}"/>
    <cellStyle name="20% - Accent6 2 2 3 4 2" xfId="9999" xr:uid="{00000000-0005-0000-0000-000030410000}"/>
    <cellStyle name="20% - Accent6 2 2 3 4 2 2" xfId="21300" xr:uid="{00000000-0005-0000-0000-000031410000}"/>
    <cellStyle name="20% - Accent6 2 2 3 4 2 2 2" xfId="43902" xr:uid="{00000000-0005-0000-0000-000032410000}"/>
    <cellStyle name="20% - Accent6 2 2 3 4 2 3" xfId="32601" xr:uid="{00000000-0005-0000-0000-000033410000}"/>
    <cellStyle name="20% - Accent6 2 2 3 4 3" xfId="15650" xr:uid="{00000000-0005-0000-0000-000034410000}"/>
    <cellStyle name="20% - Accent6 2 2 3 4 3 2" xfId="38252" xr:uid="{00000000-0005-0000-0000-000035410000}"/>
    <cellStyle name="20% - Accent6 2 2 3 4 4" xfId="26951" xr:uid="{00000000-0005-0000-0000-000036410000}"/>
    <cellStyle name="20% - Accent6 2 2 3 5" xfId="7146" xr:uid="{00000000-0005-0000-0000-000037410000}"/>
    <cellStyle name="20% - Accent6 2 2 3 5 2" xfId="18447" xr:uid="{00000000-0005-0000-0000-000038410000}"/>
    <cellStyle name="20% - Accent6 2 2 3 5 2 2" xfId="41049" xr:uid="{00000000-0005-0000-0000-000039410000}"/>
    <cellStyle name="20% - Accent6 2 2 3 5 3" xfId="29748" xr:uid="{00000000-0005-0000-0000-00003A410000}"/>
    <cellStyle name="20% - Accent6 2 2 3 6" xfId="12797" xr:uid="{00000000-0005-0000-0000-00003B410000}"/>
    <cellStyle name="20% - Accent6 2 2 3 6 2" xfId="35399" xr:uid="{00000000-0005-0000-0000-00003C410000}"/>
    <cellStyle name="20% - Accent6 2 2 3 7" xfId="24098" xr:uid="{00000000-0005-0000-0000-00003D410000}"/>
    <cellStyle name="20% - Accent6 2 2 4" xfId="847" xr:uid="{00000000-0005-0000-0000-00003E410000}"/>
    <cellStyle name="20% - Accent6 2 2 4 2" xfId="2928" xr:uid="{00000000-0005-0000-0000-00003F410000}"/>
    <cellStyle name="20% - Accent6 2 2 4 2 2" xfId="5900" xr:uid="{00000000-0005-0000-0000-000040410000}"/>
    <cellStyle name="20% - Accent6 2 2 4 2 2 2" xfId="11550" xr:uid="{00000000-0005-0000-0000-000041410000}"/>
    <cellStyle name="20% - Accent6 2 2 4 2 2 2 2" xfId="22851" xr:uid="{00000000-0005-0000-0000-000042410000}"/>
    <cellStyle name="20% - Accent6 2 2 4 2 2 2 2 2" xfId="45453" xr:uid="{00000000-0005-0000-0000-000043410000}"/>
    <cellStyle name="20% - Accent6 2 2 4 2 2 2 3" xfId="34152" xr:uid="{00000000-0005-0000-0000-000044410000}"/>
    <cellStyle name="20% - Accent6 2 2 4 2 2 3" xfId="17201" xr:uid="{00000000-0005-0000-0000-000045410000}"/>
    <cellStyle name="20% - Accent6 2 2 4 2 2 3 2" xfId="39803" xr:uid="{00000000-0005-0000-0000-000046410000}"/>
    <cellStyle name="20% - Accent6 2 2 4 2 2 4" xfId="28502" xr:uid="{00000000-0005-0000-0000-000047410000}"/>
    <cellStyle name="20% - Accent6 2 2 4 2 3" xfId="8718" xr:uid="{00000000-0005-0000-0000-000048410000}"/>
    <cellStyle name="20% - Accent6 2 2 4 2 3 2" xfId="20019" xr:uid="{00000000-0005-0000-0000-000049410000}"/>
    <cellStyle name="20% - Accent6 2 2 4 2 3 2 2" xfId="42621" xr:uid="{00000000-0005-0000-0000-00004A410000}"/>
    <cellStyle name="20% - Accent6 2 2 4 2 3 3" xfId="31320" xr:uid="{00000000-0005-0000-0000-00004B410000}"/>
    <cellStyle name="20% - Accent6 2 2 4 2 4" xfId="14369" xr:uid="{00000000-0005-0000-0000-00004C410000}"/>
    <cellStyle name="20% - Accent6 2 2 4 2 4 2" xfId="36971" xr:uid="{00000000-0005-0000-0000-00004D410000}"/>
    <cellStyle name="20% - Accent6 2 2 4 2 5" xfId="25670" xr:uid="{00000000-0005-0000-0000-00004E410000}"/>
    <cellStyle name="20% - Accent6 2 2 4 3" xfId="4666" xr:uid="{00000000-0005-0000-0000-00004F410000}"/>
    <cellStyle name="20% - Accent6 2 2 4 3 2" xfId="10316" xr:uid="{00000000-0005-0000-0000-000050410000}"/>
    <cellStyle name="20% - Accent6 2 2 4 3 2 2" xfId="21617" xr:uid="{00000000-0005-0000-0000-000051410000}"/>
    <cellStyle name="20% - Accent6 2 2 4 3 2 2 2" xfId="44219" xr:uid="{00000000-0005-0000-0000-000052410000}"/>
    <cellStyle name="20% - Accent6 2 2 4 3 2 3" xfId="32918" xr:uid="{00000000-0005-0000-0000-000053410000}"/>
    <cellStyle name="20% - Accent6 2 2 4 3 3" xfId="15967" xr:uid="{00000000-0005-0000-0000-000054410000}"/>
    <cellStyle name="20% - Accent6 2 2 4 3 3 2" xfId="38569" xr:uid="{00000000-0005-0000-0000-000055410000}"/>
    <cellStyle name="20% - Accent6 2 2 4 3 4" xfId="27268" xr:uid="{00000000-0005-0000-0000-000056410000}"/>
    <cellStyle name="20% - Accent6 2 2 4 4" xfId="6852" xr:uid="{00000000-0005-0000-0000-000057410000}"/>
    <cellStyle name="20% - Accent6 2 2 4 4 2" xfId="18153" xr:uid="{00000000-0005-0000-0000-000058410000}"/>
    <cellStyle name="20% - Accent6 2 2 4 4 2 2" xfId="40755" xr:uid="{00000000-0005-0000-0000-000059410000}"/>
    <cellStyle name="20% - Accent6 2 2 4 4 3" xfId="29454" xr:uid="{00000000-0005-0000-0000-00005A410000}"/>
    <cellStyle name="20% - Accent6 2 2 4 5" xfId="12503" xr:uid="{00000000-0005-0000-0000-00005B410000}"/>
    <cellStyle name="20% - Accent6 2 2 4 5 2" xfId="35105" xr:uid="{00000000-0005-0000-0000-00005C410000}"/>
    <cellStyle name="20% - Accent6 2 2 4 6" xfId="23804" xr:uid="{00000000-0005-0000-0000-00005D410000}"/>
    <cellStyle name="20% - Accent6 2 2 5" xfId="1764" xr:uid="{00000000-0005-0000-0000-00005E410000}"/>
    <cellStyle name="20% - Accent6 2 2 5 2" xfId="3679" xr:uid="{00000000-0005-0000-0000-00005F410000}"/>
    <cellStyle name="20% - Accent6 2 2 5 2 2" xfId="9390" xr:uid="{00000000-0005-0000-0000-000060410000}"/>
    <cellStyle name="20% - Accent6 2 2 5 2 2 2" xfId="20691" xr:uid="{00000000-0005-0000-0000-000061410000}"/>
    <cellStyle name="20% - Accent6 2 2 5 2 2 2 2" xfId="43293" xr:uid="{00000000-0005-0000-0000-000062410000}"/>
    <cellStyle name="20% - Accent6 2 2 5 2 2 3" xfId="31992" xr:uid="{00000000-0005-0000-0000-000063410000}"/>
    <cellStyle name="20% - Accent6 2 2 5 2 3" xfId="15041" xr:uid="{00000000-0005-0000-0000-000064410000}"/>
    <cellStyle name="20% - Accent6 2 2 5 2 3 2" xfId="37643" xr:uid="{00000000-0005-0000-0000-000065410000}"/>
    <cellStyle name="20% - Accent6 2 2 5 2 4" xfId="26342" xr:uid="{00000000-0005-0000-0000-000066410000}"/>
    <cellStyle name="20% - Accent6 2 2 5 3" xfId="5276" xr:uid="{00000000-0005-0000-0000-000067410000}"/>
    <cellStyle name="20% - Accent6 2 2 5 3 2" xfId="10926" xr:uid="{00000000-0005-0000-0000-000068410000}"/>
    <cellStyle name="20% - Accent6 2 2 5 3 2 2" xfId="22227" xr:uid="{00000000-0005-0000-0000-000069410000}"/>
    <cellStyle name="20% - Accent6 2 2 5 3 2 2 2" xfId="44829" xr:uid="{00000000-0005-0000-0000-00006A410000}"/>
    <cellStyle name="20% - Accent6 2 2 5 3 2 3" xfId="33528" xr:uid="{00000000-0005-0000-0000-00006B410000}"/>
    <cellStyle name="20% - Accent6 2 2 5 3 3" xfId="16577" xr:uid="{00000000-0005-0000-0000-00006C410000}"/>
    <cellStyle name="20% - Accent6 2 2 5 3 3 2" xfId="39179" xr:uid="{00000000-0005-0000-0000-00006D410000}"/>
    <cellStyle name="20% - Accent6 2 2 5 3 4" xfId="27878" xr:uid="{00000000-0005-0000-0000-00006E410000}"/>
    <cellStyle name="20% - Accent6 2 2 5 4" xfId="7620" xr:uid="{00000000-0005-0000-0000-00006F410000}"/>
    <cellStyle name="20% - Accent6 2 2 5 4 2" xfId="18921" xr:uid="{00000000-0005-0000-0000-000070410000}"/>
    <cellStyle name="20% - Accent6 2 2 5 4 2 2" xfId="41523" xr:uid="{00000000-0005-0000-0000-000071410000}"/>
    <cellStyle name="20% - Accent6 2 2 5 4 3" xfId="30222" xr:uid="{00000000-0005-0000-0000-000072410000}"/>
    <cellStyle name="20% - Accent6 2 2 5 5" xfId="13271" xr:uid="{00000000-0005-0000-0000-000073410000}"/>
    <cellStyle name="20% - Accent6 2 2 5 5 2" xfId="35873" xr:uid="{00000000-0005-0000-0000-000074410000}"/>
    <cellStyle name="20% - Accent6 2 2 5 6" xfId="24572" xr:uid="{00000000-0005-0000-0000-000075410000}"/>
    <cellStyle name="20% - Accent6 2 2 6" xfId="2250" xr:uid="{00000000-0005-0000-0000-000076410000}"/>
    <cellStyle name="20% - Accent6 2 2 6 2" xfId="8090" xr:uid="{00000000-0005-0000-0000-000077410000}"/>
    <cellStyle name="20% - Accent6 2 2 6 2 2" xfId="19391" xr:uid="{00000000-0005-0000-0000-000078410000}"/>
    <cellStyle name="20% - Accent6 2 2 6 2 2 2" xfId="41993" xr:uid="{00000000-0005-0000-0000-000079410000}"/>
    <cellStyle name="20% - Accent6 2 2 6 2 3" xfId="30692" xr:uid="{00000000-0005-0000-0000-00007A410000}"/>
    <cellStyle name="20% - Accent6 2 2 6 3" xfId="13741" xr:uid="{00000000-0005-0000-0000-00007B410000}"/>
    <cellStyle name="20% - Accent6 2 2 6 3 2" xfId="36343" xr:uid="{00000000-0005-0000-0000-00007C410000}"/>
    <cellStyle name="20% - Accent6 2 2 6 4" xfId="25042" xr:uid="{00000000-0005-0000-0000-00007D410000}"/>
    <cellStyle name="20% - Accent6 2 2 7" xfId="4042" xr:uid="{00000000-0005-0000-0000-00007E410000}"/>
    <cellStyle name="20% - Accent6 2 2 7 2" xfId="9692" xr:uid="{00000000-0005-0000-0000-00007F410000}"/>
    <cellStyle name="20% - Accent6 2 2 7 2 2" xfId="20993" xr:uid="{00000000-0005-0000-0000-000080410000}"/>
    <cellStyle name="20% - Accent6 2 2 7 2 2 2" xfId="43595" xr:uid="{00000000-0005-0000-0000-000081410000}"/>
    <cellStyle name="20% - Accent6 2 2 7 2 3" xfId="32294" xr:uid="{00000000-0005-0000-0000-000082410000}"/>
    <cellStyle name="20% - Accent6 2 2 7 3" xfId="15343" xr:uid="{00000000-0005-0000-0000-000083410000}"/>
    <cellStyle name="20% - Accent6 2 2 7 3 2" xfId="37945" xr:uid="{00000000-0005-0000-0000-000084410000}"/>
    <cellStyle name="20% - Accent6 2 2 7 4" xfId="26644" xr:uid="{00000000-0005-0000-0000-000085410000}"/>
    <cellStyle name="20% - Accent6 2 2 8" xfId="6493" xr:uid="{00000000-0005-0000-0000-000086410000}"/>
    <cellStyle name="20% - Accent6 2 2 8 2" xfId="17794" xr:uid="{00000000-0005-0000-0000-000087410000}"/>
    <cellStyle name="20% - Accent6 2 2 8 2 2" xfId="40396" xr:uid="{00000000-0005-0000-0000-000088410000}"/>
    <cellStyle name="20% - Accent6 2 2 8 3" xfId="29095" xr:uid="{00000000-0005-0000-0000-000089410000}"/>
    <cellStyle name="20% - Accent6 2 2 9" xfId="12144" xr:uid="{00000000-0005-0000-0000-00008A410000}"/>
    <cellStyle name="20% - Accent6 2 2 9 2" xfId="34746" xr:uid="{00000000-0005-0000-0000-00008B410000}"/>
    <cellStyle name="20% - Accent6 2 3" xfId="2811" xr:uid="{00000000-0005-0000-0000-00008C410000}"/>
    <cellStyle name="20% - Accent6 2 3 2" xfId="3904" xr:uid="{00000000-0005-0000-0000-00008D410000}"/>
    <cellStyle name="20% - Accent6 2 3 2 2" xfId="5826" xr:uid="{00000000-0005-0000-0000-00008E410000}"/>
    <cellStyle name="20% - Accent6 2 3 2 2 2" xfId="11476" xr:uid="{00000000-0005-0000-0000-00008F410000}"/>
    <cellStyle name="20% - Accent6 2 3 2 2 2 2" xfId="22777" xr:uid="{00000000-0005-0000-0000-000090410000}"/>
    <cellStyle name="20% - Accent6 2 3 2 2 2 2 2" xfId="45379" xr:uid="{00000000-0005-0000-0000-000091410000}"/>
    <cellStyle name="20% - Accent6 2 3 2 2 2 3" xfId="34078" xr:uid="{00000000-0005-0000-0000-000092410000}"/>
    <cellStyle name="20% - Accent6 2 3 2 2 3" xfId="17127" xr:uid="{00000000-0005-0000-0000-000093410000}"/>
    <cellStyle name="20% - Accent6 2 3 2 2 3 2" xfId="39729" xr:uid="{00000000-0005-0000-0000-000094410000}"/>
    <cellStyle name="20% - Accent6 2 3 2 2 4" xfId="28428" xr:uid="{00000000-0005-0000-0000-000095410000}"/>
    <cellStyle name="20% - Accent6 2 3 2 3" xfId="9602" xr:uid="{00000000-0005-0000-0000-000096410000}"/>
    <cellStyle name="20% - Accent6 2 3 2 3 2" xfId="20903" xr:uid="{00000000-0005-0000-0000-000097410000}"/>
    <cellStyle name="20% - Accent6 2 3 2 3 2 2" xfId="43505" xr:uid="{00000000-0005-0000-0000-000098410000}"/>
    <cellStyle name="20% - Accent6 2 3 2 3 3" xfId="32204" xr:uid="{00000000-0005-0000-0000-000099410000}"/>
    <cellStyle name="20% - Accent6 2 3 2 4" xfId="15253" xr:uid="{00000000-0005-0000-0000-00009A410000}"/>
    <cellStyle name="20% - Accent6 2 3 2 4 2" xfId="37855" xr:uid="{00000000-0005-0000-0000-00009B410000}"/>
    <cellStyle name="20% - Accent6 2 3 2 5" xfId="26554" xr:uid="{00000000-0005-0000-0000-00009C410000}"/>
    <cellStyle name="20% - Accent6 2 3 3" xfId="4592" xr:uid="{00000000-0005-0000-0000-00009D410000}"/>
    <cellStyle name="20% - Accent6 2 3 3 2" xfId="10242" xr:uid="{00000000-0005-0000-0000-00009E410000}"/>
    <cellStyle name="20% - Accent6 2 3 3 2 2" xfId="21543" xr:uid="{00000000-0005-0000-0000-00009F410000}"/>
    <cellStyle name="20% - Accent6 2 3 3 2 2 2" xfId="44145" xr:uid="{00000000-0005-0000-0000-0000A0410000}"/>
    <cellStyle name="20% - Accent6 2 3 3 2 3" xfId="32844" xr:uid="{00000000-0005-0000-0000-0000A1410000}"/>
    <cellStyle name="20% - Accent6 2 3 3 3" xfId="15893" xr:uid="{00000000-0005-0000-0000-0000A2410000}"/>
    <cellStyle name="20% - Accent6 2 3 3 3 2" xfId="38495" xr:uid="{00000000-0005-0000-0000-0000A3410000}"/>
    <cellStyle name="20% - Accent6 2 3 3 4" xfId="27194" xr:uid="{00000000-0005-0000-0000-0000A4410000}"/>
    <cellStyle name="20% - Accent6 2 3 4" xfId="8644" xr:uid="{00000000-0005-0000-0000-0000A5410000}"/>
    <cellStyle name="20% - Accent6 2 3 4 2" xfId="19945" xr:uid="{00000000-0005-0000-0000-0000A6410000}"/>
    <cellStyle name="20% - Accent6 2 3 4 2 2" xfId="42547" xr:uid="{00000000-0005-0000-0000-0000A7410000}"/>
    <cellStyle name="20% - Accent6 2 3 4 3" xfId="31246" xr:uid="{00000000-0005-0000-0000-0000A8410000}"/>
    <cellStyle name="20% - Accent6 2 3 5" xfId="14295" xr:uid="{00000000-0005-0000-0000-0000A9410000}"/>
    <cellStyle name="20% - Accent6 2 3 5 2" xfId="36897" xr:uid="{00000000-0005-0000-0000-0000AA410000}"/>
    <cellStyle name="20% - Accent6 2 3 6" xfId="25596" xr:uid="{00000000-0005-0000-0000-0000AB410000}"/>
    <cellStyle name="20% - Accent6 2 4" xfId="2833" xr:uid="{00000000-0005-0000-0000-0000AC410000}"/>
    <cellStyle name="20% - Accent6 2 5" xfId="3909" xr:uid="{00000000-0005-0000-0000-0000AD410000}"/>
    <cellStyle name="20% - Accent6 2 5 2" xfId="9604" xr:uid="{00000000-0005-0000-0000-0000AE410000}"/>
    <cellStyle name="20% - Accent6 2 5 2 2" xfId="20905" xr:uid="{00000000-0005-0000-0000-0000AF410000}"/>
    <cellStyle name="20% - Accent6 2 5 2 2 2" xfId="43507" xr:uid="{00000000-0005-0000-0000-0000B0410000}"/>
    <cellStyle name="20% - Accent6 2 5 2 3" xfId="32206" xr:uid="{00000000-0005-0000-0000-0000B1410000}"/>
    <cellStyle name="20% - Accent6 2 5 3" xfId="15255" xr:uid="{00000000-0005-0000-0000-0000B2410000}"/>
    <cellStyle name="20% - Accent6 2 5 3 2" xfId="37857" xr:uid="{00000000-0005-0000-0000-0000B3410000}"/>
    <cellStyle name="20% - Accent6 2 5 4" xfId="26556" xr:uid="{00000000-0005-0000-0000-0000B4410000}"/>
    <cellStyle name="20% - Accent6 2 6" xfId="3589" xr:uid="{00000000-0005-0000-0000-0000B5410000}"/>
    <cellStyle name="20% - Accent6 2 7" xfId="153" xr:uid="{00000000-0005-0000-0000-0000B6410000}"/>
    <cellStyle name="20% - Accent6 3" xfId="227" xr:uid="{00000000-0005-0000-0000-0000B7410000}"/>
    <cellStyle name="20% - Accent6 3 2" xfId="351" xr:uid="{00000000-0005-0000-0000-0000B8410000}"/>
    <cellStyle name="20% - Accent6 3 2 10" xfId="23460" xr:uid="{00000000-0005-0000-0000-0000B9410000}"/>
    <cellStyle name="20% - Accent6 3 2 2" xfId="610" xr:uid="{00000000-0005-0000-0000-0000BA410000}"/>
    <cellStyle name="20% - Accent6 3 2 2 2" xfId="1320" xr:uid="{00000000-0005-0000-0000-0000BB410000}"/>
    <cellStyle name="20% - Accent6 3 2 2 2 2" xfId="1770" xr:uid="{00000000-0005-0000-0000-0000BC410000}"/>
    <cellStyle name="20% - Accent6 3 2 2 2 2 2" xfId="3389" xr:uid="{00000000-0005-0000-0000-0000BD410000}"/>
    <cellStyle name="20% - Accent6 3 2 2 2 2 2 2" xfId="6361" xr:uid="{00000000-0005-0000-0000-0000BE410000}"/>
    <cellStyle name="20% - Accent6 3 2 2 2 2 2 2 2" xfId="12011" xr:uid="{00000000-0005-0000-0000-0000BF410000}"/>
    <cellStyle name="20% - Accent6 3 2 2 2 2 2 2 2 2" xfId="23312" xr:uid="{00000000-0005-0000-0000-0000C0410000}"/>
    <cellStyle name="20% - Accent6 3 2 2 2 2 2 2 2 2 2" xfId="45914" xr:uid="{00000000-0005-0000-0000-0000C1410000}"/>
    <cellStyle name="20% - Accent6 3 2 2 2 2 2 2 2 3" xfId="34613" xr:uid="{00000000-0005-0000-0000-0000C2410000}"/>
    <cellStyle name="20% - Accent6 3 2 2 2 2 2 2 3" xfId="17662" xr:uid="{00000000-0005-0000-0000-0000C3410000}"/>
    <cellStyle name="20% - Accent6 3 2 2 2 2 2 2 3 2" xfId="40264" xr:uid="{00000000-0005-0000-0000-0000C4410000}"/>
    <cellStyle name="20% - Accent6 3 2 2 2 2 2 2 4" xfId="28963" xr:uid="{00000000-0005-0000-0000-0000C5410000}"/>
    <cellStyle name="20% - Accent6 3 2 2 2 2 2 3" xfId="9179" xr:uid="{00000000-0005-0000-0000-0000C6410000}"/>
    <cellStyle name="20% - Accent6 3 2 2 2 2 2 3 2" xfId="20480" xr:uid="{00000000-0005-0000-0000-0000C7410000}"/>
    <cellStyle name="20% - Accent6 3 2 2 2 2 2 3 2 2" xfId="43082" xr:uid="{00000000-0005-0000-0000-0000C8410000}"/>
    <cellStyle name="20% - Accent6 3 2 2 2 2 2 3 3" xfId="31781" xr:uid="{00000000-0005-0000-0000-0000C9410000}"/>
    <cellStyle name="20% - Accent6 3 2 2 2 2 2 4" xfId="14830" xr:uid="{00000000-0005-0000-0000-0000CA410000}"/>
    <cellStyle name="20% - Accent6 3 2 2 2 2 2 4 2" xfId="37432" xr:uid="{00000000-0005-0000-0000-0000CB410000}"/>
    <cellStyle name="20% - Accent6 3 2 2 2 2 2 5" xfId="26131" xr:uid="{00000000-0005-0000-0000-0000CC410000}"/>
    <cellStyle name="20% - Accent6 3 2 2 2 2 3" xfId="5127" xr:uid="{00000000-0005-0000-0000-0000CD410000}"/>
    <cellStyle name="20% - Accent6 3 2 2 2 2 3 2" xfId="10777" xr:uid="{00000000-0005-0000-0000-0000CE410000}"/>
    <cellStyle name="20% - Accent6 3 2 2 2 2 3 2 2" xfId="22078" xr:uid="{00000000-0005-0000-0000-0000CF410000}"/>
    <cellStyle name="20% - Accent6 3 2 2 2 2 3 2 2 2" xfId="44680" xr:uid="{00000000-0005-0000-0000-0000D0410000}"/>
    <cellStyle name="20% - Accent6 3 2 2 2 2 3 2 3" xfId="33379" xr:uid="{00000000-0005-0000-0000-0000D1410000}"/>
    <cellStyle name="20% - Accent6 3 2 2 2 2 3 3" xfId="16428" xr:uid="{00000000-0005-0000-0000-0000D2410000}"/>
    <cellStyle name="20% - Accent6 3 2 2 2 2 3 3 2" xfId="39030" xr:uid="{00000000-0005-0000-0000-0000D3410000}"/>
    <cellStyle name="20% - Accent6 3 2 2 2 2 3 4" xfId="27729" xr:uid="{00000000-0005-0000-0000-0000D4410000}"/>
    <cellStyle name="20% - Accent6 3 2 2 2 2 4" xfId="7626" xr:uid="{00000000-0005-0000-0000-0000D5410000}"/>
    <cellStyle name="20% - Accent6 3 2 2 2 2 4 2" xfId="18927" xr:uid="{00000000-0005-0000-0000-0000D6410000}"/>
    <cellStyle name="20% - Accent6 3 2 2 2 2 4 2 2" xfId="41529" xr:uid="{00000000-0005-0000-0000-0000D7410000}"/>
    <cellStyle name="20% - Accent6 3 2 2 2 2 4 3" xfId="30228" xr:uid="{00000000-0005-0000-0000-0000D8410000}"/>
    <cellStyle name="20% - Accent6 3 2 2 2 2 5" xfId="13277" xr:uid="{00000000-0005-0000-0000-0000D9410000}"/>
    <cellStyle name="20% - Accent6 3 2 2 2 2 5 2" xfId="35879" xr:uid="{00000000-0005-0000-0000-0000DA410000}"/>
    <cellStyle name="20% - Accent6 3 2 2 2 2 6" xfId="24578" xr:uid="{00000000-0005-0000-0000-0000DB410000}"/>
    <cellStyle name="20% - Accent6 3 2 2 2 3" xfId="2718" xr:uid="{00000000-0005-0000-0000-0000DC410000}"/>
    <cellStyle name="20% - Accent6 3 2 2 2 3 2" xfId="5737" xr:uid="{00000000-0005-0000-0000-0000DD410000}"/>
    <cellStyle name="20% - Accent6 3 2 2 2 3 2 2" xfId="11387" xr:uid="{00000000-0005-0000-0000-0000DE410000}"/>
    <cellStyle name="20% - Accent6 3 2 2 2 3 2 2 2" xfId="22688" xr:uid="{00000000-0005-0000-0000-0000DF410000}"/>
    <cellStyle name="20% - Accent6 3 2 2 2 3 2 2 2 2" xfId="45290" xr:uid="{00000000-0005-0000-0000-0000E0410000}"/>
    <cellStyle name="20% - Accent6 3 2 2 2 3 2 2 3" xfId="33989" xr:uid="{00000000-0005-0000-0000-0000E1410000}"/>
    <cellStyle name="20% - Accent6 3 2 2 2 3 2 3" xfId="17038" xr:uid="{00000000-0005-0000-0000-0000E2410000}"/>
    <cellStyle name="20% - Accent6 3 2 2 2 3 2 3 2" xfId="39640" xr:uid="{00000000-0005-0000-0000-0000E3410000}"/>
    <cellStyle name="20% - Accent6 3 2 2 2 3 2 4" xfId="28339" xr:uid="{00000000-0005-0000-0000-0000E4410000}"/>
    <cellStyle name="20% - Accent6 3 2 2 2 3 3" xfId="8554" xr:uid="{00000000-0005-0000-0000-0000E5410000}"/>
    <cellStyle name="20% - Accent6 3 2 2 2 3 3 2" xfId="19855" xr:uid="{00000000-0005-0000-0000-0000E6410000}"/>
    <cellStyle name="20% - Accent6 3 2 2 2 3 3 2 2" xfId="42457" xr:uid="{00000000-0005-0000-0000-0000E7410000}"/>
    <cellStyle name="20% - Accent6 3 2 2 2 3 3 3" xfId="31156" xr:uid="{00000000-0005-0000-0000-0000E8410000}"/>
    <cellStyle name="20% - Accent6 3 2 2 2 3 4" xfId="14205" xr:uid="{00000000-0005-0000-0000-0000E9410000}"/>
    <cellStyle name="20% - Accent6 3 2 2 2 3 4 2" xfId="36807" xr:uid="{00000000-0005-0000-0000-0000EA410000}"/>
    <cellStyle name="20% - Accent6 3 2 2 2 3 5" xfId="25506" xr:uid="{00000000-0005-0000-0000-0000EB410000}"/>
    <cellStyle name="20% - Accent6 3 2 2 2 4" xfId="4503" xr:uid="{00000000-0005-0000-0000-0000EC410000}"/>
    <cellStyle name="20% - Accent6 3 2 2 2 4 2" xfId="10153" xr:uid="{00000000-0005-0000-0000-0000ED410000}"/>
    <cellStyle name="20% - Accent6 3 2 2 2 4 2 2" xfId="21454" xr:uid="{00000000-0005-0000-0000-0000EE410000}"/>
    <cellStyle name="20% - Accent6 3 2 2 2 4 2 2 2" xfId="44056" xr:uid="{00000000-0005-0000-0000-0000EF410000}"/>
    <cellStyle name="20% - Accent6 3 2 2 2 4 2 3" xfId="32755" xr:uid="{00000000-0005-0000-0000-0000F0410000}"/>
    <cellStyle name="20% - Accent6 3 2 2 2 4 3" xfId="15804" xr:uid="{00000000-0005-0000-0000-0000F1410000}"/>
    <cellStyle name="20% - Accent6 3 2 2 2 4 3 2" xfId="38406" xr:uid="{00000000-0005-0000-0000-0000F2410000}"/>
    <cellStyle name="20% - Accent6 3 2 2 2 4 4" xfId="27105" xr:uid="{00000000-0005-0000-0000-0000F3410000}"/>
    <cellStyle name="20% - Accent6 3 2 2 2 5" xfId="7299" xr:uid="{00000000-0005-0000-0000-0000F4410000}"/>
    <cellStyle name="20% - Accent6 3 2 2 2 5 2" xfId="18600" xr:uid="{00000000-0005-0000-0000-0000F5410000}"/>
    <cellStyle name="20% - Accent6 3 2 2 2 5 2 2" xfId="41202" xr:uid="{00000000-0005-0000-0000-0000F6410000}"/>
    <cellStyle name="20% - Accent6 3 2 2 2 5 3" xfId="29901" xr:uid="{00000000-0005-0000-0000-0000F7410000}"/>
    <cellStyle name="20% - Accent6 3 2 2 2 6" xfId="12950" xr:uid="{00000000-0005-0000-0000-0000F8410000}"/>
    <cellStyle name="20% - Accent6 3 2 2 2 6 2" xfId="35552" xr:uid="{00000000-0005-0000-0000-0000F9410000}"/>
    <cellStyle name="20% - Accent6 3 2 2 2 7" xfId="24251" xr:uid="{00000000-0005-0000-0000-0000FA410000}"/>
    <cellStyle name="20% - Accent6 3 2 2 3" xfId="1018" xr:uid="{00000000-0005-0000-0000-0000FB410000}"/>
    <cellStyle name="20% - Accent6 3 2 2 3 2" xfId="3081" xr:uid="{00000000-0005-0000-0000-0000FC410000}"/>
    <cellStyle name="20% - Accent6 3 2 2 3 2 2" xfId="6053" xr:uid="{00000000-0005-0000-0000-0000FD410000}"/>
    <cellStyle name="20% - Accent6 3 2 2 3 2 2 2" xfId="11703" xr:uid="{00000000-0005-0000-0000-0000FE410000}"/>
    <cellStyle name="20% - Accent6 3 2 2 3 2 2 2 2" xfId="23004" xr:uid="{00000000-0005-0000-0000-0000FF410000}"/>
    <cellStyle name="20% - Accent6 3 2 2 3 2 2 2 2 2" xfId="45606" xr:uid="{00000000-0005-0000-0000-000000420000}"/>
    <cellStyle name="20% - Accent6 3 2 2 3 2 2 2 3" xfId="34305" xr:uid="{00000000-0005-0000-0000-000001420000}"/>
    <cellStyle name="20% - Accent6 3 2 2 3 2 2 3" xfId="17354" xr:uid="{00000000-0005-0000-0000-000002420000}"/>
    <cellStyle name="20% - Accent6 3 2 2 3 2 2 3 2" xfId="39956" xr:uid="{00000000-0005-0000-0000-000003420000}"/>
    <cellStyle name="20% - Accent6 3 2 2 3 2 2 4" xfId="28655" xr:uid="{00000000-0005-0000-0000-000004420000}"/>
    <cellStyle name="20% - Accent6 3 2 2 3 2 3" xfId="8871" xr:uid="{00000000-0005-0000-0000-000005420000}"/>
    <cellStyle name="20% - Accent6 3 2 2 3 2 3 2" xfId="20172" xr:uid="{00000000-0005-0000-0000-000006420000}"/>
    <cellStyle name="20% - Accent6 3 2 2 3 2 3 2 2" xfId="42774" xr:uid="{00000000-0005-0000-0000-000007420000}"/>
    <cellStyle name="20% - Accent6 3 2 2 3 2 3 3" xfId="31473" xr:uid="{00000000-0005-0000-0000-000008420000}"/>
    <cellStyle name="20% - Accent6 3 2 2 3 2 4" xfId="14522" xr:uid="{00000000-0005-0000-0000-000009420000}"/>
    <cellStyle name="20% - Accent6 3 2 2 3 2 4 2" xfId="37124" xr:uid="{00000000-0005-0000-0000-00000A420000}"/>
    <cellStyle name="20% - Accent6 3 2 2 3 2 5" xfId="25823" xr:uid="{00000000-0005-0000-0000-00000B420000}"/>
    <cellStyle name="20% - Accent6 3 2 2 3 3" xfId="4819" xr:uid="{00000000-0005-0000-0000-00000C420000}"/>
    <cellStyle name="20% - Accent6 3 2 2 3 3 2" xfId="10469" xr:uid="{00000000-0005-0000-0000-00000D420000}"/>
    <cellStyle name="20% - Accent6 3 2 2 3 3 2 2" xfId="21770" xr:uid="{00000000-0005-0000-0000-00000E420000}"/>
    <cellStyle name="20% - Accent6 3 2 2 3 3 2 2 2" xfId="44372" xr:uid="{00000000-0005-0000-0000-00000F420000}"/>
    <cellStyle name="20% - Accent6 3 2 2 3 3 2 3" xfId="33071" xr:uid="{00000000-0005-0000-0000-000010420000}"/>
    <cellStyle name="20% - Accent6 3 2 2 3 3 3" xfId="16120" xr:uid="{00000000-0005-0000-0000-000011420000}"/>
    <cellStyle name="20% - Accent6 3 2 2 3 3 3 2" xfId="38722" xr:uid="{00000000-0005-0000-0000-000012420000}"/>
    <cellStyle name="20% - Accent6 3 2 2 3 3 4" xfId="27421" xr:uid="{00000000-0005-0000-0000-000013420000}"/>
    <cellStyle name="20% - Accent6 3 2 2 3 4" xfId="7006" xr:uid="{00000000-0005-0000-0000-000014420000}"/>
    <cellStyle name="20% - Accent6 3 2 2 3 4 2" xfId="18307" xr:uid="{00000000-0005-0000-0000-000015420000}"/>
    <cellStyle name="20% - Accent6 3 2 2 3 4 2 2" xfId="40909" xr:uid="{00000000-0005-0000-0000-000016420000}"/>
    <cellStyle name="20% - Accent6 3 2 2 3 4 3" xfId="29608" xr:uid="{00000000-0005-0000-0000-000017420000}"/>
    <cellStyle name="20% - Accent6 3 2 2 3 5" xfId="12657" xr:uid="{00000000-0005-0000-0000-000018420000}"/>
    <cellStyle name="20% - Accent6 3 2 2 3 5 2" xfId="35259" xr:uid="{00000000-0005-0000-0000-000019420000}"/>
    <cellStyle name="20% - Accent6 3 2 2 3 6" xfId="23958" xr:uid="{00000000-0005-0000-0000-00001A420000}"/>
    <cellStyle name="20% - Accent6 3 2 2 4" xfId="1769" xr:uid="{00000000-0005-0000-0000-00001B420000}"/>
    <cellStyle name="20% - Accent6 3 2 2 4 2" xfId="3682" xr:uid="{00000000-0005-0000-0000-00001C420000}"/>
    <cellStyle name="20% - Accent6 3 2 2 4 2 2" xfId="9393" xr:uid="{00000000-0005-0000-0000-00001D420000}"/>
    <cellStyle name="20% - Accent6 3 2 2 4 2 2 2" xfId="20694" xr:uid="{00000000-0005-0000-0000-00001E420000}"/>
    <cellStyle name="20% - Accent6 3 2 2 4 2 2 2 2" xfId="43296" xr:uid="{00000000-0005-0000-0000-00001F420000}"/>
    <cellStyle name="20% - Accent6 3 2 2 4 2 2 3" xfId="31995" xr:uid="{00000000-0005-0000-0000-000020420000}"/>
    <cellStyle name="20% - Accent6 3 2 2 4 2 3" xfId="15044" xr:uid="{00000000-0005-0000-0000-000021420000}"/>
    <cellStyle name="20% - Accent6 3 2 2 4 2 3 2" xfId="37646" xr:uid="{00000000-0005-0000-0000-000022420000}"/>
    <cellStyle name="20% - Accent6 3 2 2 4 2 4" xfId="26345" xr:uid="{00000000-0005-0000-0000-000023420000}"/>
    <cellStyle name="20% - Accent6 3 2 2 4 3" xfId="5429" xr:uid="{00000000-0005-0000-0000-000024420000}"/>
    <cellStyle name="20% - Accent6 3 2 2 4 3 2" xfId="11079" xr:uid="{00000000-0005-0000-0000-000025420000}"/>
    <cellStyle name="20% - Accent6 3 2 2 4 3 2 2" xfId="22380" xr:uid="{00000000-0005-0000-0000-000026420000}"/>
    <cellStyle name="20% - Accent6 3 2 2 4 3 2 2 2" xfId="44982" xr:uid="{00000000-0005-0000-0000-000027420000}"/>
    <cellStyle name="20% - Accent6 3 2 2 4 3 2 3" xfId="33681" xr:uid="{00000000-0005-0000-0000-000028420000}"/>
    <cellStyle name="20% - Accent6 3 2 2 4 3 3" xfId="16730" xr:uid="{00000000-0005-0000-0000-000029420000}"/>
    <cellStyle name="20% - Accent6 3 2 2 4 3 3 2" xfId="39332" xr:uid="{00000000-0005-0000-0000-00002A420000}"/>
    <cellStyle name="20% - Accent6 3 2 2 4 3 4" xfId="28031" xr:uid="{00000000-0005-0000-0000-00002B420000}"/>
    <cellStyle name="20% - Accent6 3 2 2 4 4" xfId="7625" xr:uid="{00000000-0005-0000-0000-00002C420000}"/>
    <cellStyle name="20% - Accent6 3 2 2 4 4 2" xfId="18926" xr:uid="{00000000-0005-0000-0000-00002D420000}"/>
    <cellStyle name="20% - Accent6 3 2 2 4 4 2 2" xfId="41528" xr:uid="{00000000-0005-0000-0000-00002E420000}"/>
    <cellStyle name="20% - Accent6 3 2 2 4 4 3" xfId="30227" xr:uid="{00000000-0005-0000-0000-00002F420000}"/>
    <cellStyle name="20% - Accent6 3 2 2 4 5" xfId="13276" xr:uid="{00000000-0005-0000-0000-000030420000}"/>
    <cellStyle name="20% - Accent6 3 2 2 4 5 2" xfId="35878" xr:uid="{00000000-0005-0000-0000-000031420000}"/>
    <cellStyle name="20% - Accent6 3 2 2 4 6" xfId="24577" xr:uid="{00000000-0005-0000-0000-000032420000}"/>
    <cellStyle name="20% - Accent6 3 2 2 5" xfId="2410" xr:uid="{00000000-0005-0000-0000-000033420000}"/>
    <cellStyle name="20% - Accent6 3 2 2 5 2" xfId="8246" xr:uid="{00000000-0005-0000-0000-000034420000}"/>
    <cellStyle name="20% - Accent6 3 2 2 5 2 2" xfId="19547" xr:uid="{00000000-0005-0000-0000-000035420000}"/>
    <cellStyle name="20% - Accent6 3 2 2 5 2 2 2" xfId="42149" xr:uid="{00000000-0005-0000-0000-000036420000}"/>
    <cellStyle name="20% - Accent6 3 2 2 5 2 3" xfId="30848" xr:uid="{00000000-0005-0000-0000-000037420000}"/>
    <cellStyle name="20% - Accent6 3 2 2 5 3" xfId="13897" xr:uid="{00000000-0005-0000-0000-000038420000}"/>
    <cellStyle name="20% - Accent6 3 2 2 5 3 2" xfId="36499" xr:uid="{00000000-0005-0000-0000-000039420000}"/>
    <cellStyle name="20% - Accent6 3 2 2 5 4" xfId="25198" xr:uid="{00000000-0005-0000-0000-00003A420000}"/>
    <cellStyle name="20% - Accent6 3 2 2 6" xfId="4195" xr:uid="{00000000-0005-0000-0000-00003B420000}"/>
    <cellStyle name="20% - Accent6 3 2 2 6 2" xfId="9845" xr:uid="{00000000-0005-0000-0000-00003C420000}"/>
    <cellStyle name="20% - Accent6 3 2 2 6 2 2" xfId="21146" xr:uid="{00000000-0005-0000-0000-00003D420000}"/>
    <cellStyle name="20% - Accent6 3 2 2 6 2 2 2" xfId="43748" xr:uid="{00000000-0005-0000-0000-00003E420000}"/>
    <cellStyle name="20% - Accent6 3 2 2 6 2 3" xfId="32447" xr:uid="{00000000-0005-0000-0000-00003F420000}"/>
    <cellStyle name="20% - Accent6 3 2 2 6 3" xfId="15496" xr:uid="{00000000-0005-0000-0000-000040420000}"/>
    <cellStyle name="20% - Accent6 3 2 2 6 3 2" xfId="38098" xr:uid="{00000000-0005-0000-0000-000041420000}"/>
    <cellStyle name="20% - Accent6 3 2 2 6 4" xfId="26797" xr:uid="{00000000-0005-0000-0000-000042420000}"/>
    <cellStyle name="20% - Accent6 3 2 2 7" xfId="6675" xr:uid="{00000000-0005-0000-0000-000043420000}"/>
    <cellStyle name="20% - Accent6 3 2 2 7 2" xfId="17976" xr:uid="{00000000-0005-0000-0000-000044420000}"/>
    <cellStyle name="20% - Accent6 3 2 2 7 2 2" xfId="40578" xr:uid="{00000000-0005-0000-0000-000045420000}"/>
    <cellStyle name="20% - Accent6 3 2 2 7 3" xfId="29277" xr:uid="{00000000-0005-0000-0000-000046420000}"/>
    <cellStyle name="20% - Accent6 3 2 2 8" xfId="12326" xr:uid="{00000000-0005-0000-0000-000047420000}"/>
    <cellStyle name="20% - Accent6 3 2 2 8 2" xfId="34928" xr:uid="{00000000-0005-0000-0000-000048420000}"/>
    <cellStyle name="20% - Accent6 3 2 2 9" xfId="23627" xr:uid="{00000000-0005-0000-0000-000049420000}"/>
    <cellStyle name="20% - Accent6 3 2 3" xfId="1182" xr:uid="{00000000-0005-0000-0000-00004A420000}"/>
    <cellStyle name="20% - Accent6 3 2 3 2" xfId="1771" xr:uid="{00000000-0005-0000-0000-00004B420000}"/>
    <cellStyle name="20% - Accent6 3 2 3 2 2" xfId="3250" xr:uid="{00000000-0005-0000-0000-00004C420000}"/>
    <cellStyle name="20% - Accent6 3 2 3 2 2 2" xfId="6222" xr:uid="{00000000-0005-0000-0000-00004D420000}"/>
    <cellStyle name="20% - Accent6 3 2 3 2 2 2 2" xfId="11872" xr:uid="{00000000-0005-0000-0000-00004E420000}"/>
    <cellStyle name="20% - Accent6 3 2 3 2 2 2 2 2" xfId="23173" xr:uid="{00000000-0005-0000-0000-00004F420000}"/>
    <cellStyle name="20% - Accent6 3 2 3 2 2 2 2 2 2" xfId="45775" xr:uid="{00000000-0005-0000-0000-000050420000}"/>
    <cellStyle name="20% - Accent6 3 2 3 2 2 2 2 3" xfId="34474" xr:uid="{00000000-0005-0000-0000-000051420000}"/>
    <cellStyle name="20% - Accent6 3 2 3 2 2 2 3" xfId="17523" xr:uid="{00000000-0005-0000-0000-000052420000}"/>
    <cellStyle name="20% - Accent6 3 2 3 2 2 2 3 2" xfId="40125" xr:uid="{00000000-0005-0000-0000-000053420000}"/>
    <cellStyle name="20% - Accent6 3 2 3 2 2 2 4" xfId="28824" xr:uid="{00000000-0005-0000-0000-000054420000}"/>
    <cellStyle name="20% - Accent6 3 2 3 2 2 3" xfId="9040" xr:uid="{00000000-0005-0000-0000-000055420000}"/>
    <cellStyle name="20% - Accent6 3 2 3 2 2 3 2" xfId="20341" xr:uid="{00000000-0005-0000-0000-000056420000}"/>
    <cellStyle name="20% - Accent6 3 2 3 2 2 3 2 2" xfId="42943" xr:uid="{00000000-0005-0000-0000-000057420000}"/>
    <cellStyle name="20% - Accent6 3 2 3 2 2 3 3" xfId="31642" xr:uid="{00000000-0005-0000-0000-000058420000}"/>
    <cellStyle name="20% - Accent6 3 2 3 2 2 4" xfId="14691" xr:uid="{00000000-0005-0000-0000-000059420000}"/>
    <cellStyle name="20% - Accent6 3 2 3 2 2 4 2" xfId="37293" xr:uid="{00000000-0005-0000-0000-00005A420000}"/>
    <cellStyle name="20% - Accent6 3 2 3 2 2 5" xfId="25992" xr:uid="{00000000-0005-0000-0000-00005B420000}"/>
    <cellStyle name="20% - Accent6 3 2 3 2 3" xfId="4988" xr:uid="{00000000-0005-0000-0000-00005C420000}"/>
    <cellStyle name="20% - Accent6 3 2 3 2 3 2" xfId="10638" xr:uid="{00000000-0005-0000-0000-00005D420000}"/>
    <cellStyle name="20% - Accent6 3 2 3 2 3 2 2" xfId="21939" xr:uid="{00000000-0005-0000-0000-00005E420000}"/>
    <cellStyle name="20% - Accent6 3 2 3 2 3 2 2 2" xfId="44541" xr:uid="{00000000-0005-0000-0000-00005F420000}"/>
    <cellStyle name="20% - Accent6 3 2 3 2 3 2 3" xfId="33240" xr:uid="{00000000-0005-0000-0000-000060420000}"/>
    <cellStyle name="20% - Accent6 3 2 3 2 3 3" xfId="16289" xr:uid="{00000000-0005-0000-0000-000061420000}"/>
    <cellStyle name="20% - Accent6 3 2 3 2 3 3 2" xfId="38891" xr:uid="{00000000-0005-0000-0000-000062420000}"/>
    <cellStyle name="20% - Accent6 3 2 3 2 3 4" xfId="27590" xr:uid="{00000000-0005-0000-0000-000063420000}"/>
    <cellStyle name="20% - Accent6 3 2 3 2 4" xfId="7627" xr:uid="{00000000-0005-0000-0000-000064420000}"/>
    <cellStyle name="20% - Accent6 3 2 3 2 4 2" xfId="18928" xr:uid="{00000000-0005-0000-0000-000065420000}"/>
    <cellStyle name="20% - Accent6 3 2 3 2 4 2 2" xfId="41530" xr:uid="{00000000-0005-0000-0000-000066420000}"/>
    <cellStyle name="20% - Accent6 3 2 3 2 4 3" xfId="30229" xr:uid="{00000000-0005-0000-0000-000067420000}"/>
    <cellStyle name="20% - Accent6 3 2 3 2 5" xfId="13278" xr:uid="{00000000-0005-0000-0000-000068420000}"/>
    <cellStyle name="20% - Accent6 3 2 3 2 5 2" xfId="35880" xr:uid="{00000000-0005-0000-0000-000069420000}"/>
    <cellStyle name="20% - Accent6 3 2 3 2 6" xfId="24579" xr:uid="{00000000-0005-0000-0000-00006A420000}"/>
    <cellStyle name="20% - Accent6 3 2 3 3" xfId="2579" xr:uid="{00000000-0005-0000-0000-00006B420000}"/>
    <cellStyle name="20% - Accent6 3 2 3 3 2" xfId="5598" xr:uid="{00000000-0005-0000-0000-00006C420000}"/>
    <cellStyle name="20% - Accent6 3 2 3 3 2 2" xfId="11248" xr:uid="{00000000-0005-0000-0000-00006D420000}"/>
    <cellStyle name="20% - Accent6 3 2 3 3 2 2 2" xfId="22549" xr:uid="{00000000-0005-0000-0000-00006E420000}"/>
    <cellStyle name="20% - Accent6 3 2 3 3 2 2 2 2" xfId="45151" xr:uid="{00000000-0005-0000-0000-00006F420000}"/>
    <cellStyle name="20% - Accent6 3 2 3 3 2 2 3" xfId="33850" xr:uid="{00000000-0005-0000-0000-000070420000}"/>
    <cellStyle name="20% - Accent6 3 2 3 3 2 3" xfId="16899" xr:uid="{00000000-0005-0000-0000-000071420000}"/>
    <cellStyle name="20% - Accent6 3 2 3 3 2 3 2" xfId="39501" xr:uid="{00000000-0005-0000-0000-000072420000}"/>
    <cellStyle name="20% - Accent6 3 2 3 3 2 4" xfId="28200" xr:uid="{00000000-0005-0000-0000-000073420000}"/>
    <cellStyle name="20% - Accent6 3 2 3 3 3" xfId="8415" xr:uid="{00000000-0005-0000-0000-000074420000}"/>
    <cellStyle name="20% - Accent6 3 2 3 3 3 2" xfId="19716" xr:uid="{00000000-0005-0000-0000-000075420000}"/>
    <cellStyle name="20% - Accent6 3 2 3 3 3 2 2" xfId="42318" xr:uid="{00000000-0005-0000-0000-000076420000}"/>
    <cellStyle name="20% - Accent6 3 2 3 3 3 3" xfId="31017" xr:uid="{00000000-0005-0000-0000-000077420000}"/>
    <cellStyle name="20% - Accent6 3 2 3 3 4" xfId="14066" xr:uid="{00000000-0005-0000-0000-000078420000}"/>
    <cellStyle name="20% - Accent6 3 2 3 3 4 2" xfId="36668" xr:uid="{00000000-0005-0000-0000-000079420000}"/>
    <cellStyle name="20% - Accent6 3 2 3 3 5" xfId="25367" xr:uid="{00000000-0005-0000-0000-00007A420000}"/>
    <cellStyle name="20% - Accent6 3 2 3 4" xfId="4364" xr:uid="{00000000-0005-0000-0000-00007B420000}"/>
    <cellStyle name="20% - Accent6 3 2 3 4 2" xfId="10014" xr:uid="{00000000-0005-0000-0000-00007C420000}"/>
    <cellStyle name="20% - Accent6 3 2 3 4 2 2" xfId="21315" xr:uid="{00000000-0005-0000-0000-00007D420000}"/>
    <cellStyle name="20% - Accent6 3 2 3 4 2 2 2" xfId="43917" xr:uid="{00000000-0005-0000-0000-00007E420000}"/>
    <cellStyle name="20% - Accent6 3 2 3 4 2 3" xfId="32616" xr:uid="{00000000-0005-0000-0000-00007F420000}"/>
    <cellStyle name="20% - Accent6 3 2 3 4 3" xfId="15665" xr:uid="{00000000-0005-0000-0000-000080420000}"/>
    <cellStyle name="20% - Accent6 3 2 3 4 3 2" xfId="38267" xr:uid="{00000000-0005-0000-0000-000081420000}"/>
    <cellStyle name="20% - Accent6 3 2 3 4 4" xfId="26966" xr:uid="{00000000-0005-0000-0000-000082420000}"/>
    <cellStyle name="20% - Accent6 3 2 3 5" xfId="7161" xr:uid="{00000000-0005-0000-0000-000083420000}"/>
    <cellStyle name="20% - Accent6 3 2 3 5 2" xfId="18462" xr:uid="{00000000-0005-0000-0000-000084420000}"/>
    <cellStyle name="20% - Accent6 3 2 3 5 2 2" xfId="41064" xr:uid="{00000000-0005-0000-0000-000085420000}"/>
    <cellStyle name="20% - Accent6 3 2 3 5 3" xfId="29763" xr:uid="{00000000-0005-0000-0000-000086420000}"/>
    <cellStyle name="20% - Accent6 3 2 3 6" xfId="12812" xr:uid="{00000000-0005-0000-0000-000087420000}"/>
    <cellStyle name="20% - Accent6 3 2 3 6 2" xfId="35414" xr:uid="{00000000-0005-0000-0000-000088420000}"/>
    <cellStyle name="20% - Accent6 3 2 3 7" xfId="24113" xr:uid="{00000000-0005-0000-0000-000089420000}"/>
    <cellStyle name="20% - Accent6 3 2 4" xfId="871" xr:uid="{00000000-0005-0000-0000-00008A420000}"/>
    <cellStyle name="20% - Accent6 3 2 4 2" xfId="2943" xr:uid="{00000000-0005-0000-0000-00008B420000}"/>
    <cellStyle name="20% - Accent6 3 2 4 2 2" xfId="5915" xr:uid="{00000000-0005-0000-0000-00008C420000}"/>
    <cellStyle name="20% - Accent6 3 2 4 2 2 2" xfId="11565" xr:uid="{00000000-0005-0000-0000-00008D420000}"/>
    <cellStyle name="20% - Accent6 3 2 4 2 2 2 2" xfId="22866" xr:uid="{00000000-0005-0000-0000-00008E420000}"/>
    <cellStyle name="20% - Accent6 3 2 4 2 2 2 2 2" xfId="45468" xr:uid="{00000000-0005-0000-0000-00008F420000}"/>
    <cellStyle name="20% - Accent6 3 2 4 2 2 2 3" xfId="34167" xr:uid="{00000000-0005-0000-0000-000090420000}"/>
    <cellStyle name="20% - Accent6 3 2 4 2 2 3" xfId="17216" xr:uid="{00000000-0005-0000-0000-000091420000}"/>
    <cellStyle name="20% - Accent6 3 2 4 2 2 3 2" xfId="39818" xr:uid="{00000000-0005-0000-0000-000092420000}"/>
    <cellStyle name="20% - Accent6 3 2 4 2 2 4" xfId="28517" xr:uid="{00000000-0005-0000-0000-000093420000}"/>
    <cellStyle name="20% - Accent6 3 2 4 2 3" xfId="8733" xr:uid="{00000000-0005-0000-0000-000094420000}"/>
    <cellStyle name="20% - Accent6 3 2 4 2 3 2" xfId="20034" xr:uid="{00000000-0005-0000-0000-000095420000}"/>
    <cellStyle name="20% - Accent6 3 2 4 2 3 2 2" xfId="42636" xr:uid="{00000000-0005-0000-0000-000096420000}"/>
    <cellStyle name="20% - Accent6 3 2 4 2 3 3" xfId="31335" xr:uid="{00000000-0005-0000-0000-000097420000}"/>
    <cellStyle name="20% - Accent6 3 2 4 2 4" xfId="14384" xr:uid="{00000000-0005-0000-0000-000098420000}"/>
    <cellStyle name="20% - Accent6 3 2 4 2 4 2" xfId="36986" xr:uid="{00000000-0005-0000-0000-000099420000}"/>
    <cellStyle name="20% - Accent6 3 2 4 2 5" xfId="25685" xr:uid="{00000000-0005-0000-0000-00009A420000}"/>
    <cellStyle name="20% - Accent6 3 2 4 3" xfId="4681" xr:uid="{00000000-0005-0000-0000-00009B420000}"/>
    <cellStyle name="20% - Accent6 3 2 4 3 2" xfId="10331" xr:uid="{00000000-0005-0000-0000-00009C420000}"/>
    <cellStyle name="20% - Accent6 3 2 4 3 2 2" xfId="21632" xr:uid="{00000000-0005-0000-0000-00009D420000}"/>
    <cellStyle name="20% - Accent6 3 2 4 3 2 2 2" xfId="44234" xr:uid="{00000000-0005-0000-0000-00009E420000}"/>
    <cellStyle name="20% - Accent6 3 2 4 3 2 3" xfId="32933" xr:uid="{00000000-0005-0000-0000-00009F420000}"/>
    <cellStyle name="20% - Accent6 3 2 4 3 3" xfId="15982" xr:uid="{00000000-0005-0000-0000-0000A0420000}"/>
    <cellStyle name="20% - Accent6 3 2 4 3 3 2" xfId="38584" xr:uid="{00000000-0005-0000-0000-0000A1420000}"/>
    <cellStyle name="20% - Accent6 3 2 4 3 4" xfId="27283" xr:uid="{00000000-0005-0000-0000-0000A2420000}"/>
    <cellStyle name="20% - Accent6 3 2 4 4" xfId="6868" xr:uid="{00000000-0005-0000-0000-0000A3420000}"/>
    <cellStyle name="20% - Accent6 3 2 4 4 2" xfId="18169" xr:uid="{00000000-0005-0000-0000-0000A4420000}"/>
    <cellStyle name="20% - Accent6 3 2 4 4 2 2" xfId="40771" xr:uid="{00000000-0005-0000-0000-0000A5420000}"/>
    <cellStyle name="20% - Accent6 3 2 4 4 3" xfId="29470" xr:uid="{00000000-0005-0000-0000-0000A6420000}"/>
    <cellStyle name="20% - Accent6 3 2 4 5" xfId="12519" xr:uid="{00000000-0005-0000-0000-0000A7420000}"/>
    <cellStyle name="20% - Accent6 3 2 4 5 2" xfId="35121" xr:uid="{00000000-0005-0000-0000-0000A8420000}"/>
    <cellStyle name="20% - Accent6 3 2 4 6" xfId="23820" xr:uid="{00000000-0005-0000-0000-0000A9420000}"/>
    <cellStyle name="20% - Accent6 3 2 5" xfId="1768" xr:uid="{00000000-0005-0000-0000-0000AA420000}"/>
    <cellStyle name="20% - Accent6 3 2 5 2" xfId="3681" xr:uid="{00000000-0005-0000-0000-0000AB420000}"/>
    <cellStyle name="20% - Accent6 3 2 5 2 2" xfId="9392" xr:uid="{00000000-0005-0000-0000-0000AC420000}"/>
    <cellStyle name="20% - Accent6 3 2 5 2 2 2" xfId="20693" xr:uid="{00000000-0005-0000-0000-0000AD420000}"/>
    <cellStyle name="20% - Accent6 3 2 5 2 2 2 2" xfId="43295" xr:uid="{00000000-0005-0000-0000-0000AE420000}"/>
    <cellStyle name="20% - Accent6 3 2 5 2 2 3" xfId="31994" xr:uid="{00000000-0005-0000-0000-0000AF420000}"/>
    <cellStyle name="20% - Accent6 3 2 5 2 3" xfId="15043" xr:uid="{00000000-0005-0000-0000-0000B0420000}"/>
    <cellStyle name="20% - Accent6 3 2 5 2 3 2" xfId="37645" xr:uid="{00000000-0005-0000-0000-0000B1420000}"/>
    <cellStyle name="20% - Accent6 3 2 5 2 4" xfId="26344" xr:uid="{00000000-0005-0000-0000-0000B2420000}"/>
    <cellStyle name="20% - Accent6 3 2 5 3" xfId="5291" xr:uid="{00000000-0005-0000-0000-0000B3420000}"/>
    <cellStyle name="20% - Accent6 3 2 5 3 2" xfId="10941" xr:uid="{00000000-0005-0000-0000-0000B4420000}"/>
    <cellStyle name="20% - Accent6 3 2 5 3 2 2" xfId="22242" xr:uid="{00000000-0005-0000-0000-0000B5420000}"/>
    <cellStyle name="20% - Accent6 3 2 5 3 2 2 2" xfId="44844" xr:uid="{00000000-0005-0000-0000-0000B6420000}"/>
    <cellStyle name="20% - Accent6 3 2 5 3 2 3" xfId="33543" xr:uid="{00000000-0005-0000-0000-0000B7420000}"/>
    <cellStyle name="20% - Accent6 3 2 5 3 3" xfId="16592" xr:uid="{00000000-0005-0000-0000-0000B8420000}"/>
    <cellStyle name="20% - Accent6 3 2 5 3 3 2" xfId="39194" xr:uid="{00000000-0005-0000-0000-0000B9420000}"/>
    <cellStyle name="20% - Accent6 3 2 5 3 4" xfId="27893" xr:uid="{00000000-0005-0000-0000-0000BA420000}"/>
    <cellStyle name="20% - Accent6 3 2 5 4" xfId="7624" xr:uid="{00000000-0005-0000-0000-0000BB420000}"/>
    <cellStyle name="20% - Accent6 3 2 5 4 2" xfId="18925" xr:uid="{00000000-0005-0000-0000-0000BC420000}"/>
    <cellStyle name="20% - Accent6 3 2 5 4 2 2" xfId="41527" xr:uid="{00000000-0005-0000-0000-0000BD420000}"/>
    <cellStyle name="20% - Accent6 3 2 5 4 3" xfId="30226" xr:uid="{00000000-0005-0000-0000-0000BE420000}"/>
    <cellStyle name="20% - Accent6 3 2 5 5" xfId="13275" xr:uid="{00000000-0005-0000-0000-0000BF420000}"/>
    <cellStyle name="20% - Accent6 3 2 5 5 2" xfId="35877" xr:uid="{00000000-0005-0000-0000-0000C0420000}"/>
    <cellStyle name="20% - Accent6 3 2 5 6" xfId="24576" xr:uid="{00000000-0005-0000-0000-0000C1420000}"/>
    <cellStyle name="20% - Accent6 3 2 6" xfId="2270" xr:uid="{00000000-0005-0000-0000-0000C2420000}"/>
    <cellStyle name="20% - Accent6 3 2 6 2" xfId="8106" xr:uid="{00000000-0005-0000-0000-0000C3420000}"/>
    <cellStyle name="20% - Accent6 3 2 6 2 2" xfId="19407" xr:uid="{00000000-0005-0000-0000-0000C4420000}"/>
    <cellStyle name="20% - Accent6 3 2 6 2 2 2" xfId="42009" xr:uid="{00000000-0005-0000-0000-0000C5420000}"/>
    <cellStyle name="20% - Accent6 3 2 6 2 3" xfId="30708" xr:uid="{00000000-0005-0000-0000-0000C6420000}"/>
    <cellStyle name="20% - Accent6 3 2 6 3" xfId="13757" xr:uid="{00000000-0005-0000-0000-0000C7420000}"/>
    <cellStyle name="20% - Accent6 3 2 6 3 2" xfId="36359" xr:uid="{00000000-0005-0000-0000-0000C8420000}"/>
    <cellStyle name="20% - Accent6 3 2 6 4" xfId="25058" xr:uid="{00000000-0005-0000-0000-0000C9420000}"/>
    <cellStyle name="20% - Accent6 3 2 7" xfId="4057" xr:uid="{00000000-0005-0000-0000-0000CA420000}"/>
    <cellStyle name="20% - Accent6 3 2 7 2" xfId="9707" xr:uid="{00000000-0005-0000-0000-0000CB420000}"/>
    <cellStyle name="20% - Accent6 3 2 7 2 2" xfId="21008" xr:uid="{00000000-0005-0000-0000-0000CC420000}"/>
    <cellStyle name="20% - Accent6 3 2 7 2 2 2" xfId="43610" xr:uid="{00000000-0005-0000-0000-0000CD420000}"/>
    <cellStyle name="20% - Accent6 3 2 7 2 3" xfId="32309" xr:uid="{00000000-0005-0000-0000-0000CE420000}"/>
    <cellStyle name="20% - Accent6 3 2 7 3" xfId="15358" xr:uid="{00000000-0005-0000-0000-0000CF420000}"/>
    <cellStyle name="20% - Accent6 3 2 7 3 2" xfId="37960" xr:uid="{00000000-0005-0000-0000-0000D0420000}"/>
    <cellStyle name="20% - Accent6 3 2 7 4" xfId="26659" xr:uid="{00000000-0005-0000-0000-0000D1420000}"/>
    <cellStyle name="20% - Accent6 3 2 8" xfId="6508" xr:uid="{00000000-0005-0000-0000-0000D2420000}"/>
    <cellStyle name="20% - Accent6 3 2 8 2" xfId="17809" xr:uid="{00000000-0005-0000-0000-0000D3420000}"/>
    <cellStyle name="20% - Accent6 3 2 8 2 2" xfId="40411" xr:uid="{00000000-0005-0000-0000-0000D4420000}"/>
    <cellStyle name="20% - Accent6 3 2 8 3" xfId="29110" xr:uid="{00000000-0005-0000-0000-0000D5420000}"/>
    <cellStyle name="20% - Accent6 3 2 9" xfId="12159" xr:uid="{00000000-0005-0000-0000-0000D6420000}"/>
    <cellStyle name="20% - Accent6 3 2 9 2" xfId="34761" xr:uid="{00000000-0005-0000-0000-0000D7420000}"/>
    <cellStyle name="20% - Accent6 3 3" xfId="414" xr:uid="{00000000-0005-0000-0000-0000D8420000}"/>
    <cellStyle name="20% - Accent6 3 3 10" xfId="23509" xr:uid="{00000000-0005-0000-0000-0000D9420000}"/>
    <cellStyle name="20% - Accent6 3 3 2" xfId="659" xr:uid="{00000000-0005-0000-0000-0000DA420000}"/>
    <cellStyle name="20% - Accent6 3 3 2 2" xfId="1369" xr:uid="{00000000-0005-0000-0000-0000DB420000}"/>
    <cellStyle name="20% - Accent6 3 3 2 2 2" xfId="1774" xr:uid="{00000000-0005-0000-0000-0000DC420000}"/>
    <cellStyle name="20% - Accent6 3 3 2 2 2 2" xfId="3438" xr:uid="{00000000-0005-0000-0000-0000DD420000}"/>
    <cellStyle name="20% - Accent6 3 3 2 2 2 2 2" xfId="6410" xr:uid="{00000000-0005-0000-0000-0000DE420000}"/>
    <cellStyle name="20% - Accent6 3 3 2 2 2 2 2 2" xfId="12060" xr:uid="{00000000-0005-0000-0000-0000DF420000}"/>
    <cellStyle name="20% - Accent6 3 3 2 2 2 2 2 2 2" xfId="23361" xr:uid="{00000000-0005-0000-0000-0000E0420000}"/>
    <cellStyle name="20% - Accent6 3 3 2 2 2 2 2 2 2 2" xfId="45963" xr:uid="{00000000-0005-0000-0000-0000E1420000}"/>
    <cellStyle name="20% - Accent6 3 3 2 2 2 2 2 2 3" xfId="34662" xr:uid="{00000000-0005-0000-0000-0000E2420000}"/>
    <cellStyle name="20% - Accent6 3 3 2 2 2 2 2 3" xfId="17711" xr:uid="{00000000-0005-0000-0000-0000E3420000}"/>
    <cellStyle name="20% - Accent6 3 3 2 2 2 2 2 3 2" xfId="40313" xr:uid="{00000000-0005-0000-0000-0000E4420000}"/>
    <cellStyle name="20% - Accent6 3 3 2 2 2 2 2 4" xfId="29012" xr:uid="{00000000-0005-0000-0000-0000E5420000}"/>
    <cellStyle name="20% - Accent6 3 3 2 2 2 2 3" xfId="9228" xr:uid="{00000000-0005-0000-0000-0000E6420000}"/>
    <cellStyle name="20% - Accent6 3 3 2 2 2 2 3 2" xfId="20529" xr:uid="{00000000-0005-0000-0000-0000E7420000}"/>
    <cellStyle name="20% - Accent6 3 3 2 2 2 2 3 2 2" xfId="43131" xr:uid="{00000000-0005-0000-0000-0000E8420000}"/>
    <cellStyle name="20% - Accent6 3 3 2 2 2 2 3 3" xfId="31830" xr:uid="{00000000-0005-0000-0000-0000E9420000}"/>
    <cellStyle name="20% - Accent6 3 3 2 2 2 2 4" xfId="14879" xr:uid="{00000000-0005-0000-0000-0000EA420000}"/>
    <cellStyle name="20% - Accent6 3 3 2 2 2 2 4 2" xfId="37481" xr:uid="{00000000-0005-0000-0000-0000EB420000}"/>
    <cellStyle name="20% - Accent6 3 3 2 2 2 2 5" xfId="26180" xr:uid="{00000000-0005-0000-0000-0000EC420000}"/>
    <cellStyle name="20% - Accent6 3 3 2 2 2 3" xfId="5176" xr:uid="{00000000-0005-0000-0000-0000ED420000}"/>
    <cellStyle name="20% - Accent6 3 3 2 2 2 3 2" xfId="10826" xr:uid="{00000000-0005-0000-0000-0000EE420000}"/>
    <cellStyle name="20% - Accent6 3 3 2 2 2 3 2 2" xfId="22127" xr:uid="{00000000-0005-0000-0000-0000EF420000}"/>
    <cellStyle name="20% - Accent6 3 3 2 2 2 3 2 2 2" xfId="44729" xr:uid="{00000000-0005-0000-0000-0000F0420000}"/>
    <cellStyle name="20% - Accent6 3 3 2 2 2 3 2 3" xfId="33428" xr:uid="{00000000-0005-0000-0000-0000F1420000}"/>
    <cellStyle name="20% - Accent6 3 3 2 2 2 3 3" xfId="16477" xr:uid="{00000000-0005-0000-0000-0000F2420000}"/>
    <cellStyle name="20% - Accent6 3 3 2 2 2 3 3 2" xfId="39079" xr:uid="{00000000-0005-0000-0000-0000F3420000}"/>
    <cellStyle name="20% - Accent6 3 3 2 2 2 3 4" xfId="27778" xr:uid="{00000000-0005-0000-0000-0000F4420000}"/>
    <cellStyle name="20% - Accent6 3 3 2 2 2 4" xfId="7630" xr:uid="{00000000-0005-0000-0000-0000F5420000}"/>
    <cellStyle name="20% - Accent6 3 3 2 2 2 4 2" xfId="18931" xr:uid="{00000000-0005-0000-0000-0000F6420000}"/>
    <cellStyle name="20% - Accent6 3 3 2 2 2 4 2 2" xfId="41533" xr:uid="{00000000-0005-0000-0000-0000F7420000}"/>
    <cellStyle name="20% - Accent6 3 3 2 2 2 4 3" xfId="30232" xr:uid="{00000000-0005-0000-0000-0000F8420000}"/>
    <cellStyle name="20% - Accent6 3 3 2 2 2 5" xfId="13281" xr:uid="{00000000-0005-0000-0000-0000F9420000}"/>
    <cellStyle name="20% - Accent6 3 3 2 2 2 5 2" xfId="35883" xr:uid="{00000000-0005-0000-0000-0000FA420000}"/>
    <cellStyle name="20% - Accent6 3 3 2 2 2 6" xfId="24582" xr:uid="{00000000-0005-0000-0000-0000FB420000}"/>
    <cellStyle name="20% - Accent6 3 3 2 2 3" xfId="2767" xr:uid="{00000000-0005-0000-0000-0000FC420000}"/>
    <cellStyle name="20% - Accent6 3 3 2 2 3 2" xfId="5786" xr:uid="{00000000-0005-0000-0000-0000FD420000}"/>
    <cellStyle name="20% - Accent6 3 3 2 2 3 2 2" xfId="11436" xr:uid="{00000000-0005-0000-0000-0000FE420000}"/>
    <cellStyle name="20% - Accent6 3 3 2 2 3 2 2 2" xfId="22737" xr:uid="{00000000-0005-0000-0000-0000FF420000}"/>
    <cellStyle name="20% - Accent6 3 3 2 2 3 2 2 2 2" xfId="45339" xr:uid="{00000000-0005-0000-0000-000000430000}"/>
    <cellStyle name="20% - Accent6 3 3 2 2 3 2 2 3" xfId="34038" xr:uid="{00000000-0005-0000-0000-000001430000}"/>
    <cellStyle name="20% - Accent6 3 3 2 2 3 2 3" xfId="17087" xr:uid="{00000000-0005-0000-0000-000002430000}"/>
    <cellStyle name="20% - Accent6 3 3 2 2 3 2 3 2" xfId="39689" xr:uid="{00000000-0005-0000-0000-000003430000}"/>
    <cellStyle name="20% - Accent6 3 3 2 2 3 2 4" xfId="28388" xr:uid="{00000000-0005-0000-0000-000004430000}"/>
    <cellStyle name="20% - Accent6 3 3 2 2 3 3" xfId="8603" xr:uid="{00000000-0005-0000-0000-000005430000}"/>
    <cellStyle name="20% - Accent6 3 3 2 2 3 3 2" xfId="19904" xr:uid="{00000000-0005-0000-0000-000006430000}"/>
    <cellStyle name="20% - Accent6 3 3 2 2 3 3 2 2" xfId="42506" xr:uid="{00000000-0005-0000-0000-000007430000}"/>
    <cellStyle name="20% - Accent6 3 3 2 2 3 3 3" xfId="31205" xr:uid="{00000000-0005-0000-0000-000008430000}"/>
    <cellStyle name="20% - Accent6 3 3 2 2 3 4" xfId="14254" xr:uid="{00000000-0005-0000-0000-000009430000}"/>
    <cellStyle name="20% - Accent6 3 3 2 2 3 4 2" xfId="36856" xr:uid="{00000000-0005-0000-0000-00000A430000}"/>
    <cellStyle name="20% - Accent6 3 3 2 2 3 5" xfId="25555" xr:uid="{00000000-0005-0000-0000-00000B430000}"/>
    <cellStyle name="20% - Accent6 3 3 2 2 4" xfId="4552" xr:uid="{00000000-0005-0000-0000-00000C430000}"/>
    <cellStyle name="20% - Accent6 3 3 2 2 4 2" xfId="10202" xr:uid="{00000000-0005-0000-0000-00000D430000}"/>
    <cellStyle name="20% - Accent6 3 3 2 2 4 2 2" xfId="21503" xr:uid="{00000000-0005-0000-0000-00000E430000}"/>
    <cellStyle name="20% - Accent6 3 3 2 2 4 2 2 2" xfId="44105" xr:uid="{00000000-0005-0000-0000-00000F430000}"/>
    <cellStyle name="20% - Accent6 3 3 2 2 4 2 3" xfId="32804" xr:uid="{00000000-0005-0000-0000-000010430000}"/>
    <cellStyle name="20% - Accent6 3 3 2 2 4 3" xfId="15853" xr:uid="{00000000-0005-0000-0000-000011430000}"/>
    <cellStyle name="20% - Accent6 3 3 2 2 4 3 2" xfId="38455" xr:uid="{00000000-0005-0000-0000-000012430000}"/>
    <cellStyle name="20% - Accent6 3 3 2 2 4 4" xfId="27154" xr:uid="{00000000-0005-0000-0000-000013430000}"/>
    <cellStyle name="20% - Accent6 3 3 2 2 5" xfId="7348" xr:uid="{00000000-0005-0000-0000-000014430000}"/>
    <cellStyle name="20% - Accent6 3 3 2 2 5 2" xfId="18649" xr:uid="{00000000-0005-0000-0000-000015430000}"/>
    <cellStyle name="20% - Accent6 3 3 2 2 5 2 2" xfId="41251" xr:uid="{00000000-0005-0000-0000-000016430000}"/>
    <cellStyle name="20% - Accent6 3 3 2 2 5 3" xfId="29950" xr:uid="{00000000-0005-0000-0000-000017430000}"/>
    <cellStyle name="20% - Accent6 3 3 2 2 6" xfId="12999" xr:uid="{00000000-0005-0000-0000-000018430000}"/>
    <cellStyle name="20% - Accent6 3 3 2 2 6 2" xfId="35601" xr:uid="{00000000-0005-0000-0000-000019430000}"/>
    <cellStyle name="20% - Accent6 3 3 2 2 7" xfId="24300" xr:uid="{00000000-0005-0000-0000-00001A430000}"/>
    <cellStyle name="20% - Accent6 3 3 2 3" xfId="1067" xr:uid="{00000000-0005-0000-0000-00001B430000}"/>
    <cellStyle name="20% - Accent6 3 3 2 3 2" xfId="3130" xr:uid="{00000000-0005-0000-0000-00001C430000}"/>
    <cellStyle name="20% - Accent6 3 3 2 3 2 2" xfId="6102" xr:uid="{00000000-0005-0000-0000-00001D430000}"/>
    <cellStyle name="20% - Accent6 3 3 2 3 2 2 2" xfId="11752" xr:uid="{00000000-0005-0000-0000-00001E430000}"/>
    <cellStyle name="20% - Accent6 3 3 2 3 2 2 2 2" xfId="23053" xr:uid="{00000000-0005-0000-0000-00001F430000}"/>
    <cellStyle name="20% - Accent6 3 3 2 3 2 2 2 2 2" xfId="45655" xr:uid="{00000000-0005-0000-0000-000020430000}"/>
    <cellStyle name="20% - Accent6 3 3 2 3 2 2 2 3" xfId="34354" xr:uid="{00000000-0005-0000-0000-000021430000}"/>
    <cellStyle name="20% - Accent6 3 3 2 3 2 2 3" xfId="17403" xr:uid="{00000000-0005-0000-0000-000022430000}"/>
    <cellStyle name="20% - Accent6 3 3 2 3 2 2 3 2" xfId="40005" xr:uid="{00000000-0005-0000-0000-000023430000}"/>
    <cellStyle name="20% - Accent6 3 3 2 3 2 2 4" xfId="28704" xr:uid="{00000000-0005-0000-0000-000024430000}"/>
    <cellStyle name="20% - Accent6 3 3 2 3 2 3" xfId="8920" xr:uid="{00000000-0005-0000-0000-000025430000}"/>
    <cellStyle name="20% - Accent6 3 3 2 3 2 3 2" xfId="20221" xr:uid="{00000000-0005-0000-0000-000026430000}"/>
    <cellStyle name="20% - Accent6 3 3 2 3 2 3 2 2" xfId="42823" xr:uid="{00000000-0005-0000-0000-000027430000}"/>
    <cellStyle name="20% - Accent6 3 3 2 3 2 3 3" xfId="31522" xr:uid="{00000000-0005-0000-0000-000028430000}"/>
    <cellStyle name="20% - Accent6 3 3 2 3 2 4" xfId="14571" xr:uid="{00000000-0005-0000-0000-000029430000}"/>
    <cellStyle name="20% - Accent6 3 3 2 3 2 4 2" xfId="37173" xr:uid="{00000000-0005-0000-0000-00002A430000}"/>
    <cellStyle name="20% - Accent6 3 3 2 3 2 5" xfId="25872" xr:uid="{00000000-0005-0000-0000-00002B430000}"/>
    <cellStyle name="20% - Accent6 3 3 2 3 3" xfId="4868" xr:uid="{00000000-0005-0000-0000-00002C430000}"/>
    <cellStyle name="20% - Accent6 3 3 2 3 3 2" xfId="10518" xr:uid="{00000000-0005-0000-0000-00002D430000}"/>
    <cellStyle name="20% - Accent6 3 3 2 3 3 2 2" xfId="21819" xr:uid="{00000000-0005-0000-0000-00002E430000}"/>
    <cellStyle name="20% - Accent6 3 3 2 3 3 2 2 2" xfId="44421" xr:uid="{00000000-0005-0000-0000-00002F430000}"/>
    <cellStyle name="20% - Accent6 3 3 2 3 3 2 3" xfId="33120" xr:uid="{00000000-0005-0000-0000-000030430000}"/>
    <cellStyle name="20% - Accent6 3 3 2 3 3 3" xfId="16169" xr:uid="{00000000-0005-0000-0000-000031430000}"/>
    <cellStyle name="20% - Accent6 3 3 2 3 3 3 2" xfId="38771" xr:uid="{00000000-0005-0000-0000-000032430000}"/>
    <cellStyle name="20% - Accent6 3 3 2 3 3 4" xfId="27470" xr:uid="{00000000-0005-0000-0000-000033430000}"/>
    <cellStyle name="20% - Accent6 3 3 2 3 4" xfId="7055" xr:uid="{00000000-0005-0000-0000-000034430000}"/>
    <cellStyle name="20% - Accent6 3 3 2 3 4 2" xfId="18356" xr:uid="{00000000-0005-0000-0000-000035430000}"/>
    <cellStyle name="20% - Accent6 3 3 2 3 4 2 2" xfId="40958" xr:uid="{00000000-0005-0000-0000-000036430000}"/>
    <cellStyle name="20% - Accent6 3 3 2 3 4 3" xfId="29657" xr:uid="{00000000-0005-0000-0000-000037430000}"/>
    <cellStyle name="20% - Accent6 3 3 2 3 5" xfId="12706" xr:uid="{00000000-0005-0000-0000-000038430000}"/>
    <cellStyle name="20% - Accent6 3 3 2 3 5 2" xfId="35308" xr:uid="{00000000-0005-0000-0000-000039430000}"/>
    <cellStyle name="20% - Accent6 3 3 2 3 6" xfId="24007" xr:uid="{00000000-0005-0000-0000-00003A430000}"/>
    <cellStyle name="20% - Accent6 3 3 2 4" xfId="1773" xr:uid="{00000000-0005-0000-0000-00003B430000}"/>
    <cellStyle name="20% - Accent6 3 3 2 4 2" xfId="3684" xr:uid="{00000000-0005-0000-0000-00003C430000}"/>
    <cellStyle name="20% - Accent6 3 3 2 4 2 2" xfId="9395" xr:uid="{00000000-0005-0000-0000-00003D430000}"/>
    <cellStyle name="20% - Accent6 3 3 2 4 2 2 2" xfId="20696" xr:uid="{00000000-0005-0000-0000-00003E430000}"/>
    <cellStyle name="20% - Accent6 3 3 2 4 2 2 2 2" xfId="43298" xr:uid="{00000000-0005-0000-0000-00003F430000}"/>
    <cellStyle name="20% - Accent6 3 3 2 4 2 2 3" xfId="31997" xr:uid="{00000000-0005-0000-0000-000040430000}"/>
    <cellStyle name="20% - Accent6 3 3 2 4 2 3" xfId="15046" xr:uid="{00000000-0005-0000-0000-000041430000}"/>
    <cellStyle name="20% - Accent6 3 3 2 4 2 3 2" xfId="37648" xr:uid="{00000000-0005-0000-0000-000042430000}"/>
    <cellStyle name="20% - Accent6 3 3 2 4 2 4" xfId="26347" xr:uid="{00000000-0005-0000-0000-000043430000}"/>
    <cellStyle name="20% - Accent6 3 3 2 4 3" xfId="5478" xr:uid="{00000000-0005-0000-0000-000044430000}"/>
    <cellStyle name="20% - Accent6 3 3 2 4 3 2" xfId="11128" xr:uid="{00000000-0005-0000-0000-000045430000}"/>
    <cellStyle name="20% - Accent6 3 3 2 4 3 2 2" xfId="22429" xr:uid="{00000000-0005-0000-0000-000046430000}"/>
    <cellStyle name="20% - Accent6 3 3 2 4 3 2 2 2" xfId="45031" xr:uid="{00000000-0005-0000-0000-000047430000}"/>
    <cellStyle name="20% - Accent6 3 3 2 4 3 2 3" xfId="33730" xr:uid="{00000000-0005-0000-0000-000048430000}"/>
    <cellStyle name="20% - Accent6 3 3 2 4 3 3" xfId="16779" xr:uid="{00000000-0005-0000-0000-000049430000}"/>
    <cellStyle name="20% - Accent6 3 3 2 4 3 3 2" xfId="39381" xr:uid="{00000000-0005-0000-0000-00004A430000}"/>
    <cellStyle name="20% - Accent6 3 3 2 4 3 4" xfId="28080" xr:uid="{00000000-0005-0000-0000-00004B430000}"/>
    <cellStyle name="20% - Accent6 3 3 2 4 4" xfId="7629" xr:uid="{00000000-0005-0000-0000-00004C430000}"/>
    <cellStyle name="20% - Accent6 3 3 2 4 4 2" xfId="18930" xr:uid="{00000000-0005-0000-0000-00004D430000}"/>
    <cellStyle name="20% - Accent6 3 3 2 4 4 2 2" xfId="41532" xr:uid="{00000000-0005-0000-0000-00004E430000}"/>
    <cellStyle name="20% - Accent6 3 3 2 4 4 3" xfId="30231" xr:uid="{00000000-0005-0000-0000-00004F430000}"/>
    <cellStyle name="20% - Accent6 3 3 2 4 5" xfId="13280" xr:uid="{00000000-0005-0000-0000-000050430000}"/>
    <cellStyle name="20% - Accent6 3 3 2 4 5 2" xfId="35882" xr:uid="{00000000-0005-0000-0000-000051430000}"/>
    <cellStyle name="20% - Accent6 3 3 2 4 6" xfId="24581" xr:uid="{00000000-0005-0000-0000-000052430000}"/>
    <cellStyle name="20% - Accent6 3 3 2 5" xfId="2459" xr:uid="{00000000-0005-0000-0000-000053430000}"/>
    <cellStyle name="20% - Accent6 3 3 2 5 2" xfId="8295" xr:uid="{00000000-0005-0000-0000-000054430000}"/>
    <cellStyle name="20% - Accent6 3 3 2 5 2 2" xfId="19596" xr:uid="{00000000-0005-0000-0000-000055430000}"/>
    <cellStyle name="20% - Accent6 3 3 2 5 2 2 2" xfId="42198" xr:uid="{00000000-0005-0000-0000-000056430000}"/>
    <cellStyle name="20% - Accent6 3 3 2 5 2 3" xfId="30897" xr:uid="{00000000-0005-0000-0000-000057430000}"/>
    <cellStyle name="20% - Accent6 3 3 2 5 3" xfId="13946" xr:uid="{00000000-0005-0000-0000-000058430000}"/>
    <cellStyle name="20% - Accent6 3 3 2 5 3 2" xfId="36548" xr:uid="{00000000-0005-0000-0000-000059430000}"/>
    <cellStyle name="20% - Accent6 3 3 2 5 4" xfId="25247" xr:uid="{00000000-0005-0000-0000-00005A430000}"/>
    <cellStyle name="20% - Accent6 3 3 2 6" xfId="4244" xr:uid="{00000000-0005-0000-0000-00005B430000}"/>
    <cellStyle name="20% - Accent6 3 3 2 6 2" xfId="9894" xr:uid="{00000000-0005-0000-0000-00005C430000}"/>
    <cellStyle name="20% - Accent6 3 3 2 6 2 2" xfId="21195" xr:uid="{00000000-0005-0000-0000-00005D430000}"/>
    <cellStyle name="20% - Accent6 3 3 2 6 2 2 2" xfId="43797" xr:uid="{00000000-0005-0000-0000-00005E430000}"/>
    <cellStyle name="20% - Accent6 3 3 2 6 2 3" xfId="32496" xr:uid="{00000000-0005-0000-0000-00005F430000}"/>
    <cellStyle name="20% - Accent6 3 3 2 6 3" xfId="15545" xr:uid="{00000000-0005-0000-0000-000060430000}"/>
    <cellStyle name="20% - Accent6 3 3 2 6 3 2" xfId="38147" xr:uid="{00000000-0005-0000-0000-000061430000}"/>
    <cellStyle name="20% - Accent6 3 3 2 6 4" xfId="26846" xr:uid="{00000000-0005-0000-0000-000062430000}"/>
    <cellStyle name="20% - Accent6 3 3 2 7" xfId="6724" xr:uid="{00000000-0005-0000-0000-000063430000}"/>
    <cellStyle name="20% - Accent6 3 3 2 7 2" xfId="18025" xr:uid="{00000000-0005-0000-0000-000064430000}"/>
    <cellStyle name="20% - Accent6 3 3 2 7 2 2" xfId="40627" xr:uid="{00000000-0005-0000-0000-000065430000}"/>
    <cellStyle name="20% - Accent6 3 3 2 7 3" xfId="29326" xr:uid="{00000000-0005-0000-0000-000066430000}"/>
    <cellStyle name="20% - Accent6 3 3 2 8" xfId="12375" xr:uid="{00000000-0005-0000-0000-000067430000}"/>
    <cellStyle name="20% - Accent6 3 3 2 8 2" xfId="34977" xr:uid="{00000000-0005-0000-0000-000068430000}"/>
    <cellStyle name="20% - Accent6 3 3 2 9" xfId="23676" xr:uid="{00000000-0005-0000-0000-000069430000}"/>
    <cellStyle name="20% - Accent6 3 3 3" xfId="1231" xr:uid="{00000000-0005-0000-0000-00006A430000}"/>
    <cellStyle name="20% - Accent6 3 3 3 2" xfId="1775" xr:uid="{00000000-0005-0000-0000-00006B430000}"/>
    <cellStyle name="20% - Accent6 3 3 3 2 2" xfId="3299" xr:uid="{00000000-0005-0000-0000-00006C430000}"/>
    <cellStyle name="20% - Accent6 3 3 3 2 2 2" xfId="6271" xr:uid="{00000000-0005-0000-0000-00006D430000}"/>
    <cellStyle name="20% - Accent6 3 3 3 2 2 2 2" xfId="11921" xr:uid="{00000000-0005-0000-0000-00006E430000}"/>
    <cellStyle name="20% - Accent6 3 3 3 2 2 2 2 2" xfId="23222" xr:uid="{00000000-0005-0000-0000-00006F430000}"/>
    <cellStyle name="20% - Accent6 3 3 3 2 2 2 2 2 2" xfId="45824" xr:uid="{00000000-0005-0000-0000-000070430000}"/>
    <cellStyle name="20% - Accent6 3 3 3 2 2 2 2 3" xfId="34523" xr:uid="{00000000-0005-0000-0000-000071430000}"/>
    <cellStyle name="20% - Accent6 3 3 3 2 2 2 3" xfId="17572" xr:uid="{00000000-0005-0000-0000-000072430000}"/>
    <cellStyle name="20% - Accent6 3 3 3 2 2 2 3 2" xfId="40174" xr:uid="{00000000-0005-0000-0000-000073430000}"/>
    <cellStyle name="20% - Accent6 3 3 3 2 2 2 4" xfId="28873" xr:uid="{00000000-0005-0000-0000-000074430000}"/>
    <cellStyle name="20% - Accent6 3 3 3 2 2 3" xfId="9089" xr:uid="{00000000-0005-0000-0000-000075430000}"/>
    <cellStyle name="20% - Accent6 3 3 3 2 2 3 2" xfId="20390" xr:uid="{00000000-0005-0000-0000-000076430000}"/>
    <cellStyle name="20% - Accent6 3 3 3 2 2 3 2 2" xfId="42992" xr:uid="{00000000-0005-0000-0000-000077430000}"/>
    <cellStyle name="20% - Accent6 3 3 3 2 2 3 3" xfId="31691" xr:uid="{00000000-0005-0000-0000-000078430000}"/>
    <cellStyle name="20% - Accent6 3 3 3 2 2 4" xfId="14740" xr:uid="{00000000-0005-0000-0000-000079430000}"/>
    <cellStyle name="20% - Accent6 3 3 3 2 2 4 2" xfId="37342" xr:uid="{00000000-0005-0000-0000-00007A430000}"/>
    <cellStyle name="20% - Accent6 3 3 3 2 2 5" xfId="26041" xr:uid="{00000000-0005-0000-0000-00007B430000}"/>
    <cellStyle name="20% - Accent6 3 3 3 2 3" xfId="5037" xr:uid="{00000000-0005-0000-0000-00007C430000}"/>
    <cellStyle name="20% - Accent6 3 3 3 2 3 2" xfId="10687" xr:uid="{00000000-0005-0000-0000-00007D430000}"/>
    <cellStyle name="20% - Accent6 3 3 3 2 3 2 2" xfId="21988" xr:uid="{00000000-0005-0000-0000-00007E430000}"/>
    <cellStyle name="20% - Accent6 3 3 3 2 3 2 2 2" xfId="44590" xr:uid="{00000000-0005-0000-0000-00007F430000}"/>
    <cellStyle name="20% - Accent6 3 3 3 2 3 2 3" xfId="33289" xr:uid="{00000000-0005-0000-0000-000080430000}"/>
    <cellStyle name="20% - Accent6 3 3 3 2 3 3" xfId="16338" xr:uid="{00000000-0005-0000-0000-000081430000}"/>
    <cellStyle name="20% - Accent6 3 3 3 2 3 3 2" xfId="38940" xr:uid="{00000000-0005-0000-0000-000082430000}"/>
    <cellStyle name="20% - Accent6 3 3 3 2 3 4" xfId="27639" xr:uid="{00000000-0005-0000-0000-000083430000}"/>
    <cellStyle name="20% - Accent6 3 3 3 2 4" xfId="7631" xr:uid="{00000000-0005-0000-0000-000084430000}"/>
    <cellStyle name="20% - Accent6 3 3 3 2 4 2" xfId="18932" xr:uid="{00000000-0005-0000-0000-000085430000}"/>
    <cellStyle name="20% - Accent6 3 3 3 2 4 2 2" xfId="41534" xr:uid="{00000000-0005-0000-0000-000086430000}"/>
    <cellStyle name="20% - Accent6 3 3 3 2 4 3" xfId="30233" xr:uid="{00000000-0005-0000-0000-000087430000}"/>
    <cellStyle name="20% - Accent6 3 3 3 2 5" xfId="13282" xr:uid="{00000000-0005-0000-0000-000088430000}"/>
    <cellStyle name="20% - Accent6 3 3 3 2 5 2" xfId="35884" xr:uid="{00000000-0005-0000-0000-000089430000}"/>
    <cellStyle name="20% - Accent6 3 3 3 2 6" xfId="24583" xr:uid="{00000000-0005-0000-0000-00008A430000}"/>
    <cellStyle name="20% - Accent6 3 3 3 3" xfId="2628" xr:uid="{00000000-0005-0000-0000-00008B430000}"/>
    <cellStyle name="20% - Accent6 3 3 3 3 2" xfId="5647" xr:uid="{00000000-0005-0000-0000-00008C430000}"/>
    <cellStyle name="20% - Accent6 3 3 3 3 2 2" xfId="11297" xr:uid="{00000000-0005-0000-0000-00008D430000}"/>
    <cellStyle name="20% - Accent6 3 3 3 3 2 2 2" xfId="22598" xr:uid="{00000000-0005-0000-0000-00008E430000}"/>
    <cellStyle name="20% - Accent6 3 3 3 3 2 2 2 2" xfId="45200" xr:uid="{00000000-0005-0000-0000-00008F430000}"/>
    <cellStyle name="20% - Accent6 3 3 3 3 2 2 3" xfId="33899" xr:uid="{00000000-0005-0000-0000-000090430000}"/>
    <cellStyle name="20% - Accent6 3 3 3 3 2 3" xfId="16948" xr:uid="{00000000-0005-0000-0000-000091430000}"/>
    <cellStyle name="20% - Accent6 3 3 3 3 2 3 2" xfId="39550" xr:uid="{00000000-0005-0000-0000-000092430000}"/>
    <cellStyle name="20% - Accent6 3 3 3 3 2 4" xfId="28249" xr:uid="{00000000-0005-0000-0000-000093430000}"/>
    <cellStyle name="20% - Accent6 3 3 3 3 3" xfId="8464" xr:uid="{00000000-0005-0000-0000-000094430000}"/>
    <cellStyle name="20% - Accent6 3 3 3 3 3 2" xfId="19765" xr:uid="{00000000-0005-0000-0000-000095430000}"/>
    <cellStyle name="20% - Accent6 3 3 3 3 3 2 2" xfId="42367" xr:uid="{00000000-0005-0000-0000-000096430000}"/>
    <cellStyle name="20% - Accent6 3 3 3 3 3 3" xfId="31066" xr:uid="{00000000-0005-0000-0000-000097430000}"/>
    <cellStyle name="20% - Accent6 3 3 3 3 4" xfId="14115" xr:uid="{00000000-0005-0000-0000-000098430000}"/>
    <cellStyle name="20% - Accent6 3 3 3 3 4 2" xfId="36717" xr:uid="{00000000-0005-0000-0000-000099430000}"/>
    <cellStyle name="20% - Accent6 3 3 3 3 5" xfId="25416" xr:uid="{00000000-0005-0000-0000-00009A430000}"/>
    <cellStyle name="20% - Accent6 3 3 3 4" xfId="4413" xr:uid="{00000000-0005-0000-0000-00009B430000}"/>
    <cellStyle name="20% - Accent6 3 3 3 4 2" xfId="10063" xr:uid="{00000000-0005-0000-0000-00009C430000}"/>
    <cellStyle name="20% - Accent6 3 3 3 4 2 2" xfId="21364" xr:uid="{00000000-0005-0000-0000-00009D430000}"/>
    <cellStyle name="20% - Accent6 3 3 3 4 2 2 2" xfId="43966" xr:uid="{00000000-0005-0000-0000-00009E430000}"/>
    <cellStyle name="20% - Accent6 3 3 3 4 2 3" xfId="32665" xr:uid="{00000000-0005-0000-0000-00009F430000}"/>
    <cellStyle name="20% - Accent6 3 3 3 4 3" xfId="15714" xr:uid="{00000000-0005-0000-0000-0000A0430000}"/>
    <cellStyle name="20% - Accent6 3 3 3 4 3 2" xfId="38316" xr:uid="{00000000-0005-0000-0000-0000A1430000}"/>
    <cellStyle name="20% - Accent6 3 3 3 4 4" xfId="27015" xr:uid="{00000000-0005-0000-0000-0000A2430000}"/>
    <cellStyle name="20% - Accent6 3 3 3 5" xfId="7210" xr:uid="{00000000-0005-0000-0000-0000A3430000}"/>
    <cellStyle name="20% - Accent6 3 3 3 5 2" xfId="18511" xr:uid="{00000000-0005-0000-0000-0000A4430000}"/>
    <cellStyle name="20% - Accent6 3 3 3 5 2 2" xfId="41113" xr:uid="{00000000-0005-0000-0000-0000A5430000}"/>
    <cellStyle name="20% - Accent6 3 3 3 5 3" xfId="29812" xr:uid="{00000000-0005-0000-0000-0000A6430000}"/>
    <cellStyle name="20% - Accent6 3 3 3 6" xfId="12861" xr:uid="{00000000-0005-0000-0000-0000A7430000}"/>
    <cellStyle name="20% - Accent6 3 3 3 6 2" xfId="35463" xr:uid="{00000000-0005-0000-0000-0000A8430000}"/>
    <cellStyle name="20% - Accent6 3 3 3 7" xfId="24162" xr:uid="{00000000-0005-0000-0000-0000A9430000}"/>
    <cellStyle name="20% - Accent6 3 3 4" xfId="922" xr:uid="{00000000-0005-0000-0000-0000AA430000}"/>
    <cellStyle name="20% - Accent6 3 3 4 2" xfId="2992" xr:uid="{00000000-0005-0000-0000-0000AB430000}"/>
    <cellStyle name="20% - Accent6 3 3 4 2 2" xfId="5964" xr:uid="{00000000-0005-0000-0000-0000AC430000}"/>
    <cellStyle name="20% - Accent6 3 3 4 2 2 2" xfId="11614" xr:uid="{00000000-0005-0000-0000-0000AD430000}"/>
    <cellStyle name="20% - Accent6 3 3 4 2 2 2 2" xfId="22915" xr:uid="{00000000-0005-0000-0000-0000AE430000}"/>
    <cellStyle name="20% - Accent6 3 3 4 2 2 2 2 2" xfId="45517" xr:uid="{00000000-0005-0000-0000-0000AF430000}"/>
    <cellStyle name="20% - Accent6 3 3 4 2 2 2 3" xfId="34216" xr:uid="{00000000-0005-0000-0000-0000B0430000}"/>
    <cellStyle name="20% - Accent6 3 3 4 2 2 3" xfId="17265" xr:uid="{00000000-0005-0000-0000-0000B1430000}"/>
    <cellStyle name="20% - Accent6 3 3 4 2 2 3 2" xfId="39867" xr:uid="{00000000-0005-0000-0000-0000B2430000}"/>
    <cellStyle name="20% - Accent6 3 3 4 2 2 4" xfId="28566" xr:uid="{00000000-0005-0000-0000-0000B3430000}"/>
    <cellStyle name="20% - Accent6 3 3 4 2 3" xfId="8782" xr:uid="{00000000-0005-0000-0000-0000B4430000}"/>
    <cellStyle name="20% - Accent6 3 3 4 2 3 2" xfId="20083" xr:uid="{00000000-0005-0000-0000-0000B5430000}"/>
    <cellStyle name="20% - Accent6 3 3 4 2 3 2 2" xfId="42685" xr:uid="{00000000-0005-0000-0000-0000B6430000}"/>
    <cellStyle name="20% - Accent6 3 3 4 2 3 3" xfId="31384" xr:uid="{00000000-0005-0000-0000-0000B7430000}"/>
    <cellStyle name="20% - Accent6 3 3 4 2 4" xfId="14433" xr:uid="{00000000-0005-0000-0000-0000B8430000}"/>
    <cellStyle name="20% - Accent6 3 3 4 2 4 2" xfId="37035" xr:uid="{00000000-0005-0000-0000-0000B9430000}"/>
    <cellStyle name="20% - Accent6 3 3 4 2 5" xfId="25734" xr:uid="{00000000-0005-0000-0000-0000BA430000}"/>
    <cellStyle name="20% - Accent6 3 3 4 3" xfId="4730" xr:uid="{00000000-0005-0000-0000-0000BB430000}"/>
    <cellStyle name="20% - Accent6 3 3 4 3 2" xfId="10380" xr:uid="{00000000-0005-0000-0000-0000BC430000}"/>
    <cellStyle name="20% - Accent6 3 3 4 3 2 2" xfId="21681" xr:uid="{00000000-0005-0000-0000-0000BD430000}"/>
    <cellStyle name="20% - Accent6 3 3 4 3 2 2 2" xfId="44283" xr:uid="{00000000-0005-0000-0000-0000BE430000}"/>
    <cellStyle name="20% - Accent6 3 3 4 3 2 3" xfId="32982" xr:uid="{00000000-0005-0000-0000-0000BF430000}"/>
    <cellStyle name="20% - Accent6 3 3 4 3 3" xfId="16031" xr:uid="{00000000-0005-0000-0000-0000C0430000}"/>
    <cellStyle name="20% - Accent6 3 3 4 3 3 2" xfId="38633" xr:uid="{00000000-0005-0000-0000-0000C1430000}"/>
    <cellStyle name="20% - Accent6 3 3 4 3 4" xfId="27332" xr:uid="{00000000-0005-0000-0000-0000C2430000}"/>
    <cellStyle name="20% - Accent6 3 3 4 4" xfId="6917" xr:uid="{00000000-0005-0000-0000-0000C3430000}"/>
    <cellStyle name="20% - Accent6 3 3 4 4 2" xfId="18218" xr:uid="{00000000-0005-0000-0000-0000C4430000}"/>
    <cellStyle name="20% - Accent6 3 3 4 4 2 2" xfId="40820" xr:uid="{00000000-0005-0000-0000-0000C5430000}"/>
    <cellStyle name="20% - Accent6 3 3 4 4 3" xfId="29519" xr:uid="{00000000-0005-0000-0000-0000C6430000}"/>
    <cellStyle name="20% - Accent6 3 3 4 5" xfId="12568" xr:uid="{00000000-0005-0000-0000-0000C7430000}"/>
    <cellStyle name="20% - Accent6 3 3 4 5 2" xfId="35170" xr:uid="{00000000-0005-0000-0000-0000C8430000}"/>
    <cellStyle name="20% - Accent6 3 3 4 6" xfId="23869" xr:uid="{00000000-0005-0000-0000-0000C9430000}"/>
    <cellStyle name="20% - Accent6 3 3 5" xfId="1772" xr:uid="{00000000-0005-0000-0000-0000CA430000}"/>
    <cellStyle name="20% - Accent6 3 3 5 2" xfId="3683" xr:uid="{00000000-0005-0000-0000-0000CB430000}"/>
    <cellStyle name="20% - Accent6 3 3 5 2 2" xfId="9394" xr:uid="{00000000-0005-0000-0000-0000CC430000}"/>
    <cellStyle name="20% - Accent6 3 3 5 2 2 2" xfId="20695" xr:uid="{00000000-0005-0000-0000-0000CD430000}"/>
    <cellStyle name="20% - Accent6 3 3 5 2 2 2 2" xfId="43297" xr:uid="{00000000-0005-0000-0000-0000CE430000}"/>
    <cellStyle name="20% - Accent6 3 3 5 2 2 3" xfId="31996" xr:uid="{00000000-0005-0000-0000-0000CF430000}"/>
    <cellStyle name="20% - Accent6 3 3 5 2 3" xfId="15045" xr:uid="{00000000-0005-0000-0000-0000D0430000}"/>
    <cellStyle name="20% - Accent6 3 3 5 2 3 2" xfId="37647" xr:uid="{00000000-0005-0000-0000-0000D1430000}"/>
    <cellStyle name="20% - Accent6 3 3 5 2 4" xfId="26346" xr:uid="{00000000-0005-0000-0000-0000D2430000}"/>
    <cellStyle name="20% - Accent6 3 3 5 3" xfId="5340" xr:uid="{00000000-0005-0000-0000-0000D3430000}"/>
    <cellStyle name="20% - Accent6 3 3 5 3 2" xfId="10990" xr:uid="{00000000-0005-0000-0000-0000D4430000}"/>
    <cellStyle name="20% - Accent6 3 3 5 3 2 2" xfId="22291" xr:uid="{00000000-0005-0000-0000-0000D5430000}"/>
    <cellStyle name="20% - Accent6 3 3 5 3 2 2 2" xfId="44893" xr:uid="{00000000-0005-0000-0000-0000D6430000}"/>
    <cellStyle name="20% - Accent6 3 3 5 3 2 3" xfId="33592" xr:uid="{00000000-0005-0000-0000-0000D7430000}"/>
    <cellStyle name="20% - Accent6 3 3 5 3 3" xfId="16641" xr:uid="{00000000-0005-0000-0000-0000D8430000}"/>
    <cellStyle name="20% - Accent6 3 3 5 3 3 2" xfId="39243" xr:uid="{00000000-0005-0000-0000-0000D9430000}"/>
    <cellStyle name="20% - Accent6 3 3 5 3 4" xfId="27942" xr:uid="{00000000-0005-0000-0000-0000DA430000}"/>
    <cellStyle name="20% - Accent6 3 3 5 4" xfId="7628" xr:uid="{00000000-0005-0000-0000-0000DB430000}"/>
    <cellStyle name="20% - Accent6 3 3 5 4 2" xfId="18929" xr:uid="{00000000-0005-0000-0000-0000DC430000}"/>
    <cellStyle name="20% - Accent6 3 3 5 4 2 2" xfId="41531" xr:uid="{00000000-0005-0000-0000-0000DD430000}"/>
    <cellStyle name="20% - Accent6 3 3 5 4 3" xfId="30230" xr:uid="{00000000-0005-0000-0000-0000DE430000}"/>
    <cellStyle name="20% - Accent6 3 3 5 5" xfId="13279" xr:uid="{00000000-0005-0000-0000-0000DF430000}"/>
    <cellStyle name="20% - Accent6 3 3 5 5 2" xfId="35881" xr:uid="{00000000-0005-0000-0000-0000E0430000}"/>
    <cellStyle name="20% - Accent6 3 3 5 6" xfId="24580" xr:uid="{00000000-0005-0000-0000-0000E1430000}"/>
    <cellStyle name="20% - Accent6 3 3 6" xfId="2319" xr:uid="{00000000-0005-0000-0000-0000E2430000}"/>
    <cellStyle name="20% - Accent6 3 3 6 2" xfId="8155" xr:uid="{00000000-0005-0000-0000-0000E3430000}"/>
    <cellStyle name="20% - Accent6 3 3 6 2 2" xfId="19456" xr:uid="{00000000-0005-0000-0000-0000E4430000}"/>
    <cellStyle name="20% - Accent6 3 3 6 2 2 2" xfId="42058" xr:uid="{00000000-0005-0000-0000-0000E5430000}"/>
    <cellStyle name="20% - Accent6 3 3 6 2 3" xfId="30757" xr:uid="{00000000-0005-0000-0000-0000E6430000}"/>
    <cellStyle name="20% - Accent6 3 3 6 3" xfId="13806" xr:uid="{00000000-0005-0000-0000-0000E7430000}"/>
    <cellStyle name="20% - Accent6 3 3 6 3 2" xfId="36408" xr:uid="{00000000-0005-0000-0000-0000E8430000}"/>
    <cellStyle name="20% - Accent6 3 3 6 4" xfId="25107" xr:uid="{00000000-0005-0000-0000-0000E9430000}"/>
    <cellStyle name="20% - Accent6 3 3 7" xfId="4106" xr:uid="{00000000-0005-0000-0000-0000EA430000}"/>
    <cellStyle name="20% - Accent6 3 3 7 2" xfId="9756" xr:uid="{00000000-0005-0000-0000-0000EB430000}"/>
    <cellStyle name="20% - Accent6 3 3 7 2 2" xfId="21057" xr:uid="{00000000-0005-0000-0000-0000EC430000}"/>
    <cellStyle name="20% - Accent6 3 3 7 2 2 2" xfId="43659" xr:uid="{00000000-0005-0000-0000-0000ED430000}"/>
    <cellStyle name="20% - Accent6 3 3 7 2 3" xfId="32358" xr:uid="{00000000-0005-0000-0000-0000EE430000}"/>
    <cellStyle name="20% - Accent6 3 3 7 3" xfId="15407" xr:uid="{00000000-0005-0000-0000-0000EF430000}"/>
    <cellStyle name="20% - Accent6 3 3 7 3 2" xfId="38009" xr:uid="{00000000-0005-0000-0000-0000F0430000}"/>
    <cellStyle name="20% - Accent6 3 3 7 4" xfId="26708" xr:uid="{00000000-0005-0000-0000-0000F1430000}"/>
    <cellStyle name="20% - Accent6 3 3 8" xfId="6557" xr:uid="{00000000-0005-0000-0000-0000F2430000}"/>
    <cellStyle name="20% - Accent6 3 3 8 2" xfId="17858" xr:uid="{00000000-0005-0000-0000-0000F3430000}"/>
    <cellStyle name="20% - Accent6 3 3 8 2 2" xfId="40460" xr:uid="{00000000-0005-0000-0000-0000F4430000}"/>
    <cellStyle name="20% - Accent6 3 3 8 3" xfId="29159" xr:uid="{00000000-0005-0000-0000-0000F5430000}"/>
    <cellStyle name="20% - Accent6 3 3 9" xfId="12208" xr:uid="{00000000-0005-0000-0000-0000F6430000}"/>
    <cellStyle name="20% - Accent6 3 3 9 2" xfId="34810" xr:uid="{00000000-0005-0000-0000-0000F7430000}"/>
    <cellStyle name="20% - Accent6 3 4" xfId="560" xr:uid="{00000000-0005-0000-0000-0000F8430000}"/>
    <cellStyle name="20% - Accent6 3 4 2" xfId="1135" xr:uid="{00000000-0005-0000-0000-0000F9430000}"/>
    <cellStyle name="20% - Accent6 3 4 2 2" xfId="1777" xr:uid="{00000000-0005-0000-0000-0000FA430000}"/>
    <cellStyle name="20% - Accent6 3 4 2 2 2" xfId="3203" xr:uid="{00000000-0005-0000-0000-0000FB430000}"/>
    <cellStyle name="20% - Accent6 3 4 2 2 2 2" xfId="6175" xr:uid="{00000000-0005-0000-0000-0000FC430000}"/>
    <cellStyle name="20% - Accent6 3 4 2 2 2 2 2" xfId="11825" xr:uid="{00000000-0005-0000-0000-0000FD430000}"/>
    <cellStyle name="20% - Accent6 3 4 2 2 2 2 2 2" xfId="23126" xr:uid="{00000000-0005-0000-0000-0000FE430000}"/>
    <cellStyle name="20% - Accent6 3 4 2 2 2 2 2 2 2" xfId="45728" xr:uid="{00000000-0005-0000-0000-0000FF430000}"/>
    <cellStyle name="20% - Accent6 3 4 2 2 2 2 2 3" xfId="34427" xr:uid="{00000000-0005-0000-0000-000000440000}"/>
    <cellStyle name="20% - Accent6 3 4 2 2 2 2 3" xfId="17476" xr:uid="{00000000-0005-0000-0000-000001440000}"/>
    <cellStyle name="20% - Accent6 3 4 2 2 2 2 3 2" xfId="40078" xr:uid="{00000000-0005-0000-0000-000002440000}"/>
    <cellStyle name="20% - Accent6 3 4 2 2 2 2 4" xfId="28777" xr:uid="{00000000-0005-0000-0000-000003440000}"/>
    <cellStyle name="20% - Accent6 3 4 2 2 2 3" xfId="8993" xr:uid="{00000000-0005-0000-0000-000004440000}"/>
    <cellStyle name="20% - Accent6 3 4 2 2 2 3 2" xfId="20294" xr:uid="{00000000-0005-0000-0000-000005440000}"/>
    <cellStyle name="20% - Accent6 3 4 2 2 2 3 2 2" xfId="42896" xr:uid="{00000000-0005-0000-0000-000006440000}"/>
    <cellStyle name="20% - Accent6 3 4 2 2 2 3 3" xfId="31595" xr:uid="{00000000-0005-0000-0000-000007440000}"/>
    <cellStyle name="20% - Accent6 3 4 2 2 2 4" xfId="14644" xr:uid="{00000000-0005-0000-0000-000008440000}"/>
    <cellStyle name="20% - Accent6 3 4 2 2 2 4 2" xfId="37246" xr:uid="{00000000-0005-0000-0000-000009440000}"/>
    <cellStyle name="20% - Accent6 3 4 2 2 2 5" xfId="25945" xr:uid="{00000000-0005-0000-0000-00000A440000}"/>
    <cellStyle name="20% - Accent6 3 4 2 2 3" xfId="4941" xr:uid="{00000000-0005-0000-0000-00000B440000}"/>
    <cellStyle name="20% - Accent6 3 4 2 2 3 2" xfId="10591" xr:uid="{00000000-0005-0000-0000-00000C440000}"/>
    <cellStyle name="20% - Accent6 3 4 2 2 3 2 2" xfId="21892" xr:uid="{00000000-0005-0000-0000-00000D440000}"/>
    <cellStyle name="20% - Accent6 3 4 2 2 3 2 2 2" xfId="44494" xr:uid="{00000000-0005-0000-0000-00000E440000}"/>
    <cellStyle name="20% - Accent6 3 4 2 2 3 2 3" xfId="33193" xr:uid="{00000000-0005-0000-0000-00000F440000}"/>
    <cellStyle name="20% - Accent6 3 4 2 2 3 3" xfId="16242" xr:uid="{00000000-0005-0000-0000-000010440000}"/>
    <cellStyle name="20% - Accent6 3 4 2 2 3 3 2" xfId="38844" xr:uid="{00000000-0005-0000-0000-000011440000}"/>
    <cellStyle name="20% - Accent6 3 4 2 2 3 4" xfId="27543" xr:uid="{00000000-0005-0000-0000-000012440000}"/>
    <cellStyle name="20% - Accent6 3 4 2 2 4" xfId="7633" xr:uid="{00000000-0005-0000-0000-000013440000}"/>
    <cellStyle name="20% - Accent6 3 4 2 2 4 2" xfId="18934" xr:uid="{00000000-0005-0000-0000-000014440000}"/>
    <cellStyle name="20% - Accent6 3 4 2 2 4 2 2" xfId="41536" xr:uid="{00000000-0005-0000-0000-000015440000}"/>
    <cellStyle name="20% - Accent6 3 4 2 2 4 3" xfId="30235" xr:uid="{00000000-0005-0000-0000-000016440000}"/>
    <cellStyle name="20% - Accent6 3 4 2 2 5" xfId="13284" xr:uid="{00000000-0005-0000-0000-000017440000}"/>
    <cellStyle name="20% - Accent6 3 4 2 2 5 2" xfId="35886" xr:uid="{00000000-0005-0000-0000-000018440000}"/>
    <cellStyle name="20% - Accent6 3 4 2 2 6" xfId="24585" xr:uid="{00000000-0005-0000-0000-000019440000}"/>
    <cellStyle name="20% - Accent6 3 4 2 3" xfId="2532" xr:uid="{00000000-0005-0000-0000-00001A440000}"/>
    <cellStyle name="20% - Accent6 3 4 2 3 2" xfId="5551" xr:uid="{00000000-0005-0000-0000-00001B440000}"/>
    <cellStyle name="20% - Accent6 3 4 2 3 2 2" xfId="11201" xr:uid="{00000000-0005-0000-0000-00001C440000}"/>
    <cellStyle name="20% - Accent6 3 4 2 3 2 2 2" xfId="22502" xr:uid="{00000000-0005-0000-0000-00001D440000}"/>
    <cellStyle name="20% - Accent6 3 4 2 3 2 2 2 2" xfId="45104" xr:uid="{00000000-0005-0000-0000-00001E440000}"/>
    <cellStyle name="20% - Accent6 3 4 2 3 2 2 3" xfId="33803" xr:uid="{00000000-0005-0000-0000-00001F440000}"/>
    <cellStyle name="20% - Accent6 3 4 2 3 2 3" xfId="16852" xr:uid="{00000000-0005-0000-0000-000020440000}"/>
    <cellStyle name="20% - Accent6 3 4 2 3 2 3 2" xfId="39454" xr:uid="{00000000-0005-0000-0000-000021440000}"/>
    <cellStyle name="20% - Accent6 3 4 2 3 2 4" xfId="28153" xr:uid="{00000000-0005-0000-0000-000022440000}"/>
    <cellStyle name="20% - Accent6 3 4 2 3 3" xfId="8368" xr:uid="{00000000-0005-0000-0000-000023440000}"/>
    <cellStyle name="20% - Accent6 3 4 2 3 3 2" xfId="19669" xr:uid="{00000000-0005-0000-0000-000024440000}"/>
    <cellStyle name="20% - Accent6 3 4 2 3 3 2 2" xfId="42271" xr:uid="{00000000-0005-0000-0000-000025440000}"/>
    <cellStyle name="20% - Accent6 3 4 2 3 3 3" xfId="30970" xr:uid="{00000000-0005-0000-0000-000026440000}"/>
    <cellStyle name="20% - Accent6 3 4 2 3 4" xfId="14019" xr:uid="{00000000-0005-0000-0000-000027440000}"/>
    <cellStyle name="20% - Accent6 3 4 2 3 4 2" xfId="36621" xr:uid="{00000000-0005-0000-0000-000028440000}"/>
    <cellStyle name="20% - Accent6 3 4 2 3 5" xfId="25320" xr:uid="{00000000-0005-0000-0000-000029440000}"/>
    <cellStyle name="20% - Accent6 3 4 2 4" xfId="4317" xr:uid="{00000000-0005-0000-0000-00002A440000}"/>
    <cellStyle name="20% - Accent6 3 4 2 4 2" xfId="9967" xr:uid="{00000000-0005-0000-0000-00002B440000}"/>
    <cellStyle name="20% - Accent6 3 4 2 4 2 2" xfId="21268" xr:uid="{00000000-0005-0000-0000-00002C440000}"/>
    <cellStyle name="20% - Accent6 3 4 2 4 2 2 2" xfId="43870" xr:uid="{00000000-0005-0000-0000-00002D440000}"/>
    <cellStyle name="20% - Accent6 3 4 2 4 2 3" xfId="32569" xr:uid="{00000000-0005-0000-0000-00002E440000}"/>
    <cellStyle name="20% - Accent6 3 4 2 4 3" xfId="15618" xr:uid="{00000000-0005-0000-0000-00002F440000}"/>
    <cellStyle name="20% - Accent6 3 4 2 4 3 2" xfId="38220" xr:uid="{00000000-0005-0000-0000-000030440000}"/>
    <cellStyle name="20% - Accent6 3 4 2 4 4" xfId="26919" xr:uid="{00000000-0005-0000-0000-000031440000}"/>
    <cellStyle name="20% - Accent6 3 4 2 5" xfId="7114" xr:uid="{00000000-0005-0000-0000-000032440000}"/>
    <cellStyle name="20% - Accent6 3 4 2 5 2" xfId="18415" xr:uid="{00000000-0005-0000-0000-000033440000}"/>
    <cellStyle name="20% - Accent6 3 4 2 5 2 2" xfId="41017" xr:uid="{00000000-0005-0000-0000-000034440000}"/>
    <cellStyle name="20% - Accent6 3 4 2 5 3" xfId="29716" xr:uid="{00000000-0005-0000-0000-000035440000}"/>
    <cellStyle name="20% - Accent6 3 4 2 6" xfId="12765" xr:uid="{00000000-0005-0000-0000-000036440000}"/>
    <cellStyle name="20% - Accent6 3 4 2 6 2" xfId="35367" xr:uid="{00000000-0005-0000-0000-000037440000}"/>
    <cellStyle name="20% - Accent6 3 4 2 7" xfId="24066" xr:uid="{00000000-0005-0000-0000-000038440000}"/>
    <cellStyle name="20% - Accent6 3 4 3" xfId="809" xr:uid="{00000000-0005-0000-0000-000039440000}"/>
    <cellStyle name="20% - Accent6 3 4 3 2" xfId="2896" xr:uid="{00000000-0005-0000-0000-00003A440000}"/>
    <cellStyle name="20% - Accent6 3 4 3 2 2" xfId="5868" xr:uid="{00000000-0005-0000-0000-00003B440000}"/>
    <cellStyle name="20% - Accent6 3 4 3 2 2 2" xfId="11518" xr:uid="{00000000-0005-0000-0000-00003C440000}"/>
    <cellStyle name="20% - Accent6 3 4 3 2 2 2 2" xfId="22819" xr:uid="{00000000-0005-0000-0000-00003D440000}"/>
    <cellStyle name="20% - Accent6 3 4 3 2 2 2 2 2" xfId="45421" xr:uid="{00000000-0005-0000-0000-00003E440000}"/>
    <cellStyle name="20% - Accent6 3 4 3 2 2 2 3" xfId="34120" xr:uid="{00000000-0005-0000-0000-00003F440000}"/>
    <cellStyle name="20% - Accent6 3 4 3 2 2 3" xfId="17169" xr:uid="{00000000-0005-0000-0000-000040440000}"/>
    <cellStyle name="20% - Accent6 3 4 3 2 2 3 2" xfId="39771" xr:uid="{00000000-0005-0000-0000-000041440000}"/>
    <cellStyle name="20% - Accent6 3 4 3 2 2 4" xfId="28470" xr:uid="{00000000-0005-0000-0000-000042440000}"/>
    <cellStyle name="20% - Accent6 3 4 3 2 3" xfId="8686" xr:uid="{00000000-0005-0000-0000-000043440000}"/>
    <cellStyle name="20% - Accent6 3 4 3 2 3 2" xfId="19987" xr:uid="{00000000-0005-0000-0000-000044440000}"/>
    <cellStyle name="20% - Accent6 3 4 3 2 3 2 2" xfId="42589" xr:uid="{00000000-0005-0000-0000-000045440000}"/>
    <cellStyle name="20% - Accent6 3 4 3 2 3 3" xfId="31288" xr:uid="{00000000-0005-0000-0000-000046440000}"/>
    <cellStyle name="20% - Accent6 3 4 3 2 4" xfId="14337" xr:uid="{00000000-0005-0000-0000-000047440000}"/>
    <cellStyle name="20% - Accent6 3 4 3 2 4 2" xfId="36939" xr:uid="{00000000-0005-0000-0000-000048440000}"/>
    <cellStyle name="20% - Accent6 3 4 3 2 5" xfId="25638" xr:uid="{00000000-0005-0000-0000-000049440000}"/>
    <cellStyle name="20% - Accent6 3 4 3 3" xfId="4634" xr:uid="{00000000-0005-0000-0000-00004A440000}"/>
    <cellStyle name="20% - Accent6 3 4 3 3 2" xfId="10284" xr:uid="{00000000-0005-0000-0000-00004B440000}"/>
    <cellStyle name="20% - Accent6 3 4 3 3 2 2" xfId="21585" xr:uid="{00000000-0005-0000-0000-00004C440000}"/>
    <cellStyle name="20% - Accent6 3 4 3 3 2 2 2" xfId="44187" xr:uid="{00000000-0005-0000-0000-00004D440000}"/>
    <cellStyle name="20% - Accent6 3 4 3 3 2 3" xfId="32886" xr:uid="{00000000-0005-0000-0000-00004E440000}"/>
    <cellStyle name="20% - Accent6 3 4 3 3 3" xfId="15935" xr:uid="{00000000-0005-0000-0000-00004F440000}"/>
    <cellStyle name="20% - Accent6 3 4 3 3 3 2" xfId="38537" xr:uid="{00000000-0005-0000-0000-000050440000}"/>
    <cellStyle name="20% - Accent6 3 4 3 3 4" xfId="27236" xr:uid="{00000000-0005-0000-0000-000051440000}"/>
    <cellStyle name="20% - Accent6 3 4 3 4" xfId="6817" xr:uid="{00000000-0005-0000-0000-000052440000}"/>
    <cellStyle name="20% - Accent6 3 4 3 4 2" xfId="18118" xr:uid="{00000000-0005-0000-0000-000053440000}"/>
    <cellStyle name="20% - Accent6 3 4 3 4 2 2" xfId="40720" xr:uid="{00000000-0005-0000-0000-000054440000}"/>
    <cellStyle name="20% - Accent6 3 4 3 4 3" xfId="29419" xr:uid="{00000000-0005-0000-0000-000055440000}"/>
    <cellStyle name="20% - Accent6 3 4 3 5" xfId="12468" xr:uid="{00000000-0005-0000-0000-000056440000}"/>
    <cellStyle name="20% - Accent6 3 4 3 5 2" xfId="35070" xr:uid="{00000000-0005-0000-0000-000057440000}"/>
    <cellStyle name="20% - Accent6 3 4 3 6" xfId="23769" xr:uid="{00000000-0005-0000-0000-000058440000}"/>
    <cellStyle name="20% - Accent6 3 4 4" xfId="1776" xr:uid="{00000000-0005-0000-0000-000059440000}"/>
    <cellStyle name="20% - Accent6 3 4 4 2" xfId="3685" xr:uid="{00000000-0005-0000-0000-00005A440000}"/>
    <cellStyle name="20% - Accent6 3 4 4 2 2" xfId="9396" xr:uid="{00000000-0005-0000-0000-00005B440000}"/>
    <cellStyle name="20% - Accent6 3 4 4 2 2 2" xfId="20697" xr:uid="{00000000-0005-0000-0000-00005C440000}"/>
    <cellStyle name="20% - Accent6 3 4 4 2 2 2 2" xfId="43299" xr:uid="{00000000-0005-0000-0000-00005D440000}"/>
    <cellStyle name="20% - Accent6 3 4 4 2 2 3" xfId="31998" xr:uid="{00000000-0005-0000-0000-00005E440000}"/>
    <cellStyle name="20% - Accent6 3 4 4 2 3" xfId="15047" xr:uid="{00000000-0005-0000-0000-00005F440000}"/>
    <cellStyle name="20% - Accent6 3 4 4 2 3 2" xfId="37649" xr:uid="{00000000-0005-0000-0000-000060440000}"/>
    <cellStyle name="20% - Accent6 3 4 4 2 4" xfId="26348" xr:uid="{00000000-0005-0000-0000-000061440000}"/>
    <cellStyle name="20% - Accent6 3 4 4 3" xfId="5244" xr:uid="{00000000-0005-0000-0000-000062440000}"/>
    <cellStyle name="20% - Accent6 3 4 4 3 2" xfId="10894" xr:uid="{00000000-0005-0000-0000-000063440000}"/>
    <cellStyle name="20% - Accent6 3 4 4 3 2 2" xfId="22195" xr:uid="{00000000-0005-0000-0000-000064440000}"/>
    <cellStyle name="20% - Accent6 3 4 4 3 2 2 2" xfId="44797" xr:uid="{00000000-0005-0000-0000-000065440000}"/>
    <cellStyle name="20% - Accent6 3 4 4 3 2 3" xfId="33496" xr:uid="{00000000-0005-0000-0000-000066440000}"/>
    <cellStyle name="20% - Accent6 3 4 4 3 3" xfId="16545" xr:uid="{00000000-0005-0000-0000-000067440000}"/>
    <cellStyle name="20% - Accent6 3 4 4 3 3 2" xfId="39147" xr:uid="{00000000-0005-0000-0000-000068440000}"/>
    <cellStyle name="20% - Accent6 3 4 4 3 4" xfId="27846" xr:uid="{00000000-0005-0000-0000-000069440000}"/>
    <cellStyle name="20% - Accent6 3 4 4 4" xfId="7632" xr:uid="{00000000-0005-0000-0000-00006A440000}"/>
    <cellStyle name="20% - Accent6 3 4 4 4 2" xfId="18933" xr:uid="{00000000-0005-0000-0000-00006B440000}"/>
    <cellStyle name="20% - Accent6 3 4 4 4 2 2" xfId="41535" xr:uid="{00000000-0005-0000-0000-00006C440000}"/>
    <cellStyle name="20% - Accent6 3 4 4 4 3" xfId="30234" xr:uid="{00000000-0005-0000-0000-00006D440000}"/>
    <cellStyle name="20% - Accent6 3 4 4 5" xfId="13283" xr:uid="{00000000-0005-0000-0000-00006E440000}"/>
    <cellStyle name="20% - Accent6 3 4 4 5 2" xfId="35885" xr:uid="{00000000-0005-0000-0000-00006F440000}"/>
    <cellStyle name="20% - Accent6 3 4 4 6" xfId="24584" xr:uid="{00000000-0005-0000-0000-000070440000}"/>
    <cellStyle name="20% - Accent6 3 4 5" xfId="2216" xr:uid="{00000000-0005-0000-0000-000071440000}"/>
    <cellStyle name="20% - Accent6 3 4 5 2" xfId="8058" xr:uid="{00000000-0005-0000-0000-000072440000}"/>
    <cellStyle name="20% - Accent6 3 4 5 2 2" xfId="19359" xr:uid="{00000000-0005-0000-0000-000073440000}"/>
    <cellStyle name="20% - Accent6 3 4 5 2 2 2" xfId="41961" xr:uid="{00000000-0005-0000-0000-000074440000}"/>
    <cellStyle name="20% - Accent6 3 4 5 2 3" xfId="30660" xr:uid="{00000000-0005-0000-0000-000075440000}"/>
    <cellStyle name="20% - Accent6 3 4 5 3" xfId="13709" xr:uid="{00000000-0005-0000-0000-000076440000}"/>
    <cellStyle name="20% - Accent6 3 4 5 3 2" xfId="36311" xr:uid="{00000000-0005-0000-0000-000077440000}"/>
    <cellStyle name="20% - Accent6 3 4 5 4" xfId="25010" xr:uid="{00000000-0005-0000-0000-000078440000}"/>
    <cellStyle name="20% - Accent6 3 4 6" xfId="4010" xr:uid="{00000000-0005-0000-0000-000079440000}"/>
    <cellStyle name="20% - Accent6 3 4 6 2" xfId="9660" xr:uid="{00000000-0005-0000-0000-00007A440000}"/>
    <cellStyle name="20% - Accent6 3 4 6 2 2" xfId="20961" xr:uid="{00000000-0005-0000-0000-00007B440000}"/>
    <cellStyle name="20% - Accent6 3 4 6 2 2 2" xfId="43563" xr:uid="{00000000-0005-0000-0000-00007C440000}"/>
    <cellStyle name="20% - Accent6 3 4 6 2 3" xfId="32262" xr:uid="{00000000-0005-0000-0000-00007D440000}"/>
    <cellStyle name="20% - Accent6 3 4 6 3" xfId="15311" xr:uid="{00000000-0005-0000-0000-00007E440000}"/>
    <cellStyle name="20% - Accent6 3 4 6 3 2" xfId="37913" xr:uid="{00000000-0005-0000-0000-00007F440000}"/>
    <cellStyle name="20% - Accent6 3 4 6 4" xfId="26612" xr:uid="{00000000-0005-0000-0000-000080440000}"/>
    <cellStyle name="20% - Accent6 3 4 7" xfId="6628" xr:uid="{00000000-0005-0000-0000-000081440000}"/>
    <cellStyle name="20% - Accent6 3 4 7 2" xfId="17929" xr:uid="{00000000-0005-0000-0000-000082440000}"/>
    <cellStyle name="20% - Accent6 3 4 7 2 2" xfId="40531" xr:uid="{00000000-0005-0000-0000-000083440000}"/>
    <cellStyle name="20% - Accent6 3 4 7 3" xfId="29230" xr:uid="{00000000-0005-0000-0000-000084440000}"/>
    <cellStyle name="20% - Accent6 3 4 8" xfId="12279" xr:uid="{00000000-0005-0000-0000-000085440000}"/>
    <cellStyle name="20% - Accent6 3 4 8 2" xfId="34881" xr:uid="{00000000-0005-0000-0000-000086440000}"/>
    <cellStyle name="20% - Accent6 3 4 9" xfId="23580" xr:uid="{00000000-0005-0000-0000-000087440000}"/>
    <cellStyle name="20% - Accent6 3 5" xfId="451" xr:uid="{00000000-0005-0000-0000-000088440000}"/>
    <cellStyle name="20% - Accent6 3 6" xfId="873" xr:uid="{00000000-0005-0000-0000-000089440000}"/>
    <cellStyle name="20% - Accent6 3 7" xfId="6461" xr:uid="{00000000-0005-0000-0000-00008A440000}"/>
    <cellStyle name="20% - Accent6 3 7 2" xfId="17762" xr:uid="{00000000-0005-0000-0000-00008B440000}"/>
    <cellStyle name="20% - Accent6 3 7 2 2" xfId="40364" xr:uid="{00000000-0005-0000-0000-00008C440000}"/>
    <cellStyle name="20% - Accent6 3 7 3" xfId="29063" xr:uid="{00000000-0005-0000-0000-00008D440000}"/>
    <cellStyle name="20% - Accent6 3 8" xfId="12112" xr:uid="{00000000-0005-0000-0000-00008E440000}"/>
    <cellStyle name="20% - Accent6 3 8 2" xfId="34714" xr:uid="{00000000-0005-0000-0000-00008F440000}"/>
    <cellStyle name="20% - Accent6 3 9" xfId="23413" xr:uid="{00000000-0005-0000-0000-000090440000}"/>
    <cellStyle name="20% - Accent6 4" xfId="243" xr:uid="{00000000-0005-0000-0000-000091440000}"/>
    <cellStyle name="20% - Accent6 4 10" xfId="3996" xr:uid="{00000000-0005-0000-0000-000092440000}"/>
    <cellStyle name="20% - Accent6 4 10 2" xfId="9646" xr:uid="{00000000-0005-0000-0000-000093440000}"/>
    <cellStyle name="20% - Accent6 4 10 2 2" xfId="20947" xr:uid="{00000000-0005-0000-0000-000094440000}"/>
    <cellStyle name="20% - Accent6 4 10 2 2 2" xfId="43549" xr:uid="{00000000-0005-0000-0000-000095440000}"/>
    <cellStyle name="20% - Accent6 4 10 2 3" xfId="32248" xr:uid="{00000000-0005-0000-0000-000096440000}"/>
    <cellStyle name="20% - Accent6 4 10 3" xfId="15297" xr:uid="{00000000-0005-0000-0000-000097440000}"/>
    <cellStyle name="20% - Accent6 4 10 3 2" xfId="37899" xr:uid="{00000000-0005-0000-0000-000098440000}"/>
    <cellStyle name="20% - Accent6 4 10 4" xfId="26598" xr:uid="{00000000-0005-0000-0000-000099440000}"/>
    <cellStyle name="20% - Accent6 4 11" xfId="6475" xr:uid="{00000000-0005-0000-0000-00009A440000}"/>
    <cellStyle name="20% - Accent6 4 11 2" xfId="17776" xr:uid="{00000000-0005-0000-0000-00009B440000}"/>
    <cellStyle name="20% - Accent6 4 11 2 2" xfId="40378" xr:uid="{00000000-0005-0000-0000-00009C440000}"/>
    <cellStyle name="20% - Accent6 4 11 3" xfId="29077" xr:uid="{00000000-0005-0000-0000-00009D440000}"/>
    <cellStyle name="20% - Accent6 4 12" xfId="12126" xr:uid="{00000000-0005-0000-0000-00009E440000}"/>
    <cellStyle name="20% - Accent6 4 12 2" xfId="34728" xr:uid="{00000000-0005-0000-0000-00009F440000}"/>
    <cellStyle name="20% - Accent6 4 13" xfId="23427" xr:uid="{00000000-0005-0000-0000-0000A0440000}"/>
    <cellStyle name="20% - Accent6 4 2" xfId="366" xr:uid="{00000000-0005-0000-0000-0000A1440000}"/>
    <cellStyle name="20% - Accent6 4 2 10" xfId="23474" xr:uid="{00000000-0005-0000-0000-0000A2440000}"/>
    <cellStyle name="20% - Accent6 4 2 2" xfId="624" xr:uid="{00000000-0005-0000-0000-0000A3440000}"/>
    <cellStyle name="20% - Accent6 4 2 2 2" xfId="1334" xr:uid="{00000000-0005-0000-0000-0000A4440000}"/>
    <cellStyle name="20% - Accent6 4 2 2 2 2" xfId="1781" xr:uid="{00000000-0005-0000-0000-0000A5440000}"/>
    <cellStyle name="20% - Accent6 4 2 2 2 2 2" xfId="3403" xr:uid="{00000000-0005-0000-0000-0000A6440000}"/>
    <cellStyle name="20% - Accent6 4 2 2 2 2 2 2" xfId="6375" xr:uid="{00000000-0005-0000-0000-0000A7440000}"/>
    <cellStyle name="20% - Accent6 4 2 2 2 2 2 2 2" xfId="12025" xr:uid="{00000000-0005-0000-0000-0000A8440000}"/>
    <cellStyle name="20% - Accent6 4 2 2 2 2 2 2 2 2" xfId="23326" xr:uid="{00000000-0005-0000-0000-0000A9440000}"/>
    <cellStyle name="20% - Accent6 4 2 2 2 2 2 2 2 2 2" xfId="45928" xr:uid="{00000000-0005-0000-0000-0000AA440000}"/>
    <cellStyle name="20% - Accent6 4 2 2 2 2 2 2 2 3" xfId="34627" xr:uid="{00000000-0005-0000-0000-0000AB440000}"/>
    <cellStyle name="20% - Accent6 4 2 2 2 2 2 2 3" xfId="17676" xr:uid="{00000000-0005-0000-0000-0000AC440000}"/>
    <cellStyle name="20% - Accent6 4 2 2 2 2 2 2 3 2" xfId="40278" xr:uid="{00000000-0005-0000-0000-0000AD440000}"/>
    <cellStyle name="20% - Accent6 4 2 2 2 2 2 2 4" xfId="28977" xr:uid="{00000000-0005-0000-0000-0000AE440000}"/>
    <cellStyle name="20% - Accent6 4 2 2 2 2 2 3" xfId="9193" xr:uid="{00000000-0005-0000-0000-0000AF440000}"/>
    <cellStyle name="20% - Accent6 4 2 2 2 2 2 3 2" xfId="20494" xr:uid="{00000000-0005-0000-0000-0000B0440000}"/>
    <cellStyle name="20% - Accent6 4 2 2 2 2 2 3 2 2" xfId="43096" xr:uid="{00000000-0005-0000-0000-0000B1440000}"/>
    <cellStyle name="20% - Accent6 4 2 2 2 2 2 3 3" xfId="31795" xr:uid="{00000000-0005-0000-0000-0000B2440000}"/>
    <cellStyle name="20% - Accent6 4 2 2 2 2 2 4" xfId="14844" xr:uid="{00000000-0005-0000-0000-0000B3440000}"/>
    <cellStyle name="20% - Accent6 4 2 2 2 2 2 4 2" xfId="37446" xr:uid="{00000000-0005-0000-0000-0000B4440000}"/>
    <cellStyle name="20% - Accent6 4 2 2 2 2 2 5" xfId="26145" xr:uid="{00000000-0005-0000-0000-0000B5440000}"/>
    <cellStyle name="20% - Accent6 4 2 2 2 2 3" xfId="5141" xr:uid="{00000000-0005-0000-0000-0000B6440000}"/>
    <cellStyle name="20% - Accent6 4 2 2 2 2 3 2" xfId="10791" xr:uid="{00000000-0005-0000-0000-0000B7440000}"/>
    <cellStyle name="20% - Accent6 4 2 2 2 2 3 2 2" xfId="22092" xr:uid="{00000000-0005-0000-0000-0000B8440000}"/>
    <cellStyle name="20% - Accent6 4 2 2 2 2 3 2 2 2" xfId="44694" xr:uid="{00000000-0005-0000-0000-0000B9440000}"/>
    <cellStyle name="20% - Accent6 4 2 2 2 2 3 2 3" xfId="33393" xr:uid="{00000000-0005-0000-0000-0000BA440000}"/>
    <cellStyle name="20% - Accent6 4 2 2 2 2 3 3" xfId="16442" xr:uid="{00000000-0005-0000-0000-0000BB440000}"/>
    <cellStyle name="20% - Accent6 4 2 2 2 2 3 3 2" xfId="39044" xr:uid="{00000000-0005-0000-0000-0000BC440000}"/>
    <cellStyle name="20% - Accent6 4 2 2 2 2 3 4" xfId="27743" xr:uid="{00000000-0005-0000-0000-0000BD440000}"/>
    <cellStyle name="20% - Accent6 4 2 2 2 2 4" xfId="7637" xr:uid="{00000000-0005-0000-0000-0000BE440000}"/>
    <cellStyle name="20% - Accent6 4 2 2 2 2 4 2" xfId="18938" xr:uid="{00000000-0005-0000-0000-0000BF440000}"/>
    <cellStyle name="20% - Accent6 4 2 2 2 2 4 2 2" xfId="41540" xr:uid="{00000000-0005-0000-0000-0000C0440000}"/>
    <cellStyle name="20% - Accent6 4 2 2 2 2 4 3" xfId="30239" xr:uid="{00000000-0005-0000-0000-0000C1440000}"/>
    <cellStyle name="20% - Accent6 4 2 2 2 2 5" xfId="13288" xr:uid="{00000000-0005-0000-0000-0000C2440000}"/>
    <cellStyle name="20% - Accent6 4 2 2 2 2 5 2" xfId="35890" xr:uid="{00000000-0005-0000-0000-0000C3440000}"/>
    <cellStyle name="20% - Accent6 4 2 2 2 2 6" xfId="24589" xr:uid="{00000000-0005-0000-0000-0000C4440000}"/>
    <cellStyle name="20% - Accent6 4 2 2 2 3" xfId="2732" xr:uid="{00000000-0005-0000-0000-0000C5440000}"/>
    <cellStyle name="20% - Accent6 4 2 2 2 3 2" xfId="5751" xr:uid="{00000000-0005-0000-0000-0000C6440000}"/>
    <cellStyle name="20% - Accent6 4 2 2 2 3 2 2" xfId="11401" xr:uid="{00000000-0005-0000-0000-0000C7440000}"/>
    <cellStyle name="20% - Accent6 4 2 2 2 3 2 2 2" xfId="22702" xr:uid="{00000000-0005-0000-0000-0000C8440000}"/>
    <cellStyle name="20% - Accent6 4 2 2 2 3 2 2 2 2" xfId="45304" xr:uid="{00000000-0005-0000-0000-0000C9440000}"/>
    <cellStyle name="20% - Accent6 4 2 2 2 3 2 2 3" xfId="34003" xr:uid="{00000000-0005-0000-0000-0000CA440000}"/>
    <cellStyle name="20% - Accent6 4 2 2 2 3 2 3" xfId="17052" xr:uid="{00000000-0005-0000-0000-0000CB440000}"/>
    <cellStyle name="20% - Accent6 4 2 2 2 3 2 3 2" xfId="39654" xr:uid="{00000000-0005-0000-0000-0000CC440000}"/>
    <cellStyle name="20% - Accent6 4 2 2 2 3 2 4" xfId="28353" xr:uid="{00000000-0005-0000-0000-0000CD440000}"/>
    <cellStyle name="20% - Accent6 4 2 2 2 3 3" xfId="8568" xr:uid="{00000000-0005-0000-0000-0000CE440000}"/>
    <cellStyle name="20% - Accent6 4 2 2 2 3 3 2" xfId="19869" xr:uid="{00000000-0005-0000-0000-0000CF440000}"/>
    <cellStyle name="20% - Accent6 4 2 2 2 3 3 2 2" xfId="42471" xr:uid="{00000000-0005-0000-0000-0000D0440000}"/>
    <cellStyle name="20% - Accent6 4 2 2 2 3 3 3" xfId="31170" xr:uid="{00000000-0005-0000-0000-0000D1440000}"/>
    <cellStyle name="20% - Accent6 4 2 2 2 3 4" xfId="14219" xr:uid="{00000000-0005-0000-0000-0000D2440000}"/>
    <cellStyle name="20% - Accent6 4 2 2 2 3 4 2" xfId="36821" xr:uid="{00000000-0005-0000-0000-0000D3440000}"/>
    <cellStyle name="20% - Accent6 4 2 2 2 3 5" xfId="25520" xr:uid="{00000000-0005-0000-0000-0000D4440000}"/>
    <cellStyle name="20% - Accent6 4 2 2 2 4" xfId="4517" xr:uid="{00000000-0005-0000-0000-0000D5440000}"/>
    <cellStyle name="20% - Accent6 4 2 2 2 4 2" xfId="10167" xr:uid="{00000000-0005-0000-0000-0000D6440000}"/>
    <cellStyle name="20% - Accent6 4 2 2 2 4 2 2" xfId="21468" xr:uid="{00000000-0005-0000-0000-0000D7440000}"/>
    <cellStyle name="20% - Accent6 4 2 2 2 4 2 2 2" xfId="44070" xr:uid="{00000000-0005-0000-0000-0000D8440000}"/>
    <cellStyle name="20% - Accent6 4 2 2 2 4 2 3" xfId="32769" xr:uid="{00000000-0005-0000-0000-0000D9440000}"/>
    <cellStyle name="20% - Accent6 4 2 2 2 4 3" xfId="15818" xr:uid="{00000000-0005-0000-0000-0000DA440000}"/>
    <cellStyle name="20% - Accent6 4 2 2 2 4 3 2" xfId="38420" xr:uid="{00000000-0005-0000-0000-0000DB440000}"/>
    <cellStyle name="20% - Accent6 4 2 2 2 4 4" xfId="27119" xr:uid="{00000000-0005-0000-0000-0000DC440000}"/>
    <cellStyle name="20% - Accent6 4 2 2 2 5" xfId="7313" xr:uid="{00000000-0005-0000-0000-0000DD440000}"/>
    <cellStyle name="20% - Accent6 4 2 2 2 5 2" xfId="18614" xr:uid="{00000000-0005-0000-0000-0000DE440000}"/>
    <cellStyle name="20% - Accent6 4 2 2 2 5 2 2" xfId="41216" xr:uid="{00000000-0005-0000-0000-0000DF440000}"/>
    <cellStyle name="20% - Accent6 4 2 2 2 5 3" xfId="29915" xr:uid="{00000000-0005-0000-0000-0000E0440000}"/>
    <cellStyle name="20% - Accent6 4 2 2 2 6" xfId="12964" xr:uid="{00000000-0005-0000-0000-0000E1440000}"/>
    <cellStyle name="20% - Accent6 4 2 2 2 6 2" xfId="35566" xr:uid="{00000000-0005-0000-0000-0000E2440000}"/>
    <cellStyle name="20% - Accent6 4 2 2 2 7" xfId="24265" xr:uid="{00000000-0005-0000-0000-0000E3440000}"/>
    <cellStyle name="20% - Accent6 4 2 2 3" xfId="1032" xr:uid="{00000000-0005-0000-0000-0000E4440000}"/>
    <cellStyle name="20% - Accent6 4 2 2 3 2" xfId="3095" xr:uid="{00000000-0005-0000-0000-0000E5440000}"/>
    <cellStyle name="20% - Accent6 4 2 2 3 2 2" xfId="6067" xr:uid="{00000000-0005-0000-0000-0000E6440000}"/>
    <cellStyle name="20% - Accent6 4 2 2 3 2 2 2" xfId="11717" xr:uid="{00000000-0005-0000-0000-0000E7440000}"/>
    <cellStyle name="20% - Accent6 4 2 2 3 2 2 2 2" xfId="23018" xr:uid="{00000000-0005-0000-0000-0000E8440000}"/>
    <cellStyle name="20% - Accent6 4 2 2 3 2 2 2 2 2" xfId="45620" xr:uid="{00000000-0005-0000-0000-0000E9440000}"/>
    <cellStyle name="20% - Accent6 4 2 2 3 2 2 2 3" xfId="34319" xr:uid="{00000000-0005-0000-0000-0000EA440000}"/>
    <cellStyle name="20% - Accent6 4 2 2 3 2 2 3" xfId="17368" xr:uid="{00000000-0005-0000-0000-0000EB440000}"/>
    <cellStyle name="20% - Accent6 4 2 2 3 2 2 3 2" xfId="39970" xr:uid="{00000000-0005-0000-0000-0000EC440000}"/>
    <cellStyle name="20% - Accent6 4 2 2 3 2 2 4" xfId="28669" xr:uid="{00000000-0005-0000-0000-0000ED440000}"/>
    <cellStyle name="20% - Accent6 4 2 2 3 2 3" xfId="8885" xr:uid="{00000000-0005-0000-0000-0000EE440000}"/>
    <cellStyle name="20% - Accent6 4 2 2 3 2 3 2" xfId="20186" xr:uid="{00000000-0005-0000-0000-0000EF440000}"/>
    <cellStyle name="20% - Accent6 4 2 2 3 2 3 2 2" xfId="42788" xr:uid="{00000000-0005-0000-0000-0000F0440000}"/>
    <cellStyle name="20% - Accent6 4 2 2 3 2 3 3" xfId="31487" xr:uid="{00000000-0005-0000-0000-0000F1440000}"/>
    <cellStyle name="20% - Accent6 4 2 2 3 2 4" xfId="14536" xr:uid="{00000000-0005-0000-0000-0000F2440000}"/>
    <cellStyle name="20% - Accent6 4 2 2 3 2 4 2" xfId="37138" xr:uid="{00000000-0005-0000-0000-0000F3440000}"/>
    <cellStyle name="20% - Accent6 4 2 2 3 2 5" xfId="25837" xr:uid="{00000000-0005-0000-0000-0000F4440000}"/>
    <cellStyle name="20% - Accent6 4 2 2 3 3" xfId="4833" xr:uid="{00000000-0005-0000-0000-0000F5440000}"/>
    <cellStyle name="20% - Accent6 4 2 2 3 3 2" xfId="10483" xr:uid="{00000000-0005-0000-0000-0000F6440000}"/>
    <cellStyle name="20% - Accent6 4 2 2 3 3 2 2" xfId="21784" xr:uid="{00000000-0005-0000-0000-0000F7440000}"/>
    <cellStyle name="20% - Accent6 4 2 2 3 3 2 2 2" xfId="44386" xr:uid="{00000000-0005-0000-0000-0000F8440000}"/>
    <cellStyle name="20% - Accent6 4 2 2 3 3 2 3" xfId="33085" xr:uid="{00000000-0005-0000-0000-0000F9440000}"/>
    <cellStyle name="20% - Accent6 4 2 2 3 3 3" xfId="16134" xr:uid="{00000000-0005-0000-0000-0000FA440000}"/>
    <cellStyle name="20% - Accent6 4 2 2 3 3 3 2" xfId="38736" xr:uid="{00000000-0005-0000-0000-0000FB440000}"/>
    <cellStyle name="20% - Accent6 4 2 2 3 3 4" xfId="27435" xr:uid="{00000000-0005-0000-0000-0000FC440000}"/>
    <cellStyle name="20% - Accent6 4 2 2 3 4" xfId="7020" xr:uid="{00000000-0005-0000-0000-0000FD440000}"/>
    <cellStyle name="20% - Accent6 4 2 2 3 4 2" xfId="18321" xr:uid="{00000000-0005-0000-0000-0000FE440000}"/>
    <cellStyle name="20% - Accent6 4 2 2 3 4 2 2" xfId="40923" xr:uid="{00000000-0005-0000-0000-0000FF440000}"/>
    <cellStyle name="20% - Accent6 4 2 2 3 4 3" xfId="29622" xr:uid="{00000000-0005-0000-0000-000000450000}"/>
    <cellStyle name="20% - Accent6 4 2 2 3 5" xfId="12671" xr:uid="{00000000-0005-0000-0000-000001450000}"/>
    <cellStyle name="20% - Accent6 4 2 2 3 5 2" xfId="35273" xr:uid="{00000000-0005-0000-0000-000002450000}"/>
    <cellStyle name="20% - Accent6 4 2 2 3 6" xfId="23972" xr:uid="{00000000-0005-0000-0000-000003450000}"/>
    <cellStyle name="20% - Accent6 4 2 2 4" xfId="1780" xr:uid="{00000000-0005-0000-0000-000004450000}"/>
    <cellStyle name="20% - Accent6 4 2 2 4 2" xfId="3688" xr:uid="{00000000-0005-0000-0000-000005450000}"/>
    <cellStyle name="20% - Accent6 4 2 2 4 2 2" xfId="9399" xr:uid="{00000000-0005-0000-0000-000006450000}"/>
    <cellStyle name="20% - Accent6 4 2 2 4 2 2 2" xfId="20700" xr:uid="{00000000-0005-0000-0000-000007450000}"/>
    <cellStyle name="20% - Accent6 4 2 2 4 2 2 2 2" xfId="43302" xr:uid="{00000000-0005-0000-0000-000008450000}"/>
    <cellStyle name="20% - Accent6 4 2 2 4 2 2 3" xfId="32001" xr:uid="{00000000-0005-0000-0000-000009450000}"/>
    <cellStyle name="20% - Accent6 4 2 2 4 2 3" xfId="15050" xr:uid="{00000000-0005-0000-0000-00000A450000}"/>
    <cellStyle name="20% - Accent6 4 2 2 4 2 3 2" xfId="37652" xr:uid="{00000000-0005-0000-0000-00000B450000}"/>
    <cellStyle name="20% - Accent6 4 2 2 4 2 4" xfId="26351" xr:uid="{00000000-0005-0000-0000-00000C450000}"/>
    <cellStyle name="20% - Accent6 4 2 2 4 3" xfId="5443" xr:uid="{00000000-0005-0000-0000-00000D450000}"/>
    <cellStyle name="20% - Accent6 4 2 2 4 3 2" xfId="11093" xr:uid="{00000000-0005-0000-0000-00000E450000}"/>
    <cellStyle name="20% - Accent6 4 2 2 4 3 2 2" xfId="22394" xr:uid="{00000000-0005-0000-0000-00000F450000}"/>
    <cellStyle name="20% - Accent6 4 2 2 4 3 2 2 2" xfId="44996" xr:uid="{00000000-0005-0000-0000-000010450000}"/>
    <cellStyle name="20% - Accent6 4 2 2 4 3 2 3" xfId="33695" xr:uid="{00000000-0005-0000-0000-000011450000}"/>
    <cellStyle name="20% - Accent6 4 2 2 4 3 3" xfId="16744" xr:uid="{00000000-0005-0000-0000-000012450000}"/>
    <cellStyle name="20% - Accent6 4 2 2 4 3 3 2" xfId="39346" xr:uid="{00000000-0005-0000-0000-000013450000}"/>
    <cellStyle name="20% - Accent6 4 2 2 4 3 4" xfId="28045" xr:uid="{00000000-0005-0000-0000-000014450000}"/>
    <cellStyle name="20% - Accent6 4 2 2 4 4" xfId="7636" xr:uid="{00000000-0005-0000-0000-000015450000}"/>
    <cellStyle name="20% - Accent6 4 2 2 4 4 2" xfId="18937" xr:uid="{00000000-0005-0000-0000-000016450000}"/>
    <cellStyle name="20% - Accent6 4 2 2 4 4 2 2" xfId="41539" xr:uid="{00000000-0005-0000-0000-000017450000}"/>
    <cellStyle name="20% - Accent6 4 2 2 4 4 3" xfId="30238" xr:uid="{00000000-0005-0000-0000-000018450000}"/>
    <cellStyle name="20% - Accent6 4 2 2 4 5" xfId="13287" xr:uid="{00000000-0005-0000-0000-000019450000}"/>
    <cellStyle name="20% - Accent6 4 2 2 4 5 2" xfId="35889" xr:uid="{00000000-0005-0000-0000-00001A450000}"/>
    <cellStyle name="20% - Accent6 4 2 2 4 6" xfId="24588" xr:uid="{00000000-0005-0000-0000-00001B450000}"/>
    <cellStyle name="20% - Accent6 4 2 2 5" xfId="2424" xr:uid="{00000000-0005-0000-0000-00001C450000}"/>
    <cellStyle name="20% - Accent6 4 2 2 5 2" xfId="8260" xr:uid="{00000000-0005-0000-0000-00001D450000}"/>
    <cellStyle name="20% - Accent6 4 2 2 5 2 2" xfId="19561" xr:uid="{00000000-0005-0000-0000-00001E450000}"/>
    <cellStyle name="20% - Accent6 4 2 2 5 2 2 2" xfId="42163" xr:uid="{00000000-0005-0000-0000-00001F450000}"/>
    <cellStyle name="20% - Accent6 4 2 2 5 2 3" xfId="30862" xr:uid="{00000000-0005-0000-0000-000020450000}"/>
    <cellStyle name="20% - Accent6 4 2 2 5 3" xfId="13911" xr:uid="{00000000-0005-0000-0000-000021450000}"/>
    <cellStyle name="20% - Accent6 4 2 2 5 3 2" xfId="36513" xr:uid="{00000000-0005-0000-0000-000022450000}"/>
    <cellStyle name="20% - Accent6 4 2 2 5 4" xfId="25212" xr:uid="{00000000-0005-0000-0000-000023450000}"/>
    <cellStyle name="20% - Accent6 4 2 2 6" xfId="4209" xr:uid="{00000000-0005-0000-0000-000024450000}"/>
    <cellStyle name="20% - Accent6 4 2 2 6 2" xfId="9859" xr:uid="{00000000-0005-0000-0000-000025450000}"/>
    <cellStyle name="20% - Accent6 4 2 2 6 2 2" xfId="21160" xr:uid="{00000000-0005-0000-0000-000026450000}"/>
    <cellStyle name="20% - Accent6 4 2 2 6 2 2 2" xfId="43762" xr:uid="{00000000-0005-0000-0000-000027450000}"/>
    <cellStyle name="20% - Accent6 4 2 2 6 2 3" xfId="32461" xr:uid="{00000000-0005-0000-0000-000028450000}"/>
    <cellStyle name="20% - Accent6 4 2 2 6 3" xfId="15510" xr:uid="{00000000-0005-0000-0000-000029450000}"/>
    <cellStyle name="20% - Accent6 4 2 2 6 3 2" xfId="38112" xr:uid="{00000000-0005-0000-0000-00002A450000}"/>
    <cellStyle name="20% - Accent6 4 2 2 6 4" xfId="26811" xr:uid="{00000000-0005-0000-0000-00002B450000}"/>
    <cellStyle name="20% - Accent6 4 2 2 7" xfId="6689" xr:uid="{00000000-0005-0000-0000-00002C450000}"/>
    <cellStyle name="20% - Accent6 4 2 2 7 2" xfId="17990" xr:uid="{00000000-0005-0000-0000-00002D450000}"/>
    <cellStyle name="20% - Accent6 4 2 2 7 2 2" xfId="40592" xr:uid="{00000000-0005-0000-0000-00002E450000}"/>
    <cellStyle name="20% - Accent6 4 2 2 7 3" xfId="29291" xr:uid="{00000000-0005-0000-0000-00002F450000}"/>
    <cellStyle name="20% - Accent6 4 2 2 8" xfId="12340" xr:uid="{00000000-0005-0000-0000-000030450000}"/>
    <cellStyle name="20% - Accent6 4 2 2 8 2" xfId="34942" xr:uid="{00000000-0005-0000-0000-000031450000}"/>
    <cellStyle name="20% - Accent6 4 2 2 9" xfId="23641" xr:uid="{00000000-0005-0000-0000-000032450000}"/>
    <cellStyle name="20% - Accent6 4 2 3" xfId="1196" xr:uid="{00000000-0005-0000-0000-000033450000}"/>
    <cellStyle name="20% - Accent6 4 2 3 2" xfId="1782" xr:uid="{00000000-0005-0000-0000-000034450000}"/>
    <cellStyle name="20% - Accent6 4 2 3 2 2" xfId="3264" xr:uid="{00000000-0005-0000-0000-000035450000}"/>
    <cellStyle name="20% - Accent6 4 2 3 2 2 2" xfId="6236" xr:uid="{00000000-0005-0000-0000-000036450000}"/>
    <cellStyle name="20% - Accent6 4 2 3 2 2 2 2" xfId="11886" xr:uid="{00000000-0005-0000-0000-000037450000}"/>
    <cellStyle name="20% - Accent6 4 2 3 2 2 2 2 2" xfId="23187" xr:uid="{00000000-0005-0000-0000-000038450000}"/>
    <cellStyle name="20% - Accent6 4 2 3 2 2 2 2 2 2" xfId="45789" xr:uid="{00000000-0005-0000-0000-000039450000}"/>
    <cellStyle name="20% - Accent6 4 2 3 2 2 2 2 3" xfId="34488" xr:uid="{00000000-0005-0000-0000-00003A450000}"/>
    <cellStyle name="20% - Accent6 4 2 3 2 2 2 3" xfId="17537" xr:uid="{00000000-0005-0000-0000-00003B450000}"/>
    <cellStyle name="20% - Accent6 4 2 3 2 2 2 3 2" xfId="40139" xr:uid="{00000000-0005-0000-0000-00003C450000}"/>
    <cellStyle name="20% - Accent6 4 2 3 2 2 2 4" xfId="28838" xr:uid="{00000000-0005-0000-0000-00003D450000}"/>
    <cellStyle name="20% - Accent6 4 2 3 2 2 3" xfId="9054" xr:uid="{00000000-0005-0000-0000-00003E450000}"/>
    <cellStyle name="20% - Accent6 4 2 3 2 2 3 2" xfId="20355" xr:uid="{00000000-0005-0000-0000-00003F450000}"/>
    <cellStyle name="20% - Accent6 4 2 3 2 2 3 2 2" xfId="42957" xr:uid="{00000000-0005-0000-0000-000040450000}"/>
    <cellStyle name="20% - Accent6 4 2 3 2 2 3 3" xfId="31656" xr:uid="{00000000-0005-0000-0000-000041450000}"/>
    <cellStyle name="20% - Accent6 4 2 3 2 2 4" xfId="14705" xr:uid="{00000000-0005-0000-0000-000042450000}"/>
    <cellStyle name="20% - Accent6 4 2 3 2 2 4 2" xfId="37307" xr:uid="{00000000-0005-0000-0000-000043450000}"/>
    <cellStyle name="20% - Accent6 4 2 3 2 2 5" xfId="26006" xr:uid="{00000000-0005-0000-0000-000044450000}"/>
    <cellStyle name="20% - Accent6 4 2 3 2 3" xfId="5002" xr:uid="{00000000-0005-0000-0000-000045450000}"/>
    <cellStyle name="20% - Accent6 4 2 3 2 3 2" xfId="10652" xr:uid="{00000000-0005-0000-0000-000046450000}"/>
    <cellStyle name="20% - Accent6 4 2 3 2 3 2 2" xfId="21953" xr:uid="{00000000-0005-0000-0000-000047450000}"/>
    <cellStyle name="20% - Accent6 4 2 3 2 3 2 2 2" xfId="44555" xr:uid="{00000000-0005-0000-0000-000048450000}"/>
    <cellStyle name="20% - Accent6 4 2 3 2 3 2 3" xfId="33254" xr:uid="{00000000-0005-0000-0000-000049450000}"/>
    <cellStyle name="20% - Accent6 4 2 3 2 3 3" xfId="16303" xr:uid="{00000000-0005-0000-0000-00004A450000}"/>
    <cellStyle name="20% - Accent6 4 2 3 2 3 3 2" xfId="38905" xr:uid="{00000000-0005-0000-0000-00004B450000}"/>
    <cellStyle name="20% - Accent6 4 2 3 2 3 4" xfId="27604" xr:uid="{00000000-0005-0000-0000-00004C450000}"/>
    <cellStyle name="20% - Accent6 4 2 3 2 4" xfId="7638" xr:uid="{00000000-0005-0000-0000-00004D450000}"/>
    <cellStyle name="20% - Accent6 4 2 3 2 4 2" xfId="18939" xr:uid="{00000000-0005-0000-0000-00004E450000}"/>
    <cellStyle name="20% - Accent6 4 2 3 2 4 2 2" xfId="41541" xr:uid="{00000000-0005-0000-0000-00004F450000}"/>
    <cellStyle name="20% - Accent6 4 2 3 2 4 3" xfId="30240" xr:uid="{00000000-0005-0000-0000-000050450000}"/>
    <cellStyle name="20% - Accent6 4 2 3 2 5" xfId="13289" xr:uid="{00000000-0005-0000-0000-000051450000}"/>
    <cellStyle name="20% - Accent6 4 2 3 2 5 2" xfId="35891" xr:uid="{00000000-0005-0000-0000-000052450000}"/>
    <cellStyle name="20% - Accent6 4 2 3 2 6" xfId="24590" xr:uid="{00000000-0005-0000-0000-000053450000}"/>
    <cellStyle name="20% - Accent6 4 2 3 3" xfId="2593" xr:uid="{00000000-0005-0000-0000-000054450000}"/>
    <cellStyle name="20% - Accent6 4 2 3 3 2" xfId="5612" xr:uid="{00000000-0005-0000-0000-000055450000}"/>
    <cellStyle name="20% - Accent6 4 2 3 3 2 2" xfId="11262" xr:uid="{00000000-0005-0000-0000-000056450000}"/>
    <cellStyle name="20% - Accent6 4 2 3 3 2 2 2" xfId="22563" xr:uid="{00000000-0005-0000-0000-000057450000}"/>
    <cellStyle name="20% - Accent6 4 2 3 3 2 2 2 2" xfId="45165" xr:uid="{00000000-0005-0000-0000-000058450000}"/>
    <cellStyle name="20% - Accent6 4 2 3 3 2 2 3" xfId="33864" xr:uid="{00000000-0005-0000-0000-000059450000}"/>
    <cellStyle name="20% - Accent6 4 2 3 3 2 3" xfId="16913" xr:uid="{00000000-0005-0000-0000-00005A450000}"/>
    <cellStyle name="20% - Accent6 4 2 3 3 2 3 2" xfId="39515" xr:uid="{00000000-0005-0000-0000-00005B450000}"/>
    <cellStyle name="20% - Accent6 4 2 3 3 2 4" xfId="28214" xr:uid="{00000000-0005-0000-0000-00005C450000}"/>
    <cellStyle name="20% - Accent6 4 2 3 3 3" xfId="8429" xr:uid="{00000000-0005-0000-0000-00005D450000}"/>
    <cellStyle name="20% - Accent6 4 2 3 3 3 2" xfId="19730" xr:uid="{00000000-0005-0000-0000-00005E450000}"/>
    <cellStyle name="20% - Accent6 4 2 3 3 3 2 2" xfId="42332" xr:uid="{00000000-0005-0000-0000-00005F450000}"/>
    <cellStyle name="20% - Accent6 4 2 3 3 3 3" xfId="31031" xr:uid="{00000000-0005-0000-0000-000060450000}"/>
    <cellStyle name="20% - Accent6 4 2 3 3 4" xfId="14080" xr:uid="{00000000-0005-0000-0000-000061450000}"/>
    <cellStyle name="20% - Accent6 4 2 3 3 4 2" xfId="36682" xr:uid="{00000000-0005-0000-0000-000062450000}"/>
    <cellStyle name="20% - Accent6 4 2 3 3 5" xfId="25381" xr:uid="{00000000-0005-0000-0000-000063450000}"/>
    <cellStyle name="20% - Accent6 4 2 3 4" xfId="4378" xr:uid="{00000000-0005-0000-0000-000064450000}"/>
    <cellStyle name="20% - Accent6 4 2 3 4 2" xfId="10028" xr:uid="{00000000-0005-0000-0000-000065450000}"/>
    <cellStyle name="20% - Accent6 4 2 3 4 2 2" xfId="21329" xr:uid="{00000000-0005-0000-0000-000066450000}"/>
    <cellStyle name="20% - Accent6 4 2 3 4 2 2 2" xfId="43931" xr:uid="{00000000-0005-0000-0000-000067450000}"/>
    <cellStyle name="20% - Accent6 4 2 3 4 2 3" xfId="32630" xr:uid="{00000000-0005-0000-0000-000068450000}"/>
    <cellStyle name="20% - Accent6 4 2 3 4 3" xfId="15679" xr:uid="{00000000-0005-0000-0000-000069450000}"/>
    <cellStyle name="20% - Accent6 4 2 3 4 3 2" xfId="38281" xr:uid="{00000000-0005-0000-0000-00006A450000}"/>
    <cellStyle name="20% - Accent6 4 2 3 4 4" xfId="26980" xr:uid="{00000000-0005-0000-0000-00006B450000}"/>
    <cellStyle name="20% - Accent6 4 2 3 5" xfId="7175" xr:uid="{00000000-0005-0000-0000-00006C450000}"/>
    <cellStyle name="20% - Accent6 4 2 3 5 2" xfId="18476" xr:uid="{00000000-0005-0000-0000-00006D450000}"/>
    <cellStyle name="20% - Accent6 4 2 3 5 2 2" xfId="41078" xr:uid="{00000000-0005-0000-0000-00006E450000}"/>
    <cellStyle name="20% - Accent6 4 2 3 5 3" xfId="29777" xr:uid="{00000000-0005-0000-0000-00006F450000}"/>
    <cellStyle name="20% - Accent6 4 2 3 6" xfId="12826" xr:uid="{00000000-0005-0000-0000-000070450000}"/>
    <cellStyle name="20% - Accent6 4 2 3 6 2" xfId="35428" xr:uid="{00000000-0005-0000-0000-000071450000}"/>
    <cellStyle name="20% - Accent6 4 2 3 7" xfId="24127" xr:uid="{00000000-0005-0000-0000-000072450000}"/>
    <cellStyle name="20% - Accent6 4 2 4" xfId="886" xr:uid="{00000000-0005-0000-0000-000073450000}"/>
    <cellStyle name="20% - Accent6 4 2 4 2" xfId="2957" xr:uid="{00000000-0005-0000-0000-000074450000}"/>
    <cellStyle name="20% - Accent6 4 2 4 2 2" xfId="5929" xr:uid="{00000000-0005-0000-0000-000075450000}"/>
    <cellStyle name="20% - Accent6 4 2 4 2 2 2" xfId="11579" xr:uid="{00000000-0005-0000-0000-000076450000}"/>
    <cellStyle name="20% - Accent6 4 2 4 2 2 2 2" xfId="22880" xr:uid="{00000000-0005-0000-0000-000077450000}"/>
    <cellStyle name="20% - Accent6 4 2 4 2 2 2 2 2" xfId="45482" xr:uid="{00000000-0005-0000-0000-000078450000}"/>
    <cellStyle name="20% - Accent6 4 2 4 2 2 2 3" xfId="34181" xr:uid="{00000000-0005-0000-0000-000079450000}"/>
    <cellStyle name="20% - Accent6 4 2 4 2 2 3" xfId="17230" xr:uid="{00000000-0005-0000-0000-00007A450000}"/>
    <cellStyle name="20% - Accent6 4 2 4 2 2 3 2" xfId="39832" xr:uid="{00000000-0005-0000-0000-00007B450000}"/>
    <cellStyle name="20% - Accent6 4 2 4 2 2 4" xfId="28531" xr:uid="{00000000-0005-0000-0000-00007C450000}"/>
    <cellStyle name="20% - Accent6 4 2 4 2 3" xfId="8747" xr:uid="{00000000-0005-0000-0000-00007D450000}"/>
    <cellStyle name="20% - Accent6 4 2 4 2 3 2" xfId="20048" xr:uid="{00000000-0005-0000-0000-00007E450000}"/>
    <cellStyle name="20% - Accent6 4 2 4 2 3 2 2" xfId="42650" xr:uid="{00000000-0005-0000-0000-00007F450000}"/>
    <cellStyle name="20% - Accent6 4 2 4 2 3 3" xfId="31349" xr:uid="{00000000-0005-0000-0000-000080450000}"/>
    <cellStyle name="20% - Accent6 4 2 4 2 4" xfId="14398" xr:uid="{00000000-0005-0000-0000-000081450000}"/>
    <cellStyle name="20% - Accent6 4 2 4 2 4 2" xfId="37000" xr:uid="{00000000-0005-0000-0000-000082450000}"/>
    <cellStyle name="20% - Accent6 4 2 4 2 5" xfId="25699" xr:uid="{00000000-0005-0000-0000-000083450000}"/>
    <cellStyle name="20% - Accent6 4 2 4 3" xfId="4695" xr:uid="{00000000-0005-0000-0000-000084450000}"/>
    <cellStyle name="20% - Accent6 4 2 4 3 2" xfId="10345" xr:uid="{00000000-0005-0000-0000-000085450000}"/>
    <cellStyle name="20% - Accent6 4 2 4 3 2 2" xfId="21646" xr:uid="{00000000-0005-0000-0000-000086450000}"/>
    <cellStyle name="20% - Accent6 4 2 4 3 2 2 2" xfId="44248" xr:uid="{00000000-0005-0000-0000-000087450000}"/>
    <cellStyle name="20% - Accent6 4 2 4 3 2 3" xfId="32947" xr:uid="{00000000-0005-0000-0000-000088450000}"/>
    <cellStyle name="20% - Accent6 4 2 4 3 3" xfId="15996" xr:uid="{00000000-0005-0000-0000-000089450000}"/>
    <cellStyle name="20% - Accent6 4 2 4 3 3 2" xfId="38598" xr:uid="{00000000-0005-0000-0000-00008A450000}"/>
    <cellStyle name="20% - Accent6 4 2 4 3 4" xfId="27297" xr:uid="{00000000-0005-0000-0000-00008B450000}"/>
    <cellStyle name="20% - Accent6 4 2 4 4" xfId="6882" xr:uid="{00000000-0005-0000-0000-00008C450000}"/>
    <cellStyle name="20% - Accent6 4 2 4 4 2" xfId="18183" xr:uid="{00000000-0005-0000-0000-00008D450000}"/>
    <cellStyle name="20% - Accent6 4 2 4 4 2 2" xfId="40785" xr:uid="{00000000-0005-0000-0000-00008E450000}"/>
    <cellStyle name="20% - Accent6 4 2 4 4 3" xfId="29484" xr:uid="{00000000-0005-0000-0000-00008F450000}"/>
    <cellStyle name="20% - Accent6 4 2 4 5" xfId="12533" xr:uid="{00000000-0005-0000-0000-000090450000}"/>
    <cellStyle name="20% - Accent6 4 2 4 5 2" xfId="35135" xr:uid="{00000000-0005-0000-0000-000091450000}"/>
    <cellStyle name="20% - Accent6 4 2 4 6" xfId="23834" xr:uid="{00000000-0005-0000-0000-000092450000}"/>
    <cellStyle name="20% - Accent6 4 2 5" xfId="1779" xr:uid="{00000000-0005-0000-0000-000093450000}"/>
    <cellStyle name="20% - Accent6 4 2 5 2" xfId="3687" xr:uid="{00000000-0005-0000-0000-000094450000}"/>
    <cellStyle name="20% - Accent6 4 2 5 2 2" xfId="9398" xr:uid="{00000000-0005-0000-0000-000095450000}"/>
    <cellStyle name="20% - Accent6 4 2 5 2 2 2" xfId="20699" xr:uid="{00000000-0005-0000-0000-000096450000}"/>
    <cellStyle name="20% - Accent6 4 2 5 2 2 2 2" xfId="43301" xr:uid="{00000000-0005-0000-0000-000097450000}"/>
    <cellStyle name="20% - Accent6 4 2 5 2 2 3" xfId="32000" xr:uid="{00000000-0005-0000-0000-000098450000}"/>
    <cellStyle name="20% - Accent6 4 2 5 2 3" xfId="15049" xr:uid="{00000000-0005-0000-0000-000099450000}"/>
    <cellStyle name="20% - Accent6 4 2 5 2 3 2" xfId="37651" xr:uid="{00000000-0005-0000-0000-00009A450000}"/>
    <cellStyle name="20% - Accent6 4 2 5 2 4" xfId="26350" xr:uid="{00000000-0005-0000-0000-00009B450000}"/>
    <cellStyle name="20% - Accent6 4 2 5 3" xfId="5305" xr:uid="{00000000-0005-0000-0000-00009C450000}"/>
    <cellStyle name="20% - Accent6 4 2 5 3 2" xfId="10955" xr:uid="{00000000-0005-0000-0000-00009D450000}"/>
    <cellStyle name="20% - Accent6 4 2 5 3 2 2" xfId="22256" xr:uid="{00000000-0005-0000-0000-00009E450000}"/>
    <cellStyle name="20% - Accent6 4 2 5 3 2 2 2" xfId="44858" xr:uid="{00000000-0005-0000-0000-00009F450000}"/>
    <cellStyle name="20% - Accent6 4 2 5 3 2 3" xfId="33557" xr:uid="{00000000-0005-0000-0000-0000A0450000}"/>
    <cellStyle name="20% - Accent6 4 2 5 3 3" xfId="16606" xr:uid="{00000000-0005-0000-0000-0000A1450000}"/>
    <cellStyle name="20% - Accent6 4 2 5 3 3 2" xfId="39208" xr:uid="{00000000-0005-0000-0000-0000A2450000}"/>
    <cellStyle name="20% - Accent6 4 2 5 3 4" xfId="27907" xr:uid="{00000000-0005-0000-0000-0000A3450000}"/>
    <cellStyle name="20% - Accent6 4 2 5 4" xfId="7635" xr:uid="{00000000-0005-0000-0000-0000A4450000}"/>
    <cellStyle name="20% - Accent6 4 2 5 4 2" xfId="18936" xr:uid="{00000000-0005-0000-0000-0000A5450000}"/>
    <cellStyle name="20% - Accent6 4 2 5 4 2 2" xfId="41538" xr:uid="{00000000-0005-0000-0000-0000A6450000}"/>
    <cellStyle name="20% - Accent6 4 2 5 4 3" xfId="30237" xr:uid="{00000000-0005-0000-0000-0000A7450000}"/>
    <cellStyle name="20% - Accent6 4 2 5 5" xfId="13286" xr:uid="{00000000-0005-0000-0000-0000A8450000}"/>
    <cellStyle name="20% - Accent6 4 2 5 5 2" xfId="35888" xr:uid="{00000000-0005-0000-0000-0000A9450000}"/>
    <cellStyle name="20% - Accent6 4 2 5 6" xfId="24587" xr:uid="{00000000-0005-0000-0000-0000AA450000}"/>
    <cellStyle name="20% - Accent6 4 2 6" xfId="2284" xr:uid="{00000000-0005-0000-0000-0000AB450000}"/>
    <cellStyle name="20% - Accent6 4 2 6 2" xfId="8120" xr:uid="{00000000-0005-0000-0000-0000AC450000}"/>
    <cellStyle name="20% - Accent6 4 2 6 2 2" xfId="19421" xr:uid="{00000000-0005-0000-0000-0000AD450000}"/>
    <cellStyle name="20% - Accent6 4 2 6 2 2 2" xfId="42023" xr:uid="{00000000-0005-0000-0000-0000AE450000}"/>
    <cellStyle name="20% - Accent6 4 2 6 2 3" xfId="30722" xr:uid="{00000000-0005-0000-0000-0000AF450000}"/>
    <cellStyle name="20% - Accent6 4 2 6 3" xfId="13771" xr:uid="{00000000-0005-0000-0000-0000B0450000}"/>
    <cellStyle name="20% - Accent6 4 2 6 3 2" xfId="36373" xr:uid="{00000000-0005-0000-0000-0000B1450000}"/>
    <cellStyle name="20% - Accent6 4 2 6 4" xfId="25072" xr:uid="{00000000-0005-0000-0000-0000B2450000}"/>
    <cellStyle name="20% - Accent6 4 2 7" xfId="4071" xr:uid="{00000000-0005-0000-0000-0000B3450000}"/>
    <cellStyle name="20% - Accent6 4 2 7 2" xfId="9721" xr:uid="{00000000-0005-0000-0000-0000B4450000}"/>
    <cellStyle name="20% - Accent6 4 2 7 2 2" xfId="21022" xr:uid="{00000000-0005-0000-0000-0000B5450000}"/>
    <cellStyle name="20% - Accent6 4 2 7 2 2 2" xfId="43624" xr:uid="{00000000-0005-0000-0000-0000B6450000}"/>
    <cellStyle name="20% - Accent6 4 2 7 2 3" xfId="32323" xr:uid="{00000000-0005-0000-0000-0000B7450000}"/>
    <cellStyle name="20% - Accent6 4 2 7 3" xfId="15372" xr:uid="{00000000-0005-0000-0000-0000B8450000}"/>
    <cellStyle name="20% - Accent6 4 2 7 3 2" xfId="37974" xr:uid="{00000000-0005-0000-0000-0000B9450000}"/>
    <cellStyle name="20% - Accent6 4 2 7 4" xfId="26673" xr:uid="{00000000-0005-0000-0000-0000BA450000}"/>
    <cellStyle name="20% - Accent6 4 2 8" xfId="6522" xr:uid="{00000000-0005-0000-0000-0000BB450000}"/>
    <cellStyle name="20% - Accent6 4 2 8 2" xfId="17823" xr:uid="{00000000-0005-0000-0000-0000BC450000}"/>
    <cellStyle name="20% - Accent6 4 2 8 2 2" xfId="40425" xr:uid="{00000000-0005-0000-0000-0000BD450000}"/>
    <cellStyle name="20% - Accent6 4 2 8 3" xfId="29124" xr:uid="{00000000-0005-0000-0000-0000BE450000}"/>
    <cellStyle name="20% - Accent6 4 2 9" xfId="12173" xr:uid="{00000000-0005-0000-0000-0000BF450000}"/>
    <cellStyle name="20% - Accent6 4 2 9 2" xfId="34775" xr:uid="{00000000-0005-0000-0000-0000C0450000}"/>
    <cellStyle name="20% - Accent6 4 3" xfId="428" xr:uid="{00000000-0005-0000-0000-0000C1450000}"/>
    <cellStyle name="20% - Accent6 4 3 10" xfId="23523" xr:uid="{00000000-0005-0000-0000-0000C2450000}"/>
    <cellStyle name="20% - Accent6 4 3 2" xfId="673" xr:uid="{00000000-0005-0000-0000-0000C3450000}"/>
    <cellStyle name="20% - Accent6 4 3 2 2" xfId="1383" xr:uid="{00000000-0005-0000-0000-0000C4450000}"/>
    <cellStyle name="20% - Accent6 4 3 2 2 2" xfId="1785" xr:uid="{00000000-0005-0000-0000-0000C5450000}"/>
    <cellStyle name="20% - Accent6 4 3 2 2 2 2" xfId="3452" xr:uid="{00000000-0005-0000-0000-0000C6450000}"/>
    <cellStyle name="20% - Accent6 4 3 2 2 2 2 2" xfId="6424" xr:uid="{00000000-0005-0000-0000-0000C7450000}"/>
    <cellStyle name="20% - Accent6 4 3 2 2 2 2 2 2" xfId="12074" xr:uid="{00000000-0005-0000-0000-0000C8450000}"/>
    <cellStyle name="20% - Accent6 4 3 2 2 2 2 2 2 2" xfId="23375" xr:uid="{00000000-0005-0000-0000-0000C9450000}"/>
    <cellStyle name="20% - Accent6 4 3 2 2 2 2 2 2 2 2" xfId="45977" xr:uid="{00000000-0005-0000-0000-0000CA450000}"/>
    <cellStyle name="20% - Accent6 4 3 2 2 2 2 2 2 3" xfId="34676" xr:uid="{00000000-0005-0000-0000-0000CB450000}"/>
    <cellStyle name="20% - Accent6 4 3 2 2 2 2 2 3" xfId="17725" xr:uid="{00000000-0005-0000-0000-0000CC450000}"/>
    <cellStyle name="20% - Accent6 4 3 2 2 2 2 2 3 2" xfId="40327" xr:uid="{00000000-0005-0000-0000-0000CD450000}"/>
    <cellStyle name="20% - Accent6 4 3 2 2 2 2 2 4" xfId="29026" xr:uid="{00000000-0005-0000-0000-0000CE450000}"/>
    <cellStyle name="20% - Accent6 4 3 2 2 2 2 3" xfId="9242" xr:uid="{00000000-0005-0000-0000-0000CF450000}"/>
    <cellStyle name="20% - Accent6 4 3 2 2 2 2 3 2" xfId="20543" xr:uid="{00000000-0005-0000-0000-0000D0450000}"/>
    <cellStyle name="20% - Accent6 4 3 2 2 2 2 3 2 2" xfId="43145" xr:uid="{00000000-0005-0000-0000-0000D1450000}"/>
    <cellStyle name="20% - Accent6 4 3 2 2 2 2 3 3" xfId="31844" xr:uid="{00000000-0005-0000-0000-0000D2450000}"/>
    <cellStyle name="20% - Accent6 4 3 2 2 2 2 4" xfId="14893" xr:uid="{00000000-0005-0000-0000-0000D3450000}"/>
    <cellStyle name="20% - Accent6 4 3 2 2 2 2 4 2" xfId="37495" xr:uid="{00000000-0005-0000-0000-0000D4450000}"/>
    <cellStyle name="20% - Accent6 4 3 2 2 2 2 5" xfId="26194" xr:uid="{00000000-0005-0000-0000-0000D5450000}"/>
    <cellStyle name="20% - Accent6 4 3 2 2 2 3" xfId="5190" xr:uid="{00000000-0005-0000-0000-0000D6450000}"/>
    <cellStyle name="20% - Accent6 4 3 2 2 2 3 2" xfId="10840" xr:uid="{00000000-0005-0000-0000-0000D7450000}"/>
    <cellStyle name="20% - Accent6 4 3 2 2 2 3 2 2" xfId="22141" xr:uid="{00000000-0005-0000-0000-0000D8450000}"/>
    <cellStyle name="20% - Accent6 4 3 2 2 2 3 2 2 2" xfId="44743" xr:uid="{00000000-0005-0000-0000-0000D9450000}"/>
    <cellStyle name="20% - Accent6 4 3 2 2 2 3 2 3" xfId="33442" xr:uid="{00000000-0005-0000-0000-0000DA450000}"/>
    <cellStyle name="20% - Accent6 4 3 2 2 2 3 3" xfId="16491" xr:uid="{00000000-0005-0000-0000-0000DB450000}"/>
    <cellStyle name="20% - Accent6 4 3 2 2 2 3 3 2" xfId="39093" xr:uid="{00000000-0005-0000-0000-0000DC450000}"/>
    <cellStyle name="20% - Accent6 4 3 2 2 2 3 4" xfId="27792" xr:uid="{00000000-0005-0000-0000-0000DD450000}"/>
    <cellStyle name="20% - Accent6 4 3 2 2 2 4" xfId="7641" xr:uid="{00000000-0005-0000-0000-0000DE450000}"/>
    <cellStyle name="20% - Accent6 4 3 2 2 2 4 2" xfId="18942" xr:uid="{00000000-0005-0000-0000-0000DF450000}"/>
    <cellStyle name="20% - Accent6 4 3 2 2 2 4 2 2" xfId="41544" xr:uid="{00000000-0005-0000-0000-0000E0450000}"/>
    <cellStyle name="20% - Accent6 4 3 2 2 2 4 3" xfId="30243" xr:uid="{00000000-0005-0000-0000-0000E1450000}"/>
    <cellStyle name="20% - Accent6 4 3 2 2 2 5" xfId="13292" xr:uid="{00000000-0005-0000-0000-0000E2450000}"/>
    <cellStyle name="20% - Accent6 4 3 2 2 2 5 2" xfId="35894" xr:uid="{00000000-0005-0000-0000-0000E3450000}"/>
    <cellStyle name="20% - Accent6 4 3 2 2 2 6" xfId="24593" xr:uid="{00000000-0005-0000-0000-0000E4450000}"/>
    <cellStyle name="20% - Accent6 4 3 2 2 3" xfId="2781" xr:uid="{00000000-0005-0000-0000-0000E5450000}"/>
    <cellStyle name="20% - Accent6 4 3 2 2 3 2" xfId="5800" xr:uid="{00000000-0005-0000-0000-0000E6450000}"/>
    <cellStyle name="20% - Accent6 4 3 2 2 3 2 2" xfId="11450" xr:uid="{00000000-0005-0000-0000-0000E7450000}"/>
    <cellStyle name="20% - Accent6 4 3 2 2 3 2 2 2" xfId="22751" xr:uid="{00000000-0005-0000-0000-0000E8450000}"/>
    <cellStyle name="20% - Accent6 4 3 2 2 3 2 2 2 2" xfId="45353" xr:uid="{00000000-0005-0000-0000-0000E9450000}"/>
    <cellStyle name="20% - Accent6 4 3 2 2 3 2 2 3" xfId="34052" xr:uid="{00000000-0005-0000-0000-0000EA450000}"/>
    <cellStyle name="20% - Accent6 4 3 2 2 3 2 3" xfId="17101" xr:uid="{00000000-0005-0000-0000-0000EB450000}"/>
    <cellStyle name="20% - Accent6 4 3 2 2 3 2 3 2" xfId="39703" xr:uid="{00000000-0005-0000-0000-0000EC450000}"/>
    <cellStyle name="20% - Accent6 4 3 2 2 3 2 4" xfId="28402" xr:uid="{00000000-0005-0000-0000-0000ED450000}"/>
    <cellStyle name="20% - Accent6 4 3 2 2 3 3" xfId="8617" xr:uid="{00000000-0005-0000-0000-0000EE450000}"/>
    <cellStyle name="20% - Accent6 4 3 2 2 3 3 2" xfId="19918" xr:uid="{00000000-0005-0000-0000-0000EF450000}"/>
    <cellStyle name="20% - Accent6 4 3 2 2 3 3 2 2" xfId="42520" xr:uid="{00000000-0005-0000-0000-0000F0450000}"/>
    <cellStyle name="20% - Accent6 4 3 2 2 3 3 3" xfId="31219" xr:uid="{00000000-0005-0000-0000-0000F1450000}"/>
    <cellStyle name="20% - Accent6 4 3 2 2 3 4" xfId="14268" xr:uid="{00000000-0005-0000-0000-0000F2450000}"/>
    <cellStyle name="20% - Accent6 4 3 2 2 3 4 2" xfId="36870" xr:uid="{00000000-0005-0000-0000-0000F3450000}"/>
    <cellStyle name="20% - Accent6 4 3 2 2 3 5" xfId="25569" xr:uid="{00000000-0005-0000-0000-0000F4450000}"/>
    <cellStyle name="20% - Accent6 4 3 2 2 4" xfId="4566" xr:uid="{00000000-0005-0000-0000-0000F5450000}"/>
    <cellStyle name="20% - Accent6 4 3 2 2 4 2" xfId="10216" xr:uid="{00000000-0005-0000-0000-0000F6450000}"/>
    <cellStyle name="20% - Accent6 4 3 2 2 4 2 2" xfId="21517" xr:uid="{00000000-0005-0000-0000-0000F7450000}"/>
    <cellStyle name="20% - Accent6 4 3 2 2 4 2 2 2" xfId="44119" xr:uid="{00000000-0005-0000-0000-0000F8450000}"/>
    <cellStyle name="20% - Accent6 4 3 2 2 4 2 3" xfId="32818" xr:uid="{00000000-0005-0000-0000-0000F9450000}"/>
    <cellStyle name="20% - Accent6 4 3 2 2 4 3" xfId="15867" xr:uid="{00000000-0005-0000-0000-0000FA450000}"/>
    <cellStyle name="20% - Accent6 4 3 2 2 4 3 2" xfId="38469" xr:uid="{00000000-0005-0000-0000-0000FB450000}"/>
    <cellStyle name="20% - Accent6 4 3 2 2 4 4" xfId="27168" xr:uid="{00000000-0005-0000-0000-0000FC450000}"/>
    <cellStyle name="20% - Accent6 4 3 2 2 5" xfId="7362" xr:uid="{00000000-0005-0000-0000-0000FD450000}"/>
    <cellStyle name="20% - Accent6 4 3 2 2 5 2" xfId="18663" xr:uid="{00000000-0005-0000-0000-0000FE450000}"/>
    <cellStyle name="20% - Accent6 4 3 2 2 5 2 2" xfId="41265" xr:uid="{00000000-0005-0000-0000-0000FF450000}"/>
    <cellStyle name="20% - Accent6 4 3 2 2 5 3" xfId="29964" xr:uid="{00000000-0005-0000-0000-000000460000}"/>
    <cellStyle name="20% - Accent6 4 3 2 2 6" xfId="13013" xr:uid="{00000000-0005-0000-0000-000001460000}"/>
    <cellStyle name="20% - Accent6 4 3 2 2 6 2" xfId="35615" xr:uid="{00000000-0005-0000-0000-000002460000}"/>
    <cellStyle name="20% - Accent6 4 3 2 2 7" xfId="24314" xr:uid="{00000000-0005-0000-0000-000003460000}"/>
    <cellStyle name="20% - Accent6 4 3 2 3" xfId="1081" xr:uid="{00000000-0005-0000-0000-000004460000}"/>
    <cellStyle name="20% - Accent6 4 3 2 3 2" xfId="3144" xr:uid="{00000000-0005-0000-0000-000005460000}"/>
    <cellStyle name="20% - Accent6 4 3 2 3 2 2" xfId="6116" xr:uid="{00000000-0005-0000-0000-000006460000}"/>
    <cellStyle name="20% - Accent6 4 3 2 3 2 2 2" xfId="11766" xr:uid="{00000000-0005-0000-0000-000007460000}"/>
    <cellStyle name="20% - Accent6 4 3 2 3 2 2 2 2" xfId="23067" xr:uid="{00000000-0005-0000-0000-000008460000}"/>
    <cellStyle name="20% - Accent6 4 3 2 3 2 2 2 2 2" xfId="45669" xr:uid="{00000000-0005-0000-0000-000009460000}"/>
    <cellStyle name="20% - Accent6 4 3 2 3 2 2 2 3" xfId="34368" xr:uid="{00000000-0005-0000-0000-00000A460000}"/>
    <cellStyle name="20% - Accent6 4 3 2 3 2 2 3" xfId="17417" xr:uid="{00000000-0005-0000-0000-00000B460000}"/>
    <cellStyle name="20% - Accent6 4 3 2 3 2 2 3 2" xfId="40019" xr:uid="{00000000-0005-0000-0000-00000C460000}"/>
    <cellStyle name="20% - Accent6 4 3 2 3 2 2 4" xfId="28718" xr:uid="{00000000-0005-0000-0000-00000D460000}"/>
    <cellStyle name="20% - Accent6 4 3 2 3 2 3" xfId="8934" xr:uid="{00000000-0005-0000-0000-00000E460000}"/>
    <cellStyle name="20% - Accent6 4 3 2 3 2 3 2" xfId="20235" xr:uid="{00000000-0005-0000-0000-00000F460000}"/>
    <cellStyle name="20% - Accent6 4 3 2 3 2 3 2 2" xfId="42837" xr:uid="{00000000-0005-0000-0000-000010460000}"/>
    <cellStyle name="20% - Accent6 4 3 2 3 2 3 3" xfId="31536" xr:uid="{00000000-0005-0000-0000-000011460000}"/>
    <cellStyle name="20% - Accent6 4 3 2 3 2 4" xfId="14585" xr:uid="{00000000-0005-0000-0000-000012460000}"/>
    <cellStyle name="20% - Accent6 4 3 2 3 2 4 2" xfId="37187" xr:uid="{00000000-0005-0000-0000-000013460000}"/>
    <cellStyle name="20% - Accent6 4 3 2 3 2 5" xfId="25886" xr:uid="{00000000-0005-0000-0000-000014460000}"/>
    <cellStyle name="20% - Accent6 4 3 2 3 3" xfId="4882" xr:uid="{00000000-0005-0000-0000-000015460000}"/>
    <cellStyle name="20% - Accent6 4 3 2 3 3 2" xfId="10532" xr:uid="{00000000-0005-0000-0000-000016460000}"/>
    <cellStyle name="20% - Accent6 4 3 2 3 3 2 2" xfId="21833" xr:uid="{00000000-0005-0000-0000-000017460000}"/>
    <cellStyle name="20% - Accent6 4 3 2 3 3 2 2 2" xfId="44435" xr:uid="{00000000-0005-0000-0000-000018460000}"/>
    <cellStyle name="20% - Accent6 4 3 2 3 3 2 3" xfId="33134" xr:uid="{00000000-0005-0000-0000-000019460000}"/>
    <cellStyle name="20% - Accent6 4 3 2 3 3 3" xfId="16183" xr:uid="{00000000-0005-0000-0000-00001A460000}"/>
    <cellStyle name="20% - Accent6 4 3 2 3 3 3 2" xfId="38785" xr:uid="{00000000-0005-0000-0000-00001B460000}"/>
    <cellStyle name="20% - Accent6 4 3 2 3 3 4" xfId="27484" xr:uid="{00000000-0005-0000-0000-00001C460000}"/>
    <cellStyle name="20% - Accent6 4 3 2 3 4" xfId="7069" xr:uid="{00000000-0005-0000-0000-00001D460000}"/>
    <cellStyle name="20% - Accent6 4 3 2 3 4 2" xfId="18370" xr:uid="{00000000-0005-0000-0000-00001E460000}"/>
    <cellStyle name="20% - Accent6 4 3 2 3 4 2 2" xfId="40972" xr:uid="{00000000-0005-0000-0000-00001F460000}"/>
    <cellStyle name="20% - Accent6 4 3 2 3 4 3" xfId="29671" xr:uid="{00000000-0005-0000-0000-000020460000}"/>
    <cellStyle name="20% - Accent6 4 3 2 3 5" xfId="12720" xr:uid="{00000000-0005-0000-0000-000021460000}"/>
    <cellStyle name="20% - Accent6 4 3 2 3 5 2" xfId="35322" xr:uid="{00000000-0005-0000-0000-000022460000}"/>
    <cellStyle name="20% - Accent6 4 3 2 3 6" xfId="24021" xr:uid="{00000000-0005-0000-0000-000023460000}"/>
    <cellStyle name="20% - Accent6 4 3 2 4" xfId="1784" xr:uid="{00000000-0005-0000-0000-000024460000}"/>
    <cellStyle name="20% - Accent6 4 3 2 4 2" xfId="3690" xr:uid="{00000000-0005-0000-0000-000025460000}"/>
    <cellStyle name="20% - Accent6 4 3 2 4 2 2" xfId="9401" xr:uid="{00000000-0005-0000-0000-000026460000}"/>
    <cellStyle name="20% - Accent6 4 3 2 4 2 2 2" xfId="20702" xr:uid="{00000000-0005-0000-0000-000027460000}"/>
    <cellStyle name="20% - Accent6 4 3 2 4 2 2 2 2" xfId="43304" xr:uid="{00000000-0005-0000-0000-000028460000}"/>
    <cellStyle name="20% - Accent6 4 3 2 4 2 2 3" xfId="32003" xr:uid="{00000000-0005-0000-0000-000029460000}"/>
    <cellStyle name="20% - Accent6 4 3 2 4 2 3" xfId="15052" xr:uid="{00000000-0005-0000-0000-00002A460000}"/>
    <cellStyle name="20% - Accent6 4 3 2 4 2 3 2" xfId="37654" xr:uid="{00000000-0005-0000-0000-00002B460000}"/>
    <cellStyle name="20% - Accent6 4 3 2 4 2 4" xfId="26353" xr:uid="{00000000-0005-0000-0000-00002C460000}"/>
    <cellStyle name="20% - Accent6 4 3 2 4 3" xfId="5492" xr:uid="{00000000-0005-0000-0000-00002D460000}"/>
    <cellStyle name="20% - Accent6 4 3 2 4 3 2" xfId="11142" xr:uid="{00000000-0005-0000-0000-00002E460000}"/>
    <cellStyle name="20% - Accent6 4 3 2 4 3 2 2" xfId="22443" xr:uid="{00000000-0005-0000-0000-00002F460000}"/>
    <cellStyle name="20% - Accent6 4 3 2 4 3 2 2 2" xfId="45045" xr:uid="{00000000-0005-0000-0000-000030460000}"/>
    <cellStyle name="20% - Accent6 4 3 2 4 3 2 3" xfId="33744" xr:uid="{00000000-0005-0000-0000-000031460000}"/>
    <cellStyle name="20% - Accent6 4 3 2 4 3 3" xfId="16793" xr:uid="{00000000-0005-0000-0000-000032460000}"/>
    <cellStyle name="20% - Accent6 4 3 2 4 3 3 2" xfId="39395" xr:uid="{00000000-0005-0000-0000-000033460000}"/>
    <cellStyle name="20% - Accent6 4 3 2 4 3 4" xfId="28094" xr:uid="{00000000-0005-0000-0000-000034460000}"/>
    <cellStyle name="20% - Accent6 4 3 2 4 4" xfId="7640" xr:uid="{00000000-0005-0000-0000-000035460000}"/>
    <cellStyle name="20% - Accent6 4 3 2 4 4 2" xfId="18941" xr:uid="{00000000-0005-0000-0000-000036460000}"/>
    <cellStyle name="20% - Accent6 4 3 2 4 4 2 2" xfId="41543" xr:uid="{00000000-0005-0000-0000-000037460000}"/>
    <cellStyle name="20% - Accent6 4 3 2 4 4 3" xfId="30242" xr:uid="{00000000-0005-0000-0000-000038460000}"/>
    <cellStyle name="20% - Accent6 4 3 2 4 5" xfId="13291" xr:uid="{00000000-0005-0000-0000-000039460000}"/>
    <cellStyle name="20% - Accent6 4 3 2 4 5 2" xfId="35893" xr:uid="{00000000-0005-0000-0000-00003A460000}"/>
    <cellStyle name="20% - Accent6 4 3 2 4 6" xfId="24592" xr:uid="{00000000-0005-0000-0000-00003B460000}"/>
    <cellStyle name="20% - Accent6 4 3 2 5" xfId="2473" xr:uid="{00000000-0005-0000-0000-00003C460000}"/>
    <cellStyle name="20% - Accent6 4 3 2 5 2" xfId="8309" xr:uid="{00000000-0005-0000-0000-00003D460000}"/>
    <cellStyle name="20% - Accent6 4 3 2 5 2 2" xfId="19610" xr:uid="{00000000-0005-0000-0000-00003E460000}"/>
    <cellStyle name="20% - Accent6 4 3 2 5 2 2 2" xfId="42212" xr:uid="{00000000-0005-0000-0000-00003F460000}"/>
    <cellStyle name="20% - Accent6 4 3 2 5 2 3" xfId="30911" xr:uid="{00000000-0005-0000-0000-000040460000}"/>
    <cellStyle name="20% - Accent6 4 3 2 5 3" xfId="13960" xr:uid="{00000000-0005-0000-0000-000041460000}"/>
    <cellStyle name="20% - Accent6 4 3 2 5 3 2" xfId="36562" xr:uid="{00000000-0005-0000-0000-000042460000}"/>
    <cellStyle name="20% - Accent6 4 3 2 5 4" xfId="25261" xr:uid="{00000000-0005-0000-0000-000043460000}"/>
    <cellStyle name="20% - Accent6 4 3 2 6" xfId="4258" xr:uid="{00000000-0005-0000-0000-000044460000}"/>
    <cellStyle name="20% - Accent6 4 3 2 6 2" xfId="9908" xr:uid="{00000000-0005-0000-0000-000045460000}"/>
    <cellStyle name="20% - Accent6 4 3 2 6 2 2" xfId="21209" xr:uid="{00000000-0005-0000-0000-000046460000}"/>
    <cellStyle name="20% - Accent6 4 3 2 6 2 2 2" xfId="43811" xr:uid="{00000000-0005-0000-0000-000047460000}"/>
    <cellStyle name="20% - Accent6 4 3 2 6 2 3" xfId="32510" xr:uid="{00000000-0005-0000-0000-000048460000}"/>
    <cellStyle name="20% - Accent6 4 3 2 6 3" xfId="15559" xr:uid="{00000000-0005-0000-0000-000049460000}"/>
    <cellStyle name="20% - Accent6 4 3 2 6 3 2" xfId="38161" xr:uid="{00000000-0005-0000-0000-00004A460000}"/>
    <cellStyle name="20% - Accent6 4 3 2 6 4" xfId="26860" xr:uid="{00000000-0005-0000-0000-00004B460000}"/>
    <cellStyle name="20% - Accent6 4 3 2 7" xfId="6738" xr:uid="{00000000-0005-0000-0000-00004C460000}"/>
    <cellStyle name="20% - Accent6 4 3 2 7 2" xfId="18039" xr:uid="{00000000-0005-0000-0000-00004D460000}"/>
    <cellStyle name="20% - Accent6 4 3 2 7 2 2" xfId="40641" xr:uid="{00000000-0005-0000-0000-00004E460000}"/>
    <cellStyle name="20% - Accent6 4 3 2 7 3" xfId="29340" xr:uid="{00000000-0005-0000-0000-00004F460000}"/>
    <cellStyle name="20% - Accent6 4 3 2 8" xfId="12389" xr:uid="{00000000-0005-0000-0000-000050460000}"/>
    <cellStyle name="20% - Accent6 4 3 2 8 2" xfId="34991" xr:uid="{00000000-0005-0000-0000-000051460000}"/>
    <cellStyle name="20% - Accent6 4 3 2 9" xfId="23690" xr:uid="{00000000-0005-0000-0000-000052460000}"/>
    <cellStyle name="20% - Accent6 4 3 3" xfId="1245" xr:uid="{00000000-0005-0000-0000-000053460000}"/>
    <cellStyle name="20% - Accent6 4 3 3 2" xfId="1786" xr:uid="{00000000-0005-0000-0000-000054460000}"/>
    <cellStyle name="20% - Accent6 4 3 3 2 2" xfId="3313" xr:uid="{00000000-0005-0000-0000-000055460000}"/>
    <cellStyle name="20% - Accent6 4 3 3 2 2 2" xfId="6285" xr:uid="{00000000-0005-0000-0000-000056460000}"/>
    <cellStyle name="20% - Accent6 4 3 3 2 2 2 2" xfId="11935" xr:uid="{00000000-0005-0000-0000-000057460000}"/>
    <cellStyle name="20% - Accent6 4 3 3 2 2 2 2 2" xfId="23236" xr:uid="{00000000-0005-0000-0000-000058460000}"/>
    <cellStyle name="20% - Accent6 4 3 3 2 2 2 2 2 2" xfId="45838" xr:uid="{00000000-0005-0000-0000-000059460000}"/>
    <cellStyle name="20% - Accent6 4 3 3 2 2 2 2 3" xfId="34537" xr:uid="{00000000-0005-0000-0000-00005A460000}"/>
    <cellStyle name="20% - Accent6 4 3 3 2 2 2 3" xfId="17586" xr:uid="{00000000-0005-0000-0000-00005B460000}"/>
    <cellStyle name="20% - Accent6 4 3 3 2 2 2 3 2" xfId="40188" xr:uid="{00000000-0005-0000-0000-00005C460000}"/>
    <cellStyle name="20% - Accent6 4 3 3 2 2 2 4" xfId="28887" xr:uid="{00000000-0005-0000-0000-00005D460000}"/>
    <cellStyle name="20% - Accent6 4 3 3 2 2 3" xfId="9103" xr:uid="{00000000-0005-0000-0000-00005E460000}"/>
    <cellStyle name="20% - Accent6 4 3 3 2 2 3 2" xfId="20404" xr:uid="{00000000-0005-0000-0000-00005F460000}"/>
    <cellStyle name="20% - Accent6 4 3 3 2 2 3 2 2" xfId="43006" xr:uid="{00000000-0005-0000-0000-000060460000}"/>
    <cellStyle name="20% - Accent6 4 3 3 2 2 3 3" xfId="31705" xr:uid="{00000000-0005-0000-0000-000061460000}"/>
    <cellStyle name="20% - Accent6 4 3 3 2 2 4" xfId="14754" xr:uid="{00000000-0005-0000-0000-000062460000}"/>
    <cellStyle name="20% - Accent6 4 3 3 2 2 4 2" xfId="37356" xr:uid="{00000000-0005-0000-0000-000063460000}"/>
    <cellStyle name="20% - Accent6 4 3 3 2 2 5" xfId="26055" xr:uid="{00000000-0005-0000-0000-000064460000}"/>
    <cellStyle name="20% - Accent6 4 3 3 2 3" xfId="5051" xr:uid="{00000000-0005-0000-0000-000065460000}"/>
    <cellStyle name="20% - Accent6 4 3 3 2 3 2" xfId="10701" xr:uid="{00000000-0005-0000-0000-000066460000}"/>
    <cellStyle name="20% - Accent6 4 3 3 2 3 2 2" xfId="22002" xr:uid="{00000000-0005-0000-0000-000067460000}"/>
    <cellStyle name="20% - Accent6 4 3 3 2 3 2 2 2" xfId="44604" xr:uid="{00000000-0005-0000-0000-000068460000}"/>
    <cellStyle name="20% - Accent6 4 3 3 2 3 2 3" xfId="33303" xr:uid="{00000000-0005-0000-0000-000069460000}"/>
    <cellStyle name="20% - Accent6 4 3 3 2 3 3" xfId="16352" xr:uid="{00000000-0005-0000-0000-00006A460000}"/>
    <cellStyle name="20% - Accent6 4 3 3 2 3 3 2" xfId="38954" xr:uid="{00000000-0005-0000-0000-00006B460000}"/>
    <cellStyle name="20% - Accent6 4 3 3 2 3 4" xfId="27653" xr:uid="{00000000-0005-0000-0000-00006C460000}"/>
    <cellStyle name="20% - Accent6 4 3 3 2 4" xfId="7642" xr:uid="{00000000-0005-0000-0000-00006D460000}"/>
    <cellStyle name="20% - Accent6 4 3 3 2 4 2" xfId="18943" xr:uid="{00000000-0005-0000-0000-00006E460000}"/>
    <cellStyle name="20% - Accent6 4 3 3 2 4 2 2" xfId="41545" xr:uid="{00000000-0005-0000-0000-00006F460000}"/>
    <cellStyle name="20% - Accent6 4 3 3 2 4 3" xfId="30244" xr:uid="{00000000-0005-0000-0000-000070460000}"/>
    <cellStyle name="20% - Accent6 4 3 3 2 5" xfId="13293" xr:uid="{00000000-0005-0000-0000-000071460000}"/>
    <cellStyle name="20% - Accent6 4 3 3 2 5 2" xfId="35895" xr:uid="{00000000-0005-0000-0000-000072460000}"/>
    <cellStyle name="20% - Accent6 4 3 3 2 6" xfId="24594" xr:uid="{00000000-0005-0000-0000-000073460000}"/>
    <cellStyle name="20% - Accent6 4 3 3 3" xfId="2642" xr:uid="{00000000-0005-0000-0000-000074460000}"/>
    <cellStyle name="20% - Accent6 4 3 3 3 2" xfId="5661" xr:uid="{00000000-0005-0000-0000-000075460000}"/>
    <cellStyle name="20% - Accent6 4 3 3 3 2 2" xfId="11311" xr:uid="{00000000-0005-0000-0000-000076460000}"/>
    <cellStyle name="20% - Accent6 4 3 3 3 2 2 2" xfId="22612" xr:uid="{00000000-0005-0000-0000-000077460000}"/>
    <cellStyle name="20% - Accent6 4 3 3 3 2 2 2 2" xfId="45214" xr:uid="{00000000-0005-0000-0000-000078460000}"/>
    <cellStyle name="20% - Accent6 4 3 3 3 2 2 3" xfId="33913" xr:uid="{00000000-0005-0000-0000-000079460000}"/>
    <cellStyle name="20% - Accent6 4 3 3 3 2 3" xfId="16962" xr:uid="{00000000-0005-0000-0000-00007A460000}"/>
    <cellStyle name="20% - Accent6 4 3 3 3 2 3 2" xfId="39564" xr:uid="{00000000-0005-0000-0000-00007B460000}"/>
    <cellStyle name="20% - Accent6 4 3 3 3 2 4" xfId="28263" xr:uid="{00000000-0005-0000-0000-00007C460000}"/>
    <cellStyle name="20% - Accent6 4 3 3 3 3" xfId="8478" xr:uid="{00000000-0005-0000-0000-00007D460000}"/>
    <cellStyle name="20% - Accent6 4 3 3 3 3 2" xfId="19779" xr:uid="{00000000-0005-0000-0000-00007E460000}"/>
    <cellStyle name="20% - Accent6 4 3 3 3 3 2 2" xfId="42381" xr:uid="{00000000-0005-0000-0000-00007F460000}"/>
    <cellStyle name="20% - Accent6 4 3 3 3 3 3" xfId="31080" xr:uid="{00000000-0005-0000-0000-000080460000}"/>
    <cellStyle name="20% - Accent6 4 3 3 3 4" xfId="14129" xr:uid="{00000000-0005-0000-0000-000081460000}"/>
    <cellStyle name="20% - Accent6 4 3 3 3 4 2" xfId="36731" xr:uid="{00000000-0005-0000-0000-000082460000}"/>
    <cellStyle name="20% - Accent6 4 3 3 3 5" xfId="25430" xr:uid="{00000000-0005-0000-0000-000083460000}"/>
    <cellStyle name="20% - Accent6 4 3 3 4" xfId="4427" xr:uid="{00000000-0005-0000-0000-000084460000}"/>
    <cellStyle name="20% - Accent6 4 3 3 4 2" xfId="10077" xr:uid="{00000000-0005-0000-0000-000085460000}"/>
    <cellStyle name="20% - Accent6 4 3 3 4 2 2" xfId="21378" xr:uid="{00000000-0005-0000-0000-000086460000}"/>
    <cellStyle name="20% - Accent6 4 3 3 4 2 2 2" xfId="43980" xr:uid="{00000000-0005-0000-0000-000087460000}"/>
    <cellStyle name="20% - Accent6 4 3 3 4 2 3" xfId="32679" xr:uid="{00000000-0005-0000-0000-000088460000}"/>
    <cellStyle name="20% - Accent6 4 3 3 4 3" xfId="15728" xr:uid="{00000000-0005-0000-0000-000089460000}"/>
    <cellStyle name="20% - Accent6 4 3 3 4 3 2" xfId="38330" xr:uid="{00000000-0005-0000-0000-00008A460000}"/>
    <cellStyle name="20% - Accent6 4 3 3 4 4" xfId="27029" xr:uid="{00000000-0005-0000-0000-00008B460000}"/>
    <cellStyle name="20% - Accent6 4 3 3 5" xfId="7224" xr:uid="{00000000-0005-0000-0000-00008C460000}"/>
    <cellStyle name="20% - Accent6 4 3 3 5 2" xfId="18525" xr:uid="{00000000-0005-0000-0000-00008D460000}"/>
    <cellStyle name="20% - Accent6 4 3 3 5 2 2" xfId="41127" xr:uid="{00000000-0005-0000-0000-00008E460000}"/>
    <cellStyle name="20% - Accent6 4 3 3 5 3" xfId="29826" xr:uid="{00000000-0005-0000-0000-00008F460000}"/>
    <cellStyle name="20% - Accent6 4 3 3 6" xfId="12875" xr:uid="{00000000-0005-0000-0000-000090460000}"/>
    <cellStyle name="20% - Accent6 4 3 3 6 2" xfId="35477" xr:uid="{00000000-0005-0000-0000-000091460000}"/>
    <cellStyle name="20% - Accent6 4 3 3 7" xfId="24176" xr:uid="{00000000-0005-0000-0000-000092460000}"/>
    <cellStyle name="20% - Accent6 4 3 4" xfId="936" xr:uid="{00000000-0005-0000-0000-000093460000}"/>
    <cellStyle name="20% - Accent6 4 3 4 2" xfId="3006" xr:uid="{00000000-0005-0000-0000-000094460000}"/>
    <cellStyle name="20% - Accent6 4 3 4 2 2" xfId="5978" xr:uid="{00000000-0005-0000-0000-000095460000}"/>
    <cellStyle name="20% - Accent6 4 3 4 2 2 2" xfId="11628" xr:uid="{00000000-0005-0000-0000-000096460000}"/>
    <cellStyle name="20% - Accent6 4 3 4 2 2 2 2" xfId="22929" xr:uid="{00000000-0005-0000-0000-000097460000}"/>
    <cellStyle name="20% - Accent6 4 3 4 2 2 2 2 2" xfId="45531" xr:uid="{00000000-0005-0000-0000-000098460000}"/>
    <cellStyle name="20% - Accent6 4 3 4 2 2 2 3" xfId="34230" xr:uid="{00000000-0005-0000-0000-000099460000}"/>
    <cellStyle name="20% - Accent6 4 3 4 2 2 3" xfId="17279" xr:uid="{00000000-0005-0000-0000-00009A460000}"/>
    <cellStyle name="20% - Accent6 4 3 4 2 2 3 2" xfId="39881" xr:uid="{00000000-0005-0000-0000-00009B460000}"/>
    <cellStyle name="20% - Accent6 4 3 4 2 2 4" xfId="28580" xr:uid="{00000000-0005-0000-0000-00009C460000}"/>
    <cellStyle name="20% - Accent6 4 3 4 2 3" xfId="8796" xr:uid="{00000000-0005-0000-0000-00009D460000}"/>
    <cellStyle name="20% - Accent6 4 3 4 2 3 2" xfId="20097" xr:uid="{00000000-0005-0000-0000-00009E460000}"/>
    <cellStyle name="20% - Accent6 4 3 4 2 3 2 2" xfId="42699" xr:uid="{00000000-0005-0000-0000-00009F460000}"/>
    <cellStyle name="20% - Accent6 4 3 4 2 3 3" xfId="31398" xr:uid="{00000000-0005-0000-0000-0000A0460000}"/>
    <cellStyle name="20% - Accent6 4 3 4 2 4" xfId="14447" xr:uid="{00000000-0005-0000-0000-0000A1460000}"/>
    <cellStyle name="20% - Accent6 4 3 4 2 4 2" xfId="37049" xr:uid="{00000000-0005-0000-0000-0000A2460000}"/>
    <cellStyle name="20% - Accent6 4 3 4 2 5" xfId="25748" xr:uid="{00000000-0005-0000-0000-0000A3460000}"/>
    <cellStyle name="20% - Accent6 4 3 4 3" xfId="4744" xr:uid="{00000000-0005-0000-0000-0000A4460000}"/>
    <cellStyle name="20% - Accent6 4 3 4 3 2" xfId="10394" xr:uid="{00000000-0005-0000-0000-0000A5460000}"/>
    <cellStyle name="20% - Accent6 4 3 4 3 2 2" xfId="21695" xr:uid="{00000000-0005-0000-0000-0000A6460000}"/>
    <cellStyle name="20% - Accent6 4 3 4 3 2 2 2" xfId="44297" xr:uid="{00000000-0005-0000-0000-0000A7460000}"/>
    <cellStyle name="20% - Accent6 4 3 4 3 2 3" xfId="32996" xr:uid="{00000000-0005-0000-0000-0000A8460000}"/>
    <cellStyle name="20% - Accent6 4 3 4 3 3" xfId="16045" xr:uid="{00000000-0005-0000-0000-0000A9460000}"/>
    <cellStyle name="20% - Accent6 4 3 4 3 3 2" xfId="38647" xr:uid="{00000000-0005-0000-0000-0000AA460000}"/>
    <cellStyle name="20% - Accent6 4 3 4 3 4" xfId="27346" xr:uid="{00000000-0005-0000-0000-0000AB460000}"/>
    <cellStyle name="20% - Accent6 4 3 4 4" xfId="6931" xr:uid="{00000000-0005-0000-0000-0000AC460000}"/>
    <cellStyle name="20% - Accent6 4 3 4 4 2" xfId="18232" xr:uid="{00000000-0005-0000-0000-0000AD460000}"/>
    <cellStyle name="20% - Accent6 4 3 4 4 2 2" xfId="40834" xr:uid="{00000000-0005-0000-0000-0000AE460000}"/>
    <cellStyle name="20% - Accent6 4 3 4 4 3" xfId="29533" xr:uid="{00000000-0005-0000-0000-0000AF460000}"/>
    <cellStyle name="20% - Accent6 4 3 4 5" xfId="12582" xr:uid="{00000000-0005-0000-0000-0000B0460000}"/>
    <cellStyle name="20% - Accent6 4 3 4 5 2" xfId="35184" xr:uid="{00000000-0005-0000-0000-0000B1460000}"/>
    <cellStyle name="20% - Accent6 4 3 4 6" xfId="23883" xr:uid="{00000000-0005-0000-0000-0000B2460000}"/>
    <cellStyle name="20% - Accent6 4 3 5" xfId="1783" xr:uid="{00000000-0005-0000-0000-0000B3460000}"/>
    <cellStyle name="20% - Accent6 4 3 5 2" xfId="3689" xr:uid="{00000000-0005-0000-0000-0000B4460000}"/>
    <cellStyle name="20% - Accent6 4 3 5 2 2" xfId="9400" xr:uid="{00000000-0005-0000-0000-0000B5460000}"/>
    <cellStyle name="20% - Accent6 4 3 5 2 2 2" xfId="20701" xr:uid="{00000000-0005-0000-0000-0000B6460000}"/>
    <cellStyle name="20% - Accent6 4 3 5 2 2 2 2" xfId="43303" xr:uid="{00000000-0005-0000-0000-0000B7460000}"/>
    <cellStyle name="20% - Accent6 4 3 5 2 2 3" xfId="32002" xr:uid="{00000000-0005-0000-0000-0000B8460000}"/>
    <cellStyle name="20% - Accent6 4 3 5 2 3" xfId="15051" xr:uid="{00000000-0005-0000-0000-0000B9460000}"/>
    <cellStyle name="20% - Accent6 4 3 5 2 3 2" xfId="37653" xr:uid="{00000000-0005-0000-0000-0000BA460000}"/>
    <cellStyle name="20% - Accent6 4 3 5 2 4" xfId="26352" xr:uid="{00000000-0005-0000-0000-0000BB460000}"/>
    <cellStyle name="20% - Accent6 4 3 5 3" xfId="5354" xr:uid="{00000000-0005-0000-0000-0000BC460000}"/>
    <cellStyle name="20% - Accent6 4 3 5 3 2" xfId="11004" xr:uid="{00000000-0005-0000-0000-0000BD460000}"/>
    <cellStyle name="20% - Accent6 4 3 5 3 2 2" xfId="22305" xr:uid="{00000000-0005-0000-0000-0000BE460000}"/>
    <cellStyle name="20% - Accent6 4 3 5 3 2 2 2" xfId="44907" xr:uid="{00000000-0005-0000-0000-0000BF460000}"/>
    <cellStyle name="20% - Accent6 4 3 5 3 2 3" xfId="33606" xr:uid="{00000000-0005-0000-0000-0000C0460000}"/>
    <cellStyle name="20% - Accent6 4 3 5 3 3" xfId="16655" xr:uid="{00000000-0005-0000-0000-0000C1460000}"/>
    <cellStyle name="20% - Accent6 4 3 5 3 3 2" xfId="39257" xr:uid="{00000000-0005-0000-0000-0000C2460000}"/>
    <cellStyle name="20% - Accent6 4 3 5 3 4" xfId="27956" xr:uid="{00000000-0005-0000-0000-0000C3460000}"/>
    <cellStyle name="20% - Accent6 4 3 5 4" xfId="7639" xr:uid="{00000000-0005-0000-0000-0000C4460000}"/>
    <cellStyle name="20% - Accent6 4 3 5 4 2" xfId="18940" xr:uid="{00000000-0005-0000-0000-0000C5460000}"/>
    <cellStyle name="20% - Accent6 4 3 5 4 2 2" xfId="41542" xr:uid="{00000000-0005-0000-0000-0000C6460000}"/>
    <cellStyle name="20% - Accent6 4 3 5 4 3" xfId="30241" xr:uid="{00000000-0005-0000-0000-0000C7460000}"/>
    <cellStyle name="20% - Accent6 4 3 5 5" xfId="13290" xr:uid="{00000000-0005-0000-0000-0000C8460000}"/>
    <cellStyle name="20% - Accent6 4 3 5 5 2" xfId="35892" xr:uid="{00000000-0005-0000-0000-0000C9460000}"/>
    <cellStyle name="20% - Accent6 4 3 5 6" xfId="24591" xr:uid="{00000000-0005-0000-0000-0000CA460000}"/>
    <cellStyle name="20% - Accent6 4 3 6" xfId="2333" xr:uid="{00000000-0005-0000-0000-0000CB460000}"/>
    <cellStyle name="20% - Accent6 4 3 6 2" xfId="8169" xr:uid="{00000000-0005-0000-0000-0000CC460000}"/>
    <cellStyle name="20% - Accent6 4 3 6 2 2" xfId="19470" xr:uid="{00000000-0005-0000-0000-0000CD460000}"/>
    <cellStyle name="20% - Accent6 4 3 6 2 2 2" xfId="42072" xr:uid="{00000000-0005-0000-0000-0000CE460000}"/>
    <cellStyle name="20% - Accent6 4 3 6 2 3" xfId="30771" xr:uid="{00000000-0005-0000-0000-0000CF460000}"/>
    <cellStyle name="20% - Accent6 4 3 6 3" xfId="13820" xr:uid="{00000000-0005-0000-0000-0000D0460000}"/>
    <cellStyle name="20% - Accent6 4 3 6 3 2" xfId="36422" xr:uid="{00000000-0005-0000-0000-0000D1460000}"/>
    <cellStyle name="20% - Accent6 4 3 6 4" xfId="25121" xr:uid="{00000000-0005-0000-0000-0000D2460000}"/>
    <cellStyle name="20% - Accent6 4 3 7" xfId="4120" xr:uid="{00000000-0005-0000-0000-0000D3460000}"/>
    <cellStyle name="20% - Accent6 4 3 7 2" xfId="9770" xr:uid="{00000000-0005-0000-0000-0000D4460000}"/>
    <cellStyle name="20% - Accent6 4 3 7 2 2" xfId="21071" xr:uid="{00000000-0005-0000-0000-0000D5460000}"/>
    <cellStyle name="20% - Accent6 4 3 7 2 2 2" xfId="43673" xr:uid="{00000000-0005-0000-0000-0000D6460000}"/>
    <cellStyle name="20% - Accent6 4 3 7 2 3" xfId="32372" xr:uid="{00000000-0005-0000-0000-0000D7460000}"/>
    <cellStyle name="20% - Accent6 4 3 7 3" xfId="15421" xr:uid="{00000000-0005-0000-0000-0000D8460000}"/>
    <cellStyle name="20% - Accent6 4 3 7 3 2" xfId="38023" xr:uid="{00000000-0005-0000-0000-0000D9460000}"/>
    <cellStyle name="20% - Accent6 4 3 7 4" xfId="26722" xr:uid="{00000000-0005-0000-0000-0000DA460000}"/>
    <cellStyle name="20% - Accent6 4 3 8" xfId="6571" xr:uid="{00000000-0005-0000-0000-0000DB460000}"/>
    <cellStyle name="20% - Accent6 4 3 8 2" xfId="17872" xr:uid="{00000000-0005-0000-0000-0000DC460000}"/>
    <cellStyle name="20% - Accent6 4 3 8 2 2" xfId="40474" xr:uid="{00000000-0005-0000-0000-0000DD460000}"/>
    <cellStyle name="20% - Accent6 4 3 8 3" xfId="29173" xr:uid="{00000000-0005-0000-0000-0000DE460000}"/>
    <cellStyle name="20% - Accent6 4 3 9" xfId="12222" xr:uid="{00000000-0005-0000-0000-0000DF460000}"/>
    <cellStyle name="20% - Accent6 4 3 9 2" xfId="34824" xr:uid="{00000000-0005-0000-0000-0000E0460000}"/>
    <cellStyle name="20% - Accent6 4 4" xfId="575" xr:uid="{00000000-0005-0000-0000-0000E1460000}"/>
    <cellStyle name="20% - Accent6 4 4 2" xfId="1149" xr:uid="{00000000-0005-0000-0000-0000E2460000}"/>
    <cellStyle name="20% - Accent6 4 4 2 2" xfId="1788" xr:uid="{00000000-0005-0000-0000-0000E3460000}"/>
    <cellStyle name="20% - Accent6 4 4 2 2 2" xfId="3217" xr:uid="{00000000-0005-0000-0000-0000E4460000}"/>
    <cellStyle name="20% - Accent6 4 4 2 2 2 2" xfId="6189" xr:uid="{00000000-0005-0000-0000-0000E5460000}"/>
    <cellStyle name="20% - Accent6 4 4 2 2 2 2 2" xfId="11839" xr:uid="{00000000-0005-0000-0000-0000E6460000}"/>
    <cellStyle name="20% - Accent6 4 4 2 2 2 2 2 2" xfId="23140" xr:uid="{00000000-0005-0000-0000-0000E7460000}"/>
    <cellStyle name="20% - Accent6 4 4 2 2 2 2 2 2 2" xfId="45742" xr:uid="{00000000-0005-0000-0000-0000E8460000}"/>
    <cellStyle name="20% - Accent6 4 4 2 2 2 2 2 3" xfId="34441" xr:uid="{00000000-0005-0000-0000-0000E9460000}"/>
    <cellStyle name="20% - Accent6 4 4 2 2 2 2 3" xfId="17490" xr:uid="{00000000-0005-0000-0000-0000EA460000}"/>
    <cellStyle name="20% - Accent6 4 4 2 2 2 2 3 2" xfId="40092" xr:uid="{00000000-0005-0000-0000-0000EB460000}"/>
    <cellStyle name="20% - Accent6 4 4 2 2 2 2 4" xfId="28791" xr:uid="{00000000-0005-0000-0000-0000EC460000}"/>
    <cellStyle name="20% - Accent6 4 4 2 2 2 3" xfId="9007" xr:uid="{00000000-0005-0000-0000-0000ED460000}"/>
    <cellStyle name="20% - Accent6 4 4 2 2 2 3 2" xfId="20308" xr:uid="{00000000-0005-0000-0000-0000EE460000}"/>
    <cellStyle name="20% - Accent6 4 4 2 2 2 3 2 2" xfId="42910" xr:uid="{00000000-0005-0000-0000-0000EF460000}"/>
    <cellStyle name="20% - Accent6 4 4 2 2 2 3 3" xfId="31609" xr:uid="{00000000-0005-0000-0000-0000F0460000}"/>
    <cellStyle name="20% - Accent6 4 4 2 2 2 4" xfId="14658" xr:uid="{00000000-0005-0000-0000-0000F1460000}"/>
    <cellStyle name="20% - Accent6 4 4 2 2 2 4 2" xfId="37260" xr:uid="{00000000-0005-0000-0000-0000F2460000}"/>
    <cellStyle name="20% - Accent6 4 4 2 2 2 5" xfId="25959" xr:uid="{00000000-0005-0000-0000-0000F3460000}"/>
    <cellStyle name="20% - Accent6 4 4 2 2 3" xfId="4955" xr:uid="{00000000-0005-0000-0000-0000F4460000}"/>
    <cellStyle name="20% - Accent6 4 4 2 2 3 2" xfId="10605" xr:uid="{00000000-0005-0000-0000-0000F5460000}"/>
    <cellStyle name="20% - Accent6 4 4 2 2 3 2 2" xfId="21906" xr:uid="{00000000-0005-0000-0000-0000F6460000}"/>
    <cellStyle name="20% - Accent6 4 4 2 2 3 2 2 2" xfId="44508" xr:uid="{00000000-0005-0000-0000-0000F7460000}"/>
    <cellStyle name="20% - Accent6 4 4 2 2 3 2 3" xfId="33207" xr:uid="{00000000-0005-0000-0000-0000F8460000}"/>
    <cellStyle name="20% - Accent6 4 4 2 2 3 3" xfId="16256" xr:uid="{00000000-0005-0000-0000-0000F9460000}"/>
    <cellStyle name="20% - Accent6 4 4 2 2 3 3 2" xfId="38858" xr:uid="{00000000-0005-0000-0000-0000FA460000}"/>
    <cellStyle name="20% - Accent6 4 4 2 2 3 4" xfId="27557" xr:uid="{00000000-0005-0000-0000-0000FB460000}"/>
    <cellStyle name="20% - Accent6 4 4 2 2 4" xfId="7644" xr:uid="{00000000-0005-0000-0000-0000FC460000}"/>
    <cellStyle name="20% - Accent6 4 4 2 2 4 2" xfId="18945" xr:uid="{00000000-0005-0000-0000-0000FD460000}"/>
    <cellStyle name="20% - Accent6 4 4 2 2 4 2 2" xfId="41547" xr:uid="{00000000-0005-0000-0000-0000FE460000}"/>
    <cellStyle name="20% - Accent6 4 4 2 2 4 3" xfId="30246" xr:uid="{00000000-0005-0000-0000-0000FF460000}"/>
    <cellStyle name="20% - Accent6 4 4 2 2 5" xfId="13295" xr:uid="{00000000-0005-0000-0000-000000470000}"/>
    <cellStyle name="20% - Accent6 4 4 2 2 5 2" xfId="35897" xr:uid="{00000000-0005-0000-0000-000001470000}"/>
    <cellStyle name="20% - Accent6 4 4 2 2 6" xfId="24596" xr:uid="{00000000-0005-0000-0000-000002470000}"/>
    <cellStyle name="20% - Accent6 4 4 2 3" xfId="2546" xr:uid="{00000000-0005-0000-0000-000003470000}"/>
    <cellStyle name="20% - Accent6 4 4 2 3 2" xfId="5565" xr:uid="{00000000-0005-0000-0000-000004470000}"/>
    <cellStyle name="20% - Accent6 4 4 2 3 2 2" xfId="11215" xr:uid="{00000000-0005-0000-0000-000005470000}"/>
    <cellStyle name="20% - Accent6 4 4 2 3 2 2 2" xfId="22516" xr:uid="{00000000-0005-0000-0000-000006470000}"/>
    <cellStyle name="20% - Accent6 4 4 2 3 2 2 2 2" xfId="45118" xr:uid="{00000000-0005-0000-0000-000007470000}"/>
    <cellStyle name="20% - Accent6 4 4 2 3 2 2 3" xfId="33817" xr:uid="{00000000-0005-0000-0000-000008470000}"/>
    <cellStyle name="20% - Accent6 4 4 2 3 2 3" xfId="16866" xr:uid="{00000000-0005-0000-0000-000009470000}"/>
    <cellStyle name="20% - Accent6 4 4 2 3 2 3 2" xfId="39468" xr:uid="{00000000-0005-0000-0000-00000A470000}"/>
    <cellStyle name="20% - Accent6 4 4 2 3 2 4" xfId="28167" xr:uid="{00000000-0005-0000-0000-00000B470000}"/>
    <cellStyle name="20% - Accent6 4 4 2 3 3" xfId="8382" xr:uid="{00000000-0005-0000-0000-00000C470000}"/>
    <cellStyle name="20% - Accent6 4 4 2 3 3 2" xfId="19683" xr:uid="{00000000-0005-0000-0000-00000D470000}"/>
    <cellStyle name="20% - Accent6 4 4 2 3 3 2 2" xfId="42285" xr:uid="{00000000-0005-0000-0000-00000E470000}"/>
    <cellStyle name="20% - Accent6 4 4 2 3 3 3" xfId="30984" xr:uid="{00000000-0005-0000-0000-00000F470000}"/>
    <cellStyle name="20% - Accent6 4 4 2 3 4" xfId="14033" xr:uid="{00000000-0005-0000-0000-000010470000}"/>
    <cellStyle name="20% - Accent6 4 4 2 3 4 2" xfId="36635" xr:uid="{00000000-0005-0000-0000-000011470000}"/>
    <cellStyle name="20% - Accent6 4 4 2 3 5" xfId="25334" xr:uid="{00000000-0005-0000-0000-000012470000}"/>
    <cellStyle name="20% - Accent6 4 4 2 4" xfId="4331" xr:uid="{00000000-0005-0000-0000-000013470000}"/>
    <cellStyle name="20% - Accent6 4 4 2 4 2" xfId="9981" xr:uid="{00000000-0005-0000-0000-000014470000}"/>
    <cellStyle name="20% - Accent6 4 4 2 4 2 2" xfId="21282" xr:uid="{00000000-0005-0000-0000-000015470000}"/>
    <cellStyle name="20% - Accent6 4 4 2 4 2 2 2" xfId="43884" xr:uid="{00000000-0005-0000-0000-000016470000}"/>
    <cellStyle name="20% - Accent6 4 4 2 4 2 3" xfId="32583" xr:uid="{00000000-0005-0000-0000-000017470000}"/>
    <cellStyle name="20% - Accent6 4 4 2 4 3" xfId="15632" xr:uid="{00000000-0005-0000-0000-000018470000}"/>
    <cellStyle name="20% - Accent6 4 4 2 4 3 2" xfId="38234" xr:uid="{00000000-0005-0000-0000-000019470000}"/>
    <cellStyle name="20% - Accent6 4 4 2 4 4" xfId="26933" xr:uid="{00000000-0005-0000-0000-00001A470000}"/>
    <cellStyle name="20% - Accent6 4 4 2 5" xfId="7128" xr:uid="{00000000-0005-0000-0000-00001B470000}"/>
    <cellStyle name="20% - Accent6 4 4 2 5 2" xfId="18429" xr:uid="{00000000-0005-0000-0000-00001C470000}"/>
    <cellStyle name="20% - Accent6 4 4 2 5 2 2" xfId="41031" xr:uid="{00000000-0005-0000-0000-00001D470000}"/>
    <cellStyle name="20% - Accent6 4 4 2 5 3" xfId="29730" xr:uid="{00000000-0005-0000-0000-00001E470000}"/>
    <cellStyle name="20% - Accent6 4 4 2 6" xfId="12779" xr:uid="{00000000-0005-0000-0000-00001F470000}"/>
    <cellStyle name="20% - Accent6 4 4 2 6 2" xfId="35381" xr:uid="{00000000-0005-0000-0000-000020470000}"/>
    <cellStyle name="20% - Accent6 4 4 2 7" xfId="24080" xr:uid="{00000000-0005-0000-0000-000021470000}"/>
    <cellStyle name="20% - Accent6 4 4 3" xfId="823" xr:uid="{00000000-0005-0000-0000-000022470000}"/>
    <cellStyle name="20% - Accent6 4 4 3 2" xfId="2910" xr:uid="{00000000-0005-0000-0000-000023470000}"/>
    <cellStyle name="20% - Accent6 4 4 3 2 2" xfId="5882" xr:uid="{00000000-0005-0000-0000-000024470000}"/>
    <cellStyle name="20% - Accent6 4 4 3 2 2 2" xfId="11532" xr:uid="{00000000-0005-0000-0000-000025470000}"/>
    <cellStyle name="20% - Accent6 4 4 3 2 2 2 2" xfId="22833" xr:uid="{00000000-0005-0000-0000-000026470000}"/>
    <cellStyle name="20% - Accent6 4 4 3 2 2 2 2 2" xfId="45435" xr:uid="{00000000-0005-0000-0000-000027470000}"/>
    <cellStyle name="20% - Accent6 4 4 3 2 2 2 3" xfId="34134" xr:uid="{00000000-0005-0000-0000-000028470000}"/>
    <cellStyle name="20% - Accent6 4 4 3 2 2 3" xfId="17183" xr:uid="{00000000-0005-0000-0000-000029470000}"/>
    <cellStyle name="20% - Accent6 4 4 3 2 2 3 2" xfId="39785" xr:uid="{00000000-0005-0000-0000-00002A470000}"/>
    <cellStyle name="20% - Accent6 4 4 3 2 2 4" xfId="28484" xr:uid="{00000000-0005-0000-0000-00002B470000}"/>
    <cellStyle name="20% - Accent6 4 4 3 2 3" xfId="8700" xr:uid="{00000000-0005-0000-0000-00002C470000}"/>
    <cellStyle name="20% - Accent6 4 4 3 2 3 2" xfId="20001" xr:uid="{00000000-0005-0000-0000-00002D470000}"/>
    <cellStyle name="20% - Accent6 4 4 3 2 3 2 2" xfId="42603" xr:uid="{00000000-0005-0000-0000-00002E470000}"/>
    <cellStyle name="20% - Accent6 4 4 3 2 3 3" xfId="31302" xr:uid="{00000000-0005-0000-0000-00002F470000}"/>
    <cellStyle name="20% - Accent6 4 4 3 2 4" xfId="14351" xr:uid="{00000000-0005-0000-0000-000030470000}"/>
    <cellStyle name="20% - Accent6 4 4 3 2 4 2" xfId="36953" xr:uid="{00000000-0005-0000-0000-000031470000}"/>
    <cellStyle name="20% - Accent6 4 4 3 2 5" xfId="25652" xr:uid="{00000000-0005-0000-0000-000032470000}"/>
    <cellStyle name="20% - Accent6 4 4 3 3" xfId="4648" xr:uid="{00000000-0005-0000-0000-000033470000}"/>
    <cellStyle name="20% - Accent6 4 4 3 3 2" xfId="10298" xr:uid="{00000000-0005-0000-0000-000034470000}"/>
    <cellStyle name="20% - Accent6 4 4 3 3 2 2" xfId="21599" xr:uid="{00000000-0005-0000-0000-000035470000}"/>
    <cellStyle name="20% - Accent6 4 4 3 3 2 2 2" xfId="44201" xr:uid="{00000000-0005-0000-0000-000036470000}"/>
    <cellStyle name="20% - Accent6 4 4 3 3 2 3" xfId="32900" xr:uid="{00000000-0005-0000-0000-000037470000}"/>
    <cellStyle name="20% - Accent6 4 4 3 3 3" xfId="15949" xr:uid="{00000000-0005-0000-0000-000038470000}"/>
    <cellStyle name="20% - Accent6 4 4 3 3 3 2" xfId="38551" xr:uid="{00000000-0005-0000-0000-000039470000}"/>
    <cellStyle name="20% - Accent6 4 4 3 3 4" xfId="27250" xr:uid="{00000000-0005-0000-0000-00003A470000}"/>
    <cellStyle name="20% - Accent6 4 4 3 4" xfId="6831" xr:uid="{00000000-0005-0000-0000-00003B470000}"/>
    <cellStyle name="20% - Accent6 4 4 3 4 2" xfId="18132" xr:uid="{00000000-0005-0000-0000-00003C470000}"/>
    <cellStyle name="20% - Accent6 4 4 3 4 2 2" xfId="40734" xr:uid="{00000000-0005-0000-0000-00003D470000}"/>
    <cellStyle name="20% - Accent6 4 4 3 4 3" xfId="29433" xr:uid="{00000000-0005-0000-0000-00003E470000}"/>
    <cellStyle name="20% - Accent6 4 4 3 5" xfId="12482" xr:uid="{00000000-0005-0000-0000-00003F470000}"/>
    <cellStyle name="20% - Accent6 4 4 3 5 2" xfId="35084" xr:uid="{00000000-0005-0000-0000-000040470000}"/>
    <cellStyle name="20% - Accent6 4 4 3 6" xfId="23783" xr:uid="{00000000-0005-0000-0000-000041470000}"/>
    <cellStyle name="20% - Accent6 4 4 4" xfId="1787" xr:uid="{00000000-0005-0000-0000-000042470000}"/>
    <cellStyle name="20% - Accent6 4 4 4 2" xfId="3691" xr:uid="{00000000-0005-0000-0000-000043470000}"/>
    <cellStyle name="20% - Accent6 4 4 4 2 2" xfId="9402" xr:uid="{00000000-0005-0000-0000-000044470000}"/>
    <cellStyle name="20% - Accent6 4 4 4 2 2 2" xfId="20703" xr:uid="{00000000-0005-0000-0000-000045470000}"/>
    <cellStyle name="20% - Accent6 4 4 4 2 2 2 2" xfId="43305" xr:uid="{00000000-0005-0000-0000-000046470000}"/>
    <cellStyle name="20% - Accent6 4 4 4 2 2 3" xfId="32004" xr:uid="{00000000-0005-0000-0000-000047470000}"/>
    <cellStyle name="20% - Accent6 4 4 4 2 3" xfId="15053" xr:uid="{00000000-0005-0000-0000-000048470000}"/>
    <cellStyle name="20% - Accent6 4 4 4 2 3 2" xfId="37655" xr:uid="{00000000-0005-0000-0000-000049470000}"/>
    <cellStyle name="20% - Accent6 4 4 4 2 4" xfId="26354" xr:uid="{00000000-0005-0000-0000-00004A470000}"/>
    <cellStyle name="20% - Accent6 4 4 4 3" xfId="5258" xr:uid="{00000000-0005-0000-0000-00004B470000}"/>
    <cellStyle name="20% - Accent6 4 4 4 3 2" xfId="10908" xr:uid="{00000000-0005-0000-0000-00004C470000}"/>
    <cellStyle name="20% - Accent6 4 4 4 3 2 2" xfId="22209" xr:uid="{00000000-0005-0000-0000-00004D470000}"/>
    <cellStyle name="20% - Accent6 4 4 4 3 2 2 2" xfId="44811" xr:uid="{00000000-0005-0000-0000-00004E470000}"/>
    <cellStyle name="20% - Accent6 4 4 4 3 2 3" xfId="33510" xr:uid="{00000000-0005-0000-0000-00004F470000}"/>
    <cellStyle name="20% - Accent6 4 4 4 3 3" xfId="16559" xr:uid="{00000000-0005-0000-0000-000050470000}"/>
    <cellStyle name="20% - Accent6 4 4 4 3 3 2" xfId="39161" xr:uid="{00000000-0005-0000-0000-000051470000}"/>
    <cellStyle name="20% - Accent6 4 4 4 3 4" xfId="27860" xr:uid="{00000000-0005-0000-0000-000052470000}"/>
    <cellStyle name="20% - Accent6 4 4 4 4" xfId="7643" xr:uid="{00000000-0005-0000-0000-000053470000}"/>
    <cellStyle name="20% - Accent6 4 4 4 4 2" xfId="18944" xr:uid="{00000000-0005-0000-0000-000054470000}"/>
    <cellStyle name="20% - Accent6 4 4 4 4 2 2" xfId="41546" xr:uid="{00000000-0005-0000-0000-000055470000}"/>
    <cellStyle name="20% - Accent6 4 4 4 4 3" xfId="30245" xr:uid="{00000000-0005-0000-0000-000056470000}"/>
    <cellStyle name="20% - Accent6 4 4 4 5" xfId="13294" xr:uid="{00000000-0005-0000-0000-000057470000}"/>
    <cellStyle name="20% - Accent6 4 4 4 5 2" xfId="35896" xr:uid="{00000000-0005-0000-0000-000058470000}"/>
    <cellStyle name="20% - Accent6 4 4 4 6" xfId="24595" xr:uid="{00000000-0005-0000-0000-000059470000}"/>
    <cellStyle name="20% - Accent6 4 4 5" xfId="2230" xr:uid="{00000000-0005-0000-0000-00005A470000}"/>
    <cellStyle name="20% - Accent6 4 4 5 2" xfId="8072" xr:uid="{00000000-0005-0000-0000-00005B470000}"/>
    <cellStyle name="20% - Accent6 4 4 5 2 2" xfId="19373" xr:uid="{00000000-0005-0000-0000-00005C470000}"/>
    <cellStyle name="20% - Accent6 4 4 5 2 2 2" xfId="41975" xr:uid="{00000000-0005-0000-0000-00005D470000}"/>
    <cellStyle name="20% - Accent6 4 4 5 2 3" xfId="30674" xr:uid="{00000000-0005-0000-0000-00005E470000}"/>
    <cellStyle name="20% - Accent6 4 4 5 3" xfId="13723" xr:uid="{00000000-0005-0000-0000-00005F470000}"/>
    <cellStyle name="20% - Accent6 4 4 5 3 2" xfId="36325" xr:uid="{00000000-0005-0000-0000-000060470000}"/>
    <cellStyle name="20% - Accent6 4 4 5 4" xfId="25024" xr:uid="{00000000-0005-0000-0000-000061470000}"/>
    <cellStyle name="20% - Accent6 4 4 6" xfId="4024" xr:uid="{00000000-0005-0000-0000-000062470000}"/>
    <cellStyle name="20% - Accent6 4 4 6 2" xfId="9674" xr:uid="{00000000-0005-0000-0000-000063470000}"/>
    <cellStyle name="20% - Accent6 4 4 6 2 2" xfId="20975" xr:uid="{00000000-0005-0000-0000-000064470000}"/>
    <cellStyle name="20% - Accent6 4 4 6 2 2 2" xfId="43577" xr:uid="{00000000-0005-0000-0000-000065470000}"/>
    <cellStyle name="20% - Accent6 4 4 6 2 3" xfId="32276" xr:uid="{00000000-0005-0000-0000-000066470000}"/>
    <cellStyle name="20% - Accent6 4 4 6 3" xfId="15325" xr:uid="{00000000-0005-0000-0000-000067470000}"/>
    <cellStyle name="20% - Accent6 4 4 6 3 2" xfId="37927" xr:uid="{00000000-0005-0000-0000-000068470000}"/>
    <cellStyle name="20% - Accent6 4 4 6 4" xfId="26626" xr:uid="{00000000-0005-0000-0000-000069470000}"/>
    <cellStyle name="20% - Accent6 4 4 7" xfId="6642" xr:uid="{00000000-0005-0000-0000-00006A470000}"/>
    <cellStyle name="20% - Accent6 4 4 7 2" xfId="17943" xr:uid="{00000000-0005-0000-0000-00006B470000}"/>
    <cellStyle name="20% - Accent6 4 4 7 2 2" xfId="40545" xr:uid="{00000000-0005-0000-0000-00006C470000}"/>
    <cellStyle name="20% - Accent6 4 4 7 3" xfId="29244" xr:uid="{00000000-0005-0000-0000-00006D470000}"/>
    <cellStyle name="20% - Accent6 4 4 8" xfId="12293" xr:uid="{00000000-0005-0000-0000-00006E470000}"/>
    <cellStyle name="20% - Accent6 4 4 8 2" xfId="34895" xr:uid="{00000000-0005-0000-0000-00006F470000}"/>
    <cellStyle name="20% - Accent6 4 4 9" xfId="23594" xr:uid="{00000000-0005-0000-0000-000070470000}"/>
    <cellStyle name="20% - Accent6 4 5" xfId="519" xr:uid="{00000000-0005-0000-0000-000071470000}"/>
    <cellStyle name="20% - Accent6 4 5 2" xfId="1288" xr:uid="{00000000-0005-0000-0000-000072470000}"/>
    <cellStyle name="20% - Accent6 4 5 2 2" xfId="1790" xr:uid="{00000000-0005-0000-0000-000073470000}"/>
    <cellStyle name="20% - Accent6 4 5 2 2 2" xfId="3357" xr:uid="{00000000-0005-0000-0000-000074470000}"/>
    <cellStyle name="20% - Accent6 4 5 2 2 2 2" xfId="6329" xr:uid="{00000000-0005-0000-0000-000075470000}"/>
    <cellStyle name="20% - Accent6 4 5 2 2 2 2 2" xfId="11979" xr:uid="{00000000-0005-0000-0000-000076470000}"/>
    <cellStyle name="20% - Accent6 4 5 2 2 2 2 2 2" xfId="23280" xr:uid="{00000000-0005-0000-0000-000077470000}"/>
    <cellStyle name="20% - Accent6 4 5 2 2 2 2 2 2 2" xfId="45882" xr:uid="{00000000-0005-0000-0000-000078470000}"/>
    <cellStyle name="20% - Accent6 4 5 2 2 2 2 2 3" xfId="34581" xr:uid="{00000000-0005-0000-0000-000079470000}"/>
    <cellStyle name="20% - Accent6 4 5 2 2 2 2 3" xfId="17630" xr:uid="{00000000-0005-0000-0000-00007A470000}"/>
    <cellStyle name="20% - Accent6 4 5 2 2 2 2 3 2" xfId="40232" xr:uid="{00000000-0005-0000-0000-00007B470000}"/>
    <cellStyle name="20% - Accent6 4 5 2 2 2 2 4" xfId="28931" xr:uid="{00000000-0005-0000-0000-00007C470000}"/>
    <cellStyle name="20% - Accent6 4 5 2 2 2 3" xfId="9147" xr:uid="{00000000-0005-0000-0000-00007D470000}"/>
    <cellStyle name="20% - Accent6 4 5 2 2 2 3 2" xfId="20448" xr:uid="{00000000-0005-0000-0000-00007E470000}"/>
    <cellStyle name="20% - Accent6 4 5 2 2 2 3 2 2" xfId="43050" xr:uid="{00000000-0005-0000-0000-00007F470000}"/>
    <cellStyle name="20% - Accent6 4 5 2 2 2 3 3" xfId="31749" xr:uid="{00000000-0005-0000-0000-000080470000}"/>
    <cellStyle name="20% - Accent6 4 5 2 2 2 4" xfId="14798" xr:uid="{00000000-0005-0000-0000-000081470000}"/>
    <cellStyle name="20% - Accent6 4 5 2 2 2 4 2" xfId="37400" xr:uid="{00000000-0005-0000-0000-000082470000}"/>
    <cellStyle name="20% - Accent6 4 5 2 2 2 5" xfId="26099" xr:uid="{00000000-0005-0000-0000-000083470000}"/>
    <cellStyle name="20% - Accent6 4 5 2 2 3" xfId="5095" xr:uid="{00000000-0005-0000-0000-000084470000}"/>
    <cellStyle name="20% - Accent6 4 5 2 2 3 2" xfId="10745" xr:uid="{00000000-0005-0000-0000-000085470000}"/>
    <cellStyle name="20% - Accent6 4 5 2 2 3 2 2" xfId="22046" xr:uid="{00000000-0005-0000-0000-000086470000}"/>
    <cellStyle name="20% - Accent6 4 5 2 2 3 2 2 2" xfId="44648" xr:uid="{00000000-0005-0000-0000-000087470000}"/>
    <cellStyle name="20% - Accent6 4 5 2 2 3 2 3" xfId="33347" xr:uid="{00000000-0005-0000-0000-000088470000}"/>
    <cellStyle name="20% - Accent6 4 5 2 2 3 3" xfId="16396" xr:uid="{00000000-0005-0000-0000-000089470000}"/>
    <cellStyle name="20% - Accent6 4 5 2 2 3 3 2" xfId="38998" xr:uid="{00000000-0005-0000-0000-00008A470000}"/>
    <cellStyle name="20% - Accent6 4 5 2 2 3 4" xfId="27697" xr:uid="{00000000-0005-0000-0000-00008B470000}"/>
    <cellStyle name="20% - Accent6 4 5 2 2 4" xfId="7646" xr:uid="{00000000-0005-0000-0000-00008C470000}"/>
    <cellStyle name="20% - Accent6 4 5 2 2 4 2" xfId="18947" xr:uid="{00000000-0005-0000-0000-00008D470000}"/>
    <cellStyle name="20% - Accent6 4 5 2 2 4 2 2" xfId="41549" xr:uid="{00000000-0005-0000-0000-00008E470000}"/>
    <cellStyle name="20% - Accent6 4 5 2 2 4 3" xfId="30248" xr:uid="{00000000-0005-0000-0000-00008F470000}"/>
    <cellStyle name="20% - Accent6 4 5 2 2 5" xfId="13297" xr:uid="{00000000-0005-0000-0000-000090470000}"/>
    <cellStyle name="20% - Accent6 4 5 2 2 5 2" xfId="35899" xr:uid="{00000000-0005-0000-0000-000091470000}"/>
    <cellStyle name="20% - Accent6 4 5 2 2 6" xfId="24598" xr:uid="{00000000-0005-0000-0000-000092470000}"/>
    <cellStyle name="20% - Accent6 4 5 2 3" xfId="2686" xr:uid="{00000000-0005-0000-0000-000093470000}"/>
    <cellStyle name="20% - Accent6 4 5 2 3 2" xfId="5705" xr:uid="{00000000-0005-0000-0000-000094470000}"/>
    <cellStyle name="20% - Accent6 4 5 2 3 2 2" xfId="11355" xr:uid="{00000000-0005-0000-0000-000095470000}"/>
    <cellStyle name="20% - Accent6 4 5 2 3 2 2 2" xfId="22656" xr:uid="{00000000-0005-0000-0000-000096470000}"/>
    <cellStyle name="20% - Accent6 4 5 2 3 2 2 2 2" xfId="45258" xr:uid="{00000000-0005-0000-0000-000097470000}"/>
    <cellStyle name="20% - Accent6 4 5 2 3 2 2 3" xfId="33957" xr:uid="{00000000-0005-0000-0000-000098470000}"/>
    <cellStyle name="20% - Accent6 4 5 2 3 2 3" xfId="17006" xr:uid="{00000000-0005-0000-0000-000099470000}"/>
    <cellStyle name="20% - Accent6 4 5 2 3 2 3 2" xfId="39608" xr:uid="{00000000-0005-0000-0000-00009A470000}"/>
    <cellStyle name="20% - Accent6 4 5 2 3 2 4" xfId="28307" xr:uid="{00000000-0005-0000-0000-00009B470000}"/>
    <cellStyle name="20% - Accent6 4 5 2 3 3" xfId="8522" xr:uid="{00000000-0005-0000-0000-00009C470000}"/>
    <cellStyle name="20% - Accent6 4 5 2 3 3 2" xfId="19823" xr:uid="{00000000-0005-0000-0000-00009D470000}"/>
    <cellStyle name="20% - Accent6 4 5 2 3 3 2 2" xfId="42425" xr:uid="{00000000-0005-0000-0000-00009E470000}"/>
    <cellStyle name="20% - Accent6 4 5 2 3 3 3" xfId="31124" xr:uid="{00000000-0005-0000-0000-00009F470000}"/>
    <cellStyle name="20% - Accent6 4 5 2 3 4" xfId="14173" xr:uid="{00000000-0005-0000-0000-0000A0470000}"/>
    <cellStyle name="20% - Accent6 4 5 2 3 4 2" xfId="36775" xr:uid="{00000000-0005-0000-0000-0000A1470000}"/>
    <cellStyle name="20% - Accent6 4 5 2 3 5" xfId="25474" xr:uid="{00000000-0005-0000-0000-0000A2470000}"/>
    <cellStyle name="20% - Accent6 4 5 2 4" xfId="4471" xr:uid="{00000000-0005-0000-0000-0000A3470000}"/>
    <cellStyle name="20% - Accent6 4 5 2 4 2" xfId="10121" xr:uid="{00000000-0005-0000-0000-0000A4470000}"/>
    <cellStyle name="20% - Accent6 4 5 2 4 2 2" xfId="21422" xr:uid="{00000000-0005-0000-0000-0000A5470000}"/>
    <cellStyle name="20% - Accent6 4 5 2 4 2 2 2" xfId="44024" xr:uid="{00000000-0005-0000-0000-0000A6470000}"/>
    <cellStyle name="20% - Accent6 4 5 2 4 2 3" xfId="32723" xr:uid="{00000000-0005-0000-0000-0000A7470000}"/>
    <cellStyle name="20% - Accent6 4 5 2 4 3" xfId="15772" xr:uid="{00000000-0005-0000-0000-0000A8470000}"/>
    <cellStyle name="20% - Accent6 4 5 2 4 3 2" xfId="38374" xr:uid="{00000000-0005-0000-0000-0000A9470000}"/>
    <cellStyle name="20% - Accent6 4 5 2 4 4" xfId="27073" xr:uid="{00000000-0005-0000-0000-0000AA470000}"/>
    <cellStyle name="20% - Accent6 4 5 2 5" xfId="7267" xr:uid="{00000000-0005-0000-0000-0000AB470000}"/>
    <cellStyle name="20% - Accent6 4 5 2 5 2" xfId="18568" xr:uid="{00000000-0005-0000-0000-0000AC470000}"/>
    <cellStyle name="20% - Accent6 4 5 2 5 2 2" xfId="41170" xr:uid="{00000000-0005-0000-0000-0000AD470000}"/>
    <cellStyle name="20% - Accent6 4 5 2 5 3" xfId="29869" xr:uid="{00000000-0005-0000-0000-0000AE470000}"/>
    <cellStyle name="20% - Accent6 4 5 2 6" xfId="12918" xr:uid="{00000000-0005-0000-0000-0000AF470000}"/>
    <cellStyle name="20% - Accent6 4 5 2 6 2" xfId="35520" xr:uid="{00000000-0005-0000-0000-0000B0470000}"/>
    <cellStyle name="20% - Accent6 4 5 2 7" xfId="24219" xr:uid="{00000000-0005-0000-0000-0000B1470000}"/>
    <cellStyle name="20% - Accent6 4 5 3" xfId="986" xr:uid="{00000000-0005-0000-0000-0000B2470000}"/>
    <cellStyle name="20% - Accent6 4 5 3 2" xfId="3049" xr:uid="{00000000-0005-0000-0000-0000B3470000}"/>
    <cellStyle name="20% - Accent6 4 5 3 2 2" xfId="6021" xr:uid="{00000000-0005-0000-0000-0000B4470000}"/>
    <cellStyle name="20% - Accent6 4 5 3 2 2 2" xfId="11671" xr:uid="{00000000-0005-0000-0000-0000B5470000}"/>
    <cellStyle name="20% - Accent6 4 5 3 2 2 2 2" xfId="22972" xr:uid="{00000000-0005-0000-0000-0000B6470000}"/>
    <cellStyle name="20% - Accent6 4 5 3 2 2 2 2 2" xfId="45574" xr:uid="{00000000-0005-0000-0000-0000B7470000}"/>
    <cellStyle name="20% - Accent6 4 5 3 2 2 2 3" xfId="34273" xr:uid="{00000000-0005-0000-0000-0000B8470000}"/>
    <cellStyle name="20% - Accent6 4 5 3 2 2 3" xfId="17322" xr:uid="{00000000-0005-0000-0000-0000B9470000}"/>
    <cellStyle name="20% - Accent6 4 5 3 2 2 3 2" xfId="39924" xr:uid="{00000000-0005-0000-0000-0000BA470000}"/>
    <cellStyle name="20% - Accent6 4 5 3 2 2 4" xfId="28623" xr:uid="{00000000-0005-0000-0000-0000BB470000}"/>
    <cellStyle name="20% - Accent6 4 5 3 2 3" xfId="8839" xr:uid="{00000000-0005-0000-0000-0000BC470000}"/>
    <cellStyle name="20% - Accent6 4 5 3 2 3 2" xfId="20140" xr:uid="{00000000-0005-0000-0000-0000BD470000}"/>
    <cellStyle name="20% - Accent6 4 5 3 2 3 2 2" xfId="42742" xr:uid="{00000000-0005-0000-0000-0000BE470000}"/>
    <cellStyle name="20% - Accent6 4 5 3 2 3 3" xfId="31441" xr:uid="{00000000-0005-0000-0000-0000BF470000}"/>
    <cellStyle name="20% - Accent6 4 5 3 2 4" xfId="14490" xr:uid="{00000000-0005-0000-0000-0000C0470000}"/>
    <cellStyle name="20% - Accent6 4 5 3 2 4 2" xfId="37092" xr:uid="{00000000-0005-0000-0000-0000C1470000}"/>
    <cellStyle name="20% - Accent6 4 5 3 2 5" xfId="25791" xr:uid="{00000000-0005-0000-0000-0000C2470000}"/>
    <cellStyle name="20% - Accent6 4 5 3 3" xfId="4787" xr:uid="{00000000-0005-0000-0000-0000C3470000}"/>
    <cellStyle name="20% - Accent6 4 5 3 3 2" xfId="10437" xr:uid="{00000000-0005-0000-0000-0000C4470000}"/>
    <cellStyle name="20% - Accent6 4 5 3 3 2 2" xfId="21738" xr:uid="{00000000-0005-0000-0000-0000C5470000}"/>
    <cellStyle name="20% - Accent6 4 5 3 3 2 2 2" xfId="44340" xr:uid="{00000000-0005-0000-0000-0000C6470000}"/>
    <cellStyle name="20% - Accent6 4 5 3 3 2 3" xfId="33039" xr:uid="{00000000-0005-0000-0000-0000C7470000}"/>
    <cellStyle name="20% - Accent6 4 5 3 3 3" xfId="16088" xr:uid="{00000000-0005-0000-0000-0000C8470000}"/>
    <cellStyle name="20% - Accent6 4 5 3 3 3 2" xfId="38690" xr:uid="{00000000-0005-0000-0000-0000C9470000}"/>
    <cellStyle name="20% - Accent6 4 5 3 3 4" xfId="27389" xr:uid="{00000000-0005-0000-0000-0000CA470000}"/>
    <cellStyle name="20% - Accent6 4 5 3 4" xfId="6974" xr:uid="{00000000-0005-0000-0000-0000CB470000}"/>
    <cellStyle name="20% - Accent6 4 5 3 4 2" xfId="18275" xr:uid="{00000000-0005-0000-0000-0000CC470000}"/>
    <cellStyle name="20% - Accent6 4 5 3 4 2 2" xfId="40877" xr:uid="{00000000-0005-0000-0000-0000CD470000}"/>
    <cellStyle name="20% - Accent6 4 5 3 4 3" xfId="29576" xr:uid="{00000000-0005-0000-0000-0000CE470000}"/>
    <cellStyle name="20% - Accent6 4 5 3 5" xfId="12625" xr:uid="{00000000-0005-0000-0000-0000CF470000}"/>
    <cellStyle name="20% - Accent6 4 5 3 5 2" xfId="35227" xr:uid="{00000000-0005-0000-0000-0000D0470000}"/>
    <cellStyle name="20% - Accent6 4 5 3 6" xfId="23926" xr:uid="{00000000-0005-0000-0000-0000D1470000}"/>
    <cellStyle name="20% - Accent6 4 5 4" xfId="1789" xr:uid="{00000000-0005-0000-0000-0000D2470000}"/>
    <cellStyle name="20% - Accent6 4 5 4 2" xfId="3692" xr:uid="{00000000-0005-0000-0000-0000D3470000}"/>
    <cellStyle name="20% - Accent6 4 5 4 2 2" xfId="9403" xr:uid="{00000000-0005-0000-0000-0000D4470000}"/>
    <cellStyle name="20% - Accent6 4 5 4 2 2 2" xfId="20704" xr:uid="{00000000-0005-0000-0000-0000D5470000}"/>
    <cellStyle name="20% - Accent6 4 5 4 2 2 2 2" xfId="43306" xr:uid="{00000000-0005-0000-0000-0000D6470000}"/>
    <cellStyle name="20% - Accent6 4 5 4 2 2 3" xfId="32005" xr:uid="{00000000-0005-0000-0000-0000D7470000}"/>
    <cellStyle name="20% - Accent6 4 5 4 2 3" xfId="15054" xr:uid="{00000000-0005-0000-0000-0000D8470000}"/>
    <cellStyle name="20% - Accent6 4 5 4 2 3 2" xfId="37656" xr:uid="{00000000-0005-0000-0000-0000D9470000}"/>
    <cellStyle name="20% - Accent6 4 5 4 2 4" xfId="26355" xr:uid="{00000000-0005-0000-0000-0000DA470000}"/>
    <cellStyle name="20% - Accent6 4 5 4 3" xfId="5397" xr:uid="{00000000-0005-0000-0000-0000DB470000}"/>
    <cellStyle name="20% - Accent6 4 5 4 3 2" xfId="11047" xr:uid="{00000000-0005-0000-0000-0000DC470000}"/>
    <cellStyle name="20% - Accent6 4 5 4 3 2 2" xfId="22348" xr:uid="{00000000-0005-0000-0000-0000DD470000}"/>
    <cellStyle name="20% - Accent6 4 5 4 3 2 2 2" xfId="44950" xr:uid="{00000000-0005-0000-0000-0000DE470000}"/>
    <cellStyle name="20% - Accent6 4 5 4 3 2 3" xfId="33649" xr:uid="{00000000-0005-0000-0000-0000DF470000}"/>
    <cellStyle name="20% - Accent6 4 5 4 3 3" xfId="16698" xr:uid="{00000000-0005-0000-0000-0000E0470000}"/>
    <cellStyle name="20% - Accent6 4 5 4 3 3 2" xfId="39300" xr:uid="{00000000-0005-0000-0000-0000E1470000}"/>
    <cellStyle name="20% - Accent6 4 5 4 3 4" xfId="27999" xr:uid="{00000000-0005-0000-0000-0000E2470000}"/>
    <cellStyle name="20% - Accent6 4 5 4 4" xfId="7645" xr:uid="{00000000-0005-0000-0000-0000E3470000}"/>
    <cellStyle name="20% - Accent6 4 5 4 4 2" xfId="18946" xr:uid="{00000000-0005-0000-0000-0000E4470000}"/>
    <cellStyle name="20% - Accent6 4 5 4 4 2 2" xfId="41548" xr:uid="{00000000-0005-0000-0000-0000E5470000}"/>
    <cellStyle name="20% - Accent6 4 5 4 4 3" xfId="30247" xr:uid="{00000000-0005-0000-0000-0000E6470000}"/>
    <cellStyle name="20% - Accent6 4 5 4 5" xfId="13296" xr:uid="{00000000-0005-0000-0000-0000E7470000}"/>
    <cellStyle name="20% - Accent6 4 5 4 5 2" xfId="35898" xr:uid="{00000000-0005-0000-0000-0000E8470000}"/>
    <cellStyle name="20% - Accent6 4 5 4 6" xfId="24597" xr:uid="{00000000-0005-0000-0000-0000E9470000}"/>
    <cellStyle name="20% - Accent6 4 5 5" xfId="2378" xr:uid="{00000000-0005-0000-0000-0000EA470000}"/>
    <cellStyle name="20% - Accent6 4 5 5 2" xfId="8214" xr:uid="{00000000-0005-0000-0000-0000EB470000}"/>
    <cellStyle name="20% - Accent6 4 5 5 2 2" xfId="19515" xr:uid="{00000000-0005-0000-0000-0000EC470000}"/>
    <cellStyle name="20% - Accent6 4 5 5 2 2 2" xfId="42117" xr:uid="{00000000-0005-0000-0000-0000ED470000}"/>
    <cellStyle name="20% - Accent6 4 5 5 2 3" xfId="30816" xr:uid="{00000000-0005-0000-0000-0000EE470000}"/>
    <cellStyle name="20% - Accent6 4 5 5 3" xfId="13865" xr:uid="{00000000-0005-0000-0000-0000EF470000}"/>
    <cellStyle name="20% - Accent6 4 5 5 3 2" xfId="36467" xr:uid="{00000000-0005-0000-0000-0000F0470000}"/>
    <cellStyle name="20% - Accent6 4 5 5 4" xfId="25166" xr:uid="{00000000-0005-0000-0000-0000F1470000}"/>
    <cellStyle name="20% - Accent6 4 5 6" xfId="4163" xr:uid="{00000000-0005-0000-0000-0000F2470000}"/>
    <cellStyle name="20% - Accent6 4 5 6 2" xfId="9813" xr:uid="{00000000-0005-0000-0000-0000F3470000}"/>
    <cellStyle name="20% - Accent6 4 5 6 2 2" xfId="21114" xr:uid="{00000000-0005-0000-0000-0000F4470000}"/>
    <cellStyle name="20% - Accent6 4 5 6 2 2 2" xfId="43716" xr:uid="{00000000-0005-0000-0000-0000F5470000}"/>
    <cellStyle name="20% - Accent6 4 5 6 2 3" xfId="32415" xr:uid="{00000000-0005-0000-0000-0000F6470000}"/>
    <cellStyle name="20% - Accent6 4 5 6 3" xfId="15464" xr:uid="{00000000-0005-0000-0000-0000F7470000}"/>
    <cellStyle name="20% - Accent6 4 5 6 3 2" xfId="38066" xr:uid="{00000000-0005-0000-0000-0000F8470000}"/>
    <cellStyle name="20% - Accent6 4 5 6 4" xfId="26765" xr:uid="{00000000-0005-0000-0000-0000F9470000}"/>
    <cellStyle name="20% - Accent6 4 5 7" xfId="6614" xr:uid="{00000000-0005-0000-0000-0000FA470000}"/>
    <cellStyle name="20% - Accent6 4 5 7 2" xfId="17915" xr:uid="{00000000-0005-0000-0000-0000FB470000}"/>
    <cellStyle name="20% - Accent6 4 5 7 2 2" xfId="40517" xr:uid="{00000000-0005-0000-0000-0000FC470000}"/>
    <cellStyle name="20% - Accent6 4 5 7 3" xfId="29216" xr:uid="{00000000-0005-0000-0000-0000FD470000}"/>
    <cellStyle name="20% - Accent6 4 5 8" xfId="12265" xr:uid="{00000000-0005-0000-0000-0000FE470000}"/>
    <cellStyle name="20% - Accent6 4 5 8 2" xfId="34867" xr:uid="{00000000-0005-0000-0000-0000FF470000}"/>
    <cellStyle name="20% - Accent6 4 5 9" xfId="23566" xr:uid="{00000000-0005-0000-0000-000000480000}"/>
    <cellStyle name="20% - Accent6 4 6" xfId="1121" xr:uid="{00000000-0005-0000-0000-000001480000}"/>
    <cellStyle name="20% - Accent6 4 6 2" xfId="1791" xr:uid="{00000000-0005-0000-0000-000002480000}"/>
    <cellStyle name="20% - Accent6 4 6 2 2" xfId="3188" xr:uid="{00000000-0005-0000-0000-000003480000}"/>
    <cellStyle name="20% - Accent6 4 6 2 2 2" xfId="6160" xr:uid="{00000000-0005-0000-0000-000004480000}"/>
    <cellStyle name="20% - Accent6 4 6 2 2 2 2" xfId="11810" xr:uid="{00000000-0005-0000-0000-000005480000}"/>
    <cellStyle name="20% - Accent6 4 6 2 2 2 2 2" xfId="23111" xr:uid="{00000000-0005-0000-0000-000006480000}"/>
    <cellStyle name="20% - Accent6 4 6 2 2 2 2 2 2" xfId="45713" xr:uid="{00000000-0005-0000-0000-000007480000}"/>
    <cellStyle name="20% - Accent6 4 6 2 2 2 2 3" xfId="34412" xr:uid="{00000000-0005-0000-0000-000008480000}"/>
    <cellStyle name="20% - Accent6 4 6 2 2 2 3" xfId="17461" xr:uid="{00000000-0005-0000-0000-000009480000}"/>
    <cellStyle name="20% - Accent6 4 6 2 2 2 3 2" xfId="40063" xr:uid="{00000000-0005-0000-0000-00000A480000}"/>
    <cellStyle name="20% - Accent6 4 6 2 2 2 4" xfId="28762" xr:uid="{00000000-0005-0000-0000-00000B480000}"/>
    <cellStyle name="20% - Accent6 4 6 2 2 3" xfId="8978" xr:uid="{00000000-0005-0000-0000-00000C480000}"/>
    <cellStyle name="20% - Accent6 4 6 2 2 3 2" xfId="20279" xr:uid="{00000000-0005-0000-0000-00000D480000}"/>
    <cellStyle name="20% - Accent6 4 6 2 2 3 2 2" xfId="42881" xr:uid="{00000000-0005-0000-0000-00000E480000}"/>
    <cellStyle name="20% - Accent6 4 6 2 2 3 3" xfId="31580" xr:uid="{00000000-0005-0000-0000-00000F480000}"/>
    <cellStyle name="20% - Accent6 4 6 2 2 4" xfId="14629" xr:uid="{00000000-0005-0000-0000-000010480000}"/>
    <cellStyle name="20% - Accent6 4 6 2 2 4 2" xfId="37231" xr:uid="{00000000-0005-0000-0000-000011480000}"/>
    <cellStyle name="20% - Accent6 4 6 2 2 5" xfId="25930" xr:uid="{00000000-0005-0000-0000-000012480000}"/>
    <cellStyle name="20% - Accent6 4 6 2 3" xfId="4926" xr:uid="{00000000-0005-0000-0000-000013480000}"/>
    <cellStyle name="20% - Accent6 4 6 2 3 2" xfId="10576" xr:uid="{00000000-0005-0000-0000-000014480000}"/>
    <cellStyle name="20% - Accent6 4 6 2 3 2 2" xfId="21877" xr:uid="{00000000-0005-0000-0000-000015480000}"/>
    <cellStyle name="20% - Accent6 4 6 2 3 2 2 2" xfId="44479" xr:uid="{00000000-0005-0000-0000-000016480000}"/>
    <cellStyle name="20% - Accent6 4 6 2 3 2 3" xfId="33178" xr:uid="{00000000-0005-0000-0000-000017480000}"/>
    <cellStyle name="20% - Accent6 4 6 2 3 3" xfId="16227" xr:uid="{00000000-0005-0000-0000-000018480000}"/>
    <cellStyle name="20% - Accent6 4 6 2 3 3 2" xfId="38829" xr:uid="{00000000-0005-0000-0000-000019480000}"/>
    <cellStyle name="20% - Accent6 4 6 2 3 4" xfId="27528" xr:uid="{00000000-0005-0000-0000-00001A480000}"/>
    <cellStyle name="20% - Accent6 4 6 2 4" xfId="7647" xr:uid="{00000000-0005-0000-0000-00001B480000}"/>
    <cellStyle name="20% - Accent6 4 6 2 4 2" xfId="18948" xr:uid="{00000000-0005-0000-0000-00001C480000}"/>
    <cellStyle name="20% - Accent6 4 6 2 4 2 2" xfId="41550" xr:uid="{00000000-0005-0000-0000-00001D480000}"/>
    <cellStyle name="20% - Accent6 4 6 2 4 3" xfId="30249" xr:uid="{00000000-0005-0000-0000-00001E480000}"/>
    <cellStyle name="20% - Accent6 4 6 2 5" xfId="13298" xr:uid="{00000000-0005-0000-0000-00001F480000}"/>
    <cellStyle name="20% - Accent6 4 6 2 5 2" xfId="35900" xr:uid="{00000000-0005-0000-0000-000020480000}"/>
    <cellStyle name="20% - Accent6 4 6 2 6" xfId="24599" xr:uid="{00000000-0005-0000-0000-000021480000}"/>
    <cellStyle name="20% - Accent6 4 6 3" xfId="2517" xr:uid="{00000000-0005-0000-0000-000022480000}"/>
    <cellStyle name="20% - Accent6 4 6 3 2" xfId="5536" xr:uid="{00000000-0005-0000-0000-000023480000}"/>
    <cellStyle name="20% - Accent6 4 6 3 2 2" xfId="11186" xr:uid="{00000000-0005-0000-0000-000024480000}"/>
    <cellStyle name="20% - Accent6 4 6 3 2 2 2" xfId="22487" xr:uid="{00000000-0005-0000-0000-000025480000}"/>
    <cellStyle name="20% - Accent6 4 6 3 2 2 2 2" xfId="45089" xr:uid="{00000000-0005-0000-0000-000026480000}"/>
    <cellStyle name="20% - Accent6 4 6 3 2 2 3" xfId="33788" xr:uid="{00000000-0005-0000-0000-000027480000}"/>
    <cellStyle name="20% - Accent6 4 6 3 2 3" xfId="16837" xr:uid="{00000000-0005-0000-0000-000028480000}"/>
    <cellStyle name="20% - Accent6 4 6 3 2 3 2" xfId="39439" xr:uid="{00000000-0005-0000-0000-000029480000}"/>
    <cellStyle name="20% - Accent6 4 6 3 2 4" xfId="28138" xr:uid="{00000000-0005-0000-0000-00002A480000}"/>
    <cellStyle name="20% - Accent6 4 6 3 3" xfId="8353" xr:uid="{00000000-0005-0000-0000-00002B480000}"/>
    <cellStyle name="20% - Accent6 4 6 3 3 2" xfId="19654" xr:uid="{00000000-0005-0000-0000-00002C480000}"/>
    <cellStyle name="20% - Accent6 4 6 3 3 2 2" xfId="42256" xr:uid="{00000000-0005-0000-0000-00002D480000}"/>
    <cellStyle name="20% - Accent6 4 6 3 3 3" xfId="30955" xr:uid="{00000000-0005-0000-0000-00002E480000}"/>
    <cellStyle name="20% - Accent6 4 6 3 4" xfId="14004" xr:uid="{00000000-0005-0000-0000-00002F480000}"/>
    <cellStyle name="20% - Accent6 4 6 3 4 2" xfId="36606" xr:uid="{00000000-0005-0000-0000-000030480000}"/>
    <cellStyle name="20% - Accent6 4 6 3 5" xfId="25305" xr:uid="{00000000-0005-0000-0000-000031480000}"/>
    <cellStyle name="20% - Accent6 4 6 4" xfId="4302" xr:uid="{00000000-0005-0000-0000-000032480000}"/>
    <cellStyle name="20% - Accent6 4 6 4 2" xfId="9952" xr:uid="{00000000-0005-0000-0000-000033480000}"/>
    <cellStyle name="20% - Accent6 4 6 4 2 2" xfId="21253" xr:uid="{00000000-0005-0000-0000-000034480000}"/>
    <cellStyle name="20% - Accent6 4 6 4 2 2 2" xfId="43855" xr:uid="{00000000-0005-0000-0000-000035480000}"/>
    <cellStyle name="20% - Accent6 4 6 4 2 3" xfId="32554" xr:uid="{00000000-0005-0000-0000-000036480000}"/>
    <cellStyle name="20% - Accent6 4 6 4 3" xfId="15603" xr:uid="{00000000-0005-0000-0000-000037480000}"/>
    <cellStyle name="20% - Accent6 4 6 4 3 2" xfId="38205" xr:uid="{00000000-0005-0000-0000-000038480000}"/>
    <cellStyle name="20% - Accent6 4 6 4 4" xfId="26904" xr:uid="{00000000-0005-0000-0000-000039480000}"/>
    <cellStyle name="20% - Accent6 4 6 5" xfId="7100" xr:uid="{00000000-0005-0000-0000-00003A480000}"/>
    <cellStyle name="20% - Accent6 4 6 5 2" xfId="18401" xr:uid="{00000000-0005-0000-0000-00003B480000}"/>
    <cellStyle name="20% - Accent6 4 6 5 2 2" xfId="41003" xr:uid="{00000000-0005-0000-0000-00003C480000}"/>
    <cellStyle name="20% - Accent6 4 6 5 3" xfId="29702" xr:uid="{00000000-0005-0000-0000-00003D480000}"/>
    <cellStyle name="20% - Accent6 4 6 6" xfId="12751" xr:uid="{00000000-0005-0000-0000-00003E480000}"/>
    <cellStyle name="20% - Accent6 4 6 6 2" xfId="35353" xr:uid="{00000000-0005-0000-0000-00003F480000}"/>
    <cellStyle name="20% - Accent6 4 6 7" xfId="24052" xr:uid="{00000000-0005-0000-0000-000040480000}"/>
    <cellStyle name="20% - Accent6 4 7" xfId="785" xr:uid="{00000000-0005-0000-0000-000041480000}"/>
    <cellStyle name="20% - Accent6 4 7 2" xfId="2882" xr:uid="{00000000-0005-0000-0000-000042480000}"/>
    <cellStyle name="20% - Accent6 4 7 2 2" xfId="5854" xr:uid="{00000000-0005-0000-0000-000043480000}"/>
    <cellStyle name="20% - Accent6 4 7 2 2 2" xfId="11504" xr:uid="{00000000-0005-0000-0000-000044480000}"/>
    <cellStyle name="20% - Accent6 4 7 2 2 2 2" xfId="22805" xr:uid="{00000000-0005-0000-0000-000045480000}"/>
    <cellStyle name="20% - Accent6 4 7 2 2 2 2 2" xfId="45407" xr:uid="{00000000-0005-0000-0000-000046480000}"/>
    <cellStyle name="20% - Accent6 4 7 2 2 2 3" xfId="34106" xr:uid="{00000000-0005-0000-0000-000047480000}"/>
    <cellStyle name="20% - Accent6 4 7 2 2 3" xfId="17155" xr:uid="{00000000-0005-0000-0000-000048480000}"/>
    <cellStyle name="20% - Accent6 4 7 2 2 3 2" xfId="39757" xr:uid="{00000000-0005-0000-0000-000049480000}"/>
    <cellStyle name="20% - Accent6 4 7 2 2 4" xfId="28456" xr:uid="{00000000-0005-0000-0000-00004A480000}"/>
    <cellStyle name="20% - Accent6 4 7 2 3" xfId="8672" xr:uid="{00000000-0005-0000-0000-00004B480000}"/>
    <cellStyle name="20% - Accent6 4 7 2 3 2" xfId="19973" xr:uid="{00000000-0005-0000-0000-00004C480000}"/>
    <cellStyle name="20% - Accent6 4 7 2 3 2 2" xfId="42575" xr:uid="{00000000-0005-0000-0000-00004D480000}"/>
    <cellStyle name="20% - Accent6 4 7 2 3 3" xfId="31274" xr:uid="{00000000-0005-0000-0000-00004E480000}"/>
    <cellStyle name="20% - Accent6 4 7 2 4" xfId="14323" xr:uid="{00000000-0005-0000-0000-00004F480000}"/>
    <cellStyle name="20% - Accent6 4 7 2 4 2" xfId="36925" xr:uid="{00000000-0005-0000-0000-000050480000}"/>
    <cellStyle name="20% - Accent6 4 7 2 5" xfId="25624" xr:uid="{00000000-0005-0000-0000-000051480000}"/>
    <cellStyle name="20% - Accent6 4 7 3" xfId="4620" xr:uid="{00000000-0005-0000-0000-000052480000}"/>
    <cellStyle name="20% - Accent6 4 7 3 2" xfId="10270" xr:uid="{00000000-0005-0000-0000-000053480000}"/>
    <cellStyle name="20% - Accent6 4 7 3 2 2" xfId="21571" xr:uid="{00000000-0005-0000-0000-000054480000}"/>
    <cellStyle name="20% - Accent6 4 7 3 2 2 2" xfId="44173" xr:uid="{00000000-0005-0000-0000-000055480000}"/>
    <cellStyle name="20% - Accent6 4 7 3 2 3" xfId="32872" xr:uid="{00000000-0005-0000-0000-000056480000}"/>
    <cellStyle name="20% - Accent6 4 7 3 3" xfId="15921" xr:uid="{00000000-0005-0000-0000-000057480000}"/>
    <cellStyle name="20% - Accent6 4 7 3 3 2" xfId="38523" xr:uid="{00000000-0005-0000-0000-000058480000}"/>
    <cellStyle name="20% - Accent6 4 7 3 4" xfId="27222" xr:uid="{00000000-0005-0000-0000-000059480000}"/>
    <cellStyle name="20% - Accent6 4 7 4" xfId="6802" xr:uid="{00000000-0005-0000-0000-00005A480000}"/>
    <cellStyle name="20% - Accent6 4 7 4 2" xfId="18103" xr:uid="{00000000-0005-0000-0000-00005B480000}"/>
    <cellStyle name="20% - Accent6 4 7 4 2 2" xfId="40705" xr:uid="{00000000-0005-0000-0000-00005C480000}"/>
    <cellStyle name="20% - Accent6 4 7 4 3" xfId="29404" xr:uid="{00000000-0005-0000-0000-00005D480000}"/>
    <cellStyle name="20% - Accent6 4 7 5" xfId="12453" xr:uid="{00000000-0005-0000-0000-00005E480000}"/>
    <cellStyle name="20% - Accent6 4 7 5 2" xfId="35055" xr:uid="{00000000-0005-0000-0000-00005F480000}"/>
    <cellStyle name="20% - Accent6 4 7 6" xfId="23754" xr:uid="{00000000-0005-0000-0000-000060480000}"/>
    <cellStyle name="20% - Accent6 4 8" xfId="1778" xr:uid="{00000000-0005-0000-0000-000061480000}"/>
    <cellStyle name="20% - Accent6 4 8 2" xfId="3686" xr:uid="{00000000-0005-0000-0000-000062480000}"/>
    <cellStyle name="20% - Accent6 4 8 2 2" xfId="9397" xr:uid="{00000000-0005-0000-0000-000063480000}"/>
    <cellStyle name="20% - Accent6 4 8 2 2 2" xfId="20698" xr:uid="{00000000-0005-0000-0000-000064480000}"/>
    <cellStyle name="20% - Accent6 4 8 2 2 2 2" xfId="43300" xr:uid="{00000000-0005-0000-0000-000065480000}"/>
    <cellStyle name="20% - Accent6 4 8 2 2 3" xfId="31999" xr:uid="{00000000-0005-0000-0000-000066480000}"/>
    <cellStyle name="20% - Accent6 4 8 2 3" xfId="15048" xr:uid="{00000000-0005-0000-0000-000067480000}"/>
    <cellStyle name="20% - Accent6 4 8 2 3 2" xfId="37650" xr:uid="{00000000-0005-0000-0000-000068480000}"/>
    <cellStyle name="20% - Accent6 4 8 2 4" xfId="26349" xr:uid="{00000000-0005-0000-0000-000069480000}"/>
    <cellStyle name="20% - Accent6 4 8 3" xfId="5230" xr:uid="{00000000-0005-0000-0000-00006A480000}"/>
    <cellStyle name="20% - Accent6 4 8 3 2" xfId="10880" xr:uid="{00000000-0005-0000-0000-00006B480000}"/>
    <cellStyle name="20% - Accent6 4 8 3 2 2" xfId="22181" xr:uid="{00000000-0005-0000-0000-00006C480000}"/>
    <cellStyle name="20% - Accent6 4 8 3 2 2 2" xfId="44783" xr:uid="{00000000-0005-0000-0000-00006D480000}"/>
    <cellStyle name="20% - Accent6 4 8 3 2 3" xfId="33482" xr:uid="{00000000-0005-0000-0000-00006E480000}"/>
    <cellStyle name="20% - Accent6 4 8 3 3" xfId="16531" xr:uid="{00000000-0005-0000-0000-00006F480000}"/>
    <cellStyle name="20% - Accent6 4 8 3 3 2" xfId="39133" xr:uid="{00000000-0005-0000-0000-000070480000}"/>
    <cellStyle name="20% - Accent6 4 8 3 4" xfId="27832" xr:uid="{00000000-0005-0000-0000-000071480000}"/>
    <cellStyle name="20% - Accent6 4 8 4" xfId="7634" xr:uid="{00000000-0005-0000-0000-000072480000}"/>
    <cellStyle name="20% - Accent6 4 8 4 2" xfId="18935" xr:uid="{00000000-0005-0000-0000-000073480000}"/>
    <cellStyle name="20% - Accent6 4 8 4 2 2" xfId="41537" xr:uid="{00000000-0005-0000-0000-000074480000}"/>
    <cellStyle name="20% - Accent6 4 8 4 3" xfId="30236" xr:uid="{00000000-0005-0000-0000-000075480000}"/>
    <cellStyle name="20% - Accent6 4 8 5" xfId="13285" xr:uid="{00000000-0005-0000-0000-000076480000}"/>
    <cellStyle name="20% - Accent6 4 8 5 2" xfId="35887" xr:uid="{00000000-0005-0000-0000-000077480000}"/>
    <cellStyle name="20% - Accent6 4 8 6" xfId="24586" xr:uid="{00000000-0005-0000-0000-000078480000}"/>
    <cellStyle name="20% - Accent6 4 9" xfId="2201" xr:uid="{00000000-0005-0000-0000-000079480000}"/>
    <cellStyle name="20% - Accent6 4 9 2" xfId="8044" xr:uid="{00000000-0005-0000-0000-00007A480000}"/>
    <cellStyle name="20% - Accent6 4 9 2 2" xfId="19345" xr:uid="{00000000-0005-0000-0000-00007B480000}"/>
    <cellStyle name="20% - Accent6 4 9 2 2 2" xfId="41947" xr:uid="{00000000-0005-0000-0000-00007C480000}"/>
    <cellStyle name="20% - Accent6 4 9 2 3" xfId="30646" xr:uid="{00000000-0005-0000-0000-00007D480000}"/>
    <cellStyle name="20% - Accent6 4 9 3" xfId="13695" xr:uid="{00000000-0005-0000-0000-00007E480000}"/>
    <cellStyle name="20% - Accent6 4 9 3 2" xfId="36297" xr:uid="{00000000-0005-0000-0000-00007F480000}"/>
    <cellStyle name="20% - Accent6 4 9 4" xfId="24996" xr:uid="{00000000-0005-0000-0000-000080480000}"/>
    <cellStyle name="20% - Accent6 5" xfId="274" xr:uid="{00000000-0005-0000-0000-000081480000}"/>
    <cellStyle name="20% - Accent6 5 10" xfId="12139" xr:uid="{00000000-0005-0000-0000-000082480000}"/>
    <cellStyle name="20% - Accent6 5 10 2" xfId="34741" xr:uid="{00000000-0005-0000-0000-000083480000}"/>
    <cellStyle name="20% - Accent6 5 11" xfId="23440" xr:uid="{00000000-0005-0000-0000-000084480000}"/>
    <cellStyle name="20% - Accent6 5 2" xfId="440" xr:uid="{00000000-0005-0000-0000-000085480000}"/>
    <cellStyle name="20% - Accent6 5 2 10" xfId="23535" xr:uid="{00000000-0005-0000-0000-000086480000}"/>
    <cellStyle name="20% - Accent6 5 2 2" xfId="685" xr:uid="{00000000-0005-0000-0000-000087480000}"/>
    <cellStyle name="20% - Accent6 5 2 2 2" xfId="1395" xr:uid="{00000000-0005-0000-0000-000088480000}"/>
    <cellStyle name="20% - Accent6 5 2 2 2 2" xfId="1795" xr:uid="{00000000-0005-0000-0000-000089480000}"/>
    <cellStyle name="20% - Accent6 5 2 2 2 2 2" xfId="3464" xr:uid="{00000000-0005-0000-0000-00008A480000}"/>
    <cellStyle name="20% - Accent6 5 2 2 2 2 2 2" xfId="6436" xr:uid="{00000000-0005-0000-0000-00008B480000}"/>
    <cellStyle name="20% - Accent6 5 2 2 2 2 2 2 2" xfId="12086" xr:uid="{00000000-0005-0000-0000-00008C480000}"/>
    <cellStyle name="20% - Accent6 5 2 2 2 2 2 2 2 2" xfId="23387" xr:uid="{00000000-0005-0000-0000-00008D480000}"/>
    <cellStyle name="20% - Accent6 5 2 2 2 2 2 2 2 2 2" xfId="45989" xr:uid="{00000000-0005-0000-0000-00008E480000}"/>
    <cellStyle name="20% - Accent6 5 2 2 2 2 2 2 2 3" xfId="34688" xr:uid="{00000000-0005-0000-0000-00008F480000}"/>
    <cellStyle name="20% - Accent6 5 2 2 2 2 2 2 3" xfId="17737" xr:uid="{00000000-0005-0000-0000-000090480000}"/>
    <cellStyle name="20% - Accent6 5 2 2 2 2 2 2 3 2" xfId="40339" xr:uid="{00000000-0005-0000-0000-000091480000}"/>
    <cellStyle name="20% - Accent6 5 2 2 2 2 2 2 4" xfId="29038" xr:uid="{00000000-0005-0000-0000-000092480000}"/>
    <cellStyle name="20% - Accent6 5 2 2 2 2 2 3" xfId="9254" xr:uid="{00000000-0005-0000-0000-000093480000}"/>
    <cellStyle name="20% - Accent6 5 2 2 2 2 2 3 2" xfId="20555" xr:uid="{00000000-0005-0000-0000-000094480000}"/>
    <cellStyle name="20% - Accent6 5 2 2 2 2 2 3 2 2" xfId="43157" xr:uid="{00000000-0005-0000-0000-000095480000}"/>
    <cellStyle name="20% - Accent6 5 2 2 2 2 2 3 3" xfId="31856" xr:uid="{00000000-0005-0000-0000-000096480000}"/>
    <cellStyle name="20% - Accent6 5 2 2 2 2 2 4" xfId="14905" xr:uid="{00000000-0005-0000-0000-000097480000}"/>
    <cellStyle name="20% - Accent6 5 2 2 2 2 2 4 2" xfId="37507" xr:uid="{00000000-0005-0000-0000-000098480000}"/>
    <cellStyle name="20% - Accent6 5 2 2 2 2 2 5" xfId="26206" xr:uid="{00000000-0005-0000-0000-000099480000}"/>
    <cellStyle name="20% - Accent6 5 2 2 2 2 3" xfId="5202" xr:uid="{00000000-0005-0000-0000-00009A480000}"/>
    <cellStyle name="20% - Accent6 5 2 2 2 2 3 2" xfId="10852" xr:uid="{00000000-0005-0000-0000-00009B480000}"/>
    <cellStyle name="20% - Accent6 5 2 2 2 2 3 2 2" xfId="22153" xr:uid="{00000000-0005-0000-0000-00009C480000}"/>
    <cellStyle name="20% - Accent6 5 2 2 2 2 3 2 2 2" xfId="44755" xr:uid="{00000000-0005-0000-0000-00009D480000}"/>
    <cellStyle name="20% - Accent6 5 2 2 2 2 3 2 3" xfId="33454" xr:uid="{00000000-0005-0000-0000-00009E480000}"/>
    <cellStyle name="20% - Accent6 5 2 2 2 2 3 3" xfId="16503" xr:uid="{00000000-0005-0000-0000-00009F480000}"/>
    <cellStyle name="20% - Accent6 5 2 2 2 2 3 3 2" xfId="39105" xr:uid="{00000000-0005-0000-0000-0000A0480000}"/>
    <cellStyle name="20% - Accent6 5 2 2 2 2 3 4" xfId="27804" xr:uid="{00000000-0005-0000-0000-0000A1480000}"/>
    <cellStyle name="20% - Accent6 5 2 2 2 2 4" xfId="7651" xr:uid="{00000000-0005-0000-0000-0000A2480000}"/>
    <cellStyle name="20% - Accent6 5 2 2 2 2 4 2" xfId="18952" xr:uid="{00000000-0005-0000-0000-0000A3480000}"/>
    <cellStyle name="20% - Accent6 5 2 2 2 2 4 2 2" xfId="41554" xr:uid="{00000000-0005-0000-0000-0000A4480000}"/>
    <cellStyle name="20% - Accent6 5 2 2 2 2 4 3" xfId="30253" xr:uid="{00000000-0005-0000-0000-0000A5480000}"/>
    <cellStyle name="20% - Accent6 5 2 2 2 2 5" xfId="13302" xr:uid="{00000000-0005-0000-0000-0000A6480000}"/>
    <cellStyle name="20% - Accent6 5 2 2 2 2 5 2" xfId="35904" xr:uid="{00000000-0005-0000-0000-0000A7480000}"/>
    <cellStyle name="20% - Accent6 5 2 2 2 2 6" xfId="24603" xr:uid="{00000000-0005-0000-0000-0000A8480000}"/>
    <cellStyle name="20% - Accent6 5 2 2 2 3" xfId="2793" xr:uid="{00000000-0005-0000-0000-0000A9480000}"/>
    <cellStyle name="20% - Accent6 5 2 2 2 3 2" xfId="5812" xr:uid="{00000000-0005-0000-0000-0000AA480000}"/>
    <cellStyle name="20% - Accent6 5 2 2 2 3 2 2" xfId="11462" xr:uid="{00000000-0005-0000-0000-0000AB480000}"/>
    <cellStyle name="20% - Accent6 5 2 2 2 3 2 2 2" xfId="22763" xr:uid="{00000000-0005-0000-0000-0000AC480000}"/>
    <cellStyle name="20% - Accent6 5 2 2 2 3 2 2 2 2" xfId="45365" xr:uid="{00000000-0005-0000-0000-0000AD480000}"/>
    <cellStyle name="20% - Accent6 5 2 2 2 3 2 2 3" xfId="34064" xr:uid="{00000000-0005-0000-0000-0000AE480000}"/>
    <cellStyle name="20% - Accent6 5 2 2 2 3 2 3" xfId="17113" xr:uid="{00000000-0005-0000-0000-0000AF480000}"/>
    <cellStyle name="20% - Accent6 5 2 2 2 3 2 3 2" xfId="39715" xr:uid="{00000000-0005-0000-0000-0000B0480000}"/>
    <cellStyle name="20% - Accent6 5 2 2 2 3 2 4" xfId="28414" xr:uid="{00000000-0005-0000-0000-0000B1480000}"/>
    <cellStyle name="20% - Accent6 5 2 2 2 3 3" xfId="8629" xr:uid="{00000000-0005-0000-0000-0000B2480000}"/>
    <cellStyle name="20% - Accent6 5 2 2 2 3 3 2" xfId="19930" xr:uid="{00000000-0005-0000-0000-0000B3480000}"/>
    <cellStyle name="20% - Accent6 5 2 2 2 3 3 2 2" xfId="42532" xr:uid="{00000000-0005-0000-0000-0000B4480000}"/>
    <cellStyle name="20% - Accent6 5 2 2 2 3 3 3" xfId="31231" xr:uid="{00000000-0005-0000-0000-0000B5480000}"/>
    <cellStyle name="20% - Accent6 5 2 2 2 3 4" xfId="14280" xr:uid="{00000000-0005-0000-0000-0000B6480000}"/>
    <cellStyle name="20% - Accent6 5 2 2 2 3 4 2" xfId="36882" xr:uid="{00000000-0005-0000-0000-0000B7480000}"/>
    <cellStyle name="20% - Accent6 5 2 2 2 3 5" xfId="25581" xr:uid="{00000000-0005-0000-0000-0000B8480000}"/>
    <cellStyle name="20% - Accent6 5 2 2 2 4" xfId="4578" xr:uid="{00000000-0005-0000-0000-0000B9480000}"/>
    <cellStyle name="20% - Accent6 5 2 2 2 4 2" xfId="10228" xr:uid="{00000000-0005-0000-0000-0000BA480000}"/>
    <cellStyle name="20% - Accent6 5 2 2 2 4 2 2" xfId="21529" xr:uid="{00000000-0005-0000-0000-0000BB480000}"/>
    <cellStyle name="20% - Accent6 5 2 2 2 4 2 2 2" xfId="44131" xr:uid="{00000000-0005-0000-0000-0000BC480000}"/>
    <cellStyle name="20% - Accent6 5 2 2 2 4 2 3" xfId="32830" xr:uid="{00000000-0005-0000-0000-0000BD480000}"/>
    <cellStyle name="20% - Accent6 5 2 2 2 4 3" xfId="15879" xr:uid="{00000000-0005-0000-0000-0000BE480000}"/>
    <cellStyle name="20% - Accent6 5 2 2 2 4 3 2" xfId="38481" xr:uid="{00000000-0005-0000-0000-0000BF480000}"/>
    <cellStyle name="20% - Accent6 5 2 2 2 4 4" xfId="27180" xr:uid="{00000000-0005-0000-0000-0000C0480000}"/>
    <cellStyle name="20% - Accent6 5 2 2 2 5" xfId="7374" xr:uid="{00000000-0005-0000-0000-0000C1480000}"/>
    <cellStyle name="20% - Accent6 5 2 2 2 5 2" xfId="18675" xr:uid="{00000000-0005-0000-0000-0000C2480000}"/>
    <cellStyle name="20% - Accent6 5 2 2 2 5 2 2" xfId="41277" xr:uid="{00000000-0005-0000-0000-0000C3480000}"/>
    <cellStyle name="20% - Accent6 5 2 2 2 5 3" xfId="29976" xr:uid="{00000000-0005-0000-0000-0000C4480000}"/>
    <cellStyle name="20% - Accent6 5 2 2 2 6" xfId="13025" xr:uid="{00000000-0005-0000-0000-0000C5480000}"/>
    <cellStyle name="20% - Accent6 5 2 2 2 6 2" xfId="35627" xr:uid="{00000000-0005-0000-0000-0000C6480000}"/>
    <cellStyle name="20% - Accent6 5 2 2 2 7" xfId="24326" xr:uid="{00000000-0005-0000-0000-0000C7480000}"/>
    <cellStyle name="20% - Accent6 5 2 2 3" xfId="1093" xr:uid="{00000000-0005-0000-0000-0000C8480000}"/>
    <cellStyle name="20% - Accent6 5 2 2 3 2" xfId="3156" xr:uid="{00000000-0005-0000-0000-0000C9480000}"/>
    <cellStyle name="20% - Accent6 5 2 2 3 2 2" xfId="6128" xr:uid="{00000000-0005-0000-0000-0000CA480000}"/>
    <cellStyle name="20% - Accent6 5 2 2 3 2 2 2" xfId="11778" xr:uid="{00000000-0005-0000-0000-0000CB480000}"/>
    <cellStyle name="20% - Accent6 5 2 2 3 2 2 2 2" xfId="23079" xr:uid="{00000000-0005-0000-0000-0000CC480000}"/>
    <cellStyle name="20% - Accent6 5 2 2 3 2 2 2 2 2" xfId="45681" xr:uid="{00000000-0005-0000-0000-0000CD480000}"/>
    <cellStyle name="20% - Accent6 5 2 2 3 2 2 2 3" xfId="34380" xr:uid="{00000000-0005-0000-0000-0000CE480000}"/>
    <cellStyle name="20% - Accent6 5 2 2 3 2 2 3" xfId="17429" xr:uid="{00000000-0005-0000-0000-0000CF480000}"/>
    <cellStyle name="20% - Accent6 5 2 2 3 2 2 3 2" xfId="40031" xr:uid="{00000000-0005-0000-0000-0000D0480000}"/>
    <cellStyle name="20% - Accent6 5 2 2 3 2 2 4" xfId="28730" xr:uid="{00000000-0005-0000-0000-0000D1480000}"/>
    <cellStyle name="20% - Accent6 5 2 2 3 2 3" xfId="8946" xr:uid="{00000000-0005-0000-0000-0000D2480000}"/>
    <cellStyle name="20% - Accent6 5 2 2 3 2 3 2" xfId="20247" xr:uid="{00000000-0005-0000-0000-0000D3480000}"/>
    <cellStyle name="20% - Accent6 5 2 2 3 2 3 2 2" xfId="42849" xr:uid="{00000000-0005-0000-0000-0000D4480000}"/>
    <cellStyle name="20% - Accent6 5 2 2 3 2 3 3" xfId="31548" xr:uid="{00000000-0005-0000-0000-0000D5480000}"/>
    <cellStyle name="20% - Accent6 5 2 2 3 2 4" xfId="14597" xr:uid="{00000000-0005-0000-0000-0000D6480000}"/>
    <cellStyle name="20% - Accent6 5 2 2 3 2 4 2" xfId="37199" xr:uid="{00000000-0005-0000-0000-0000D7480000}"/>
    <cellStyle name="20% - Accent6 5 2 2 3 2 5" xfId="25898" xr:uid="{00000000-0005-0000-0000-0000D8480000}"/>
    <cellStyle name="20% - Accent6 5 2 2 3 3" xfId="4894" xr:uid="{00000000-0005-0000-0000-0000D9480000}"/>
    <cellStyle name="20% - Accent6 5 2 2 3 3 2" xfId="10544" xr:uid="{00000000-0005-0000-0000-0000DA480000}"/>
    <cellStyle name="20% - Accent6 5 2 2 3 3 2 2" xfId="21845" xr:uid="{00000000-0005-0000-0000-0000DB480000}"/>
    <cellStyle name="20% - Accent6 5 2 2 3 3 2 2 2" xfId="44447" xr:uid="{00000000-0005-0000-0000-0000DC480000}"/>
    <cellStyle name="20% - Accent6 5 2 2 3 3 2 3" xfId="33146" xr:uid="{00000000-0005-0000-0000-0000DD480000}"/>
    <cellStyle name="20% - Accent6 5 2 2 3 3 3" xfId="16195" xr:uid="{00000000-0005-0000-0000-0000DE480000}"/>
    <cellStyle name="20% - Accent6 5 2 2 3 3 3 2" xfId="38797" xr:uid="{00000000-0005-0000-0000-0000DF480000}"/>
    <cellStyle name="20% - Accent6 5 2 2 3 3 4" xfId="27496" xr:uid="{00000000-0005-0000-0000-0000E0480000}"/>
    <cellStyle name="20% - Accent6 5 2 2 3 4" xfId="7081" xr:uid="{00000000-0005-0000-0000-0000E1480000}"/>
    <cellStyle name="20% - Accent6 5 2 2 3 4 2" xfId="18382" xr:uid="{00000000-0005-0000-0000-0000E2480000}"/>
    <cellStyle name="20% - Accent6 5 2 2 3 4 2 2" xfId="40984" xr:uid="{00000000-0005-0000-0000-0000E3480000}"/>
    <cellStyle name="20% - Accent6 5 2 2 3 4 3" xfId="29683" xr:uid="{00000000-0005-0000-0000-0000E4480000}"/>
    <cellStyle name="20% - Accent6 5 2 2 3 5" xfId="12732" xr:uid="{00000000-0005-0000-0000-0000E5480000}"/>
    <cellStyle name="20% - Accent6 5 2 2 3 5 2" xfId="35334" xr:uid="{00000000-0005-0000-0000-0000E6480000}"/>
    <cellStyle name="20% - Accent6 5 2 2 3 6" xfId="24033" xr:uid="{00000000-0005-0000-0000-0000E7480000}"/>
    <cellStyle name="20% - Accent6 5 2 2 4" xfId="1794" xr:uid="{00000000-0005-0000-0000-0000E8480000}"/>
    <cellStyle name="20% - Accent6 5 2 2 4 2" xfId="3695" xr:uid="{00000000-0005-0000-0000-0000E9480000}"/>
    <cellStyle name="20% - Accent6 5 2 2 4 2 2" xfId="9406" xr:uid="{00000000-0005-0000-0000-0000EA480000}"/>
    <cellStyle name="20% - Accent6 5 2 2 4 2 2 2" xfId="20707" xr:uid="{00000000-0005-0000-0000-0000EB480000}"/>
    <cellStyle name="20% - Accent6 5 2 2 4 2 2 2 2" xfId="43309" xr:uid="{00000000-0005-0000-0000-0000EC480000}"/>
    <cellStyle name="20% - Accent6 5 2 2 4 2 2 3" xfId="32008" xr:uid="{00000000-0005-0000-0000-0000ED480000}"/>
    <cellStyle name="20% - Accent6 5 2 2 4 2 3" xfId="15057" xr:uid="{00000000-0005-0000-0000-0000EE480000}"/>
    <cellStyle name="20% - Accent6 5 2 2 4 2 3 2" xfId="37659" xr:uid="{00000000-0005-0000-0000-0000EF480000}"/>
    <cellStyle name="20% - Accent6 5 2 2 4 2 4" xfId="26358" xr:uid="{00000000-0005-0000-0000-0000F0480000}"/>
    <cellStyle name="20% - Accent6 5 2 2 4 3" xfId="5504" xr:uid="{00000000-0005-0000-0000-0000F1480000}"/>
    <cellStyle name="20% - Accent6 5 2 2 4 3 2" xfId="11154" xr:uid="{00000000-0005-0000-0000-0000F2480000}"/>
    <cellStyle name="20% - Accent6 5 2 2 4 3 2 2" xfId="22455" xr:uid="{00000000-0005-0000-0000-0000F3480000}"/>
    <cellStyle name="20% - Accent6 5 2 2 4 3 2 2 2" xfId="45057" xr:uid="{00000000-0005-0000-0000-0000F4480000}"/>
    <cellStyle name="20% - Accent6 5 2 2 4 3 2 3" xfId="33756" xr:uid="{00000000-0005-0000-0000-0000F5480000}"/>
    <cellStyle name="20% - Accent6 5 2 2 4 3 3" xfId="16805" xr:uid="{00000000-0005-0000-0000-0000F6480000}"/>
    <cellStyle name="20% - Accent6 5 2 2 4 3 3 2" xfId="39407" xr:uid="{00000000-0005-0000-0000-0000F7480000}"/>
    <cellStyle name="20% - Accent6 5 2 2 4 3 4" xfId="28106" xr:uid="{00000000-0005-0000-0000-0000F8480000}"/>
    <cellStyle name="20% - Accent6 5 2 2 4 4" xfId="7650" xr:uid="{00000000-0005-0000-0000-0000F9480000}"/>
    <cellStyle name="20% - Accent6 5 2 2 4 4 2" xfId="18951" xr:uid="{00000000-0005-0000-0000-0000FA480000}"/>
    <cellStyle name="20% - Accent6 5 2 2 4 4 2 2" xfId="41553" xr:uid="{00000000-0005-0000-0000-0000FB480000}"/>
    <cellStyle name="20% - Accent6 5 2 2 4 4 3" xfId="30252" xr:uid="{00000000-0005-0000-0000-0000FC480000}"/>
    <cellStyle name="20% - Accent6 5 2 2 4 5" xfId="13301" xr:uid="{00000000-0005-0000-0000-0000FD480000}"/>
    <cellStyle name="20% - Accent6 5 2 2 4 5 2" xfId="35903" xr:uid="{00000000-0005-0000-0000-0000FE480000}"/>
    <cellStyle name="20% - Accent6 5 2 2 4 6" xfId="24602" xr:uid="{00000000-0005-0000-0000-0000FF480000}"/>
    <cellStyle name="20% - Accent6 5 2 2 5" xfId="2485" xr:uid="{00000000-0005-0000-0000-000000490000}"/>
    <cellStyle name="20% - Accent6 5 2 2 5 2" xfId="8321" xr:uid="{00000000-0005-0000-0000-000001490000}"/>
    <cellStyle name="20% - Accent6 5 2 2 5 2 2" xfId="19622" xr:uid="{00000000-0005-0000-0000-000002490000}"/>
    <cellStyle name="20% - Accent6 5 2 2 5 2 2 2" xfId="42224" xr:uid="{00000000-0005-0000-0000-000003490000}"/>
    <cellStyle name="20% - Accent6 5 2 2 5 2 3" xfId="30923" xr:uid="{00000000-0005-0000-0000-000004490000}"/>
    <cellStyle name="20% - Accent6 5 2 2 5 3" xfId="13972" xr:uid="{00000000-0005-0000-0000-000005490000}"/>
    <cellStyle name="20% - Accent6 5 2 2 5 3 2" xfId="36574" xr:uid="{00000000-0005-0000-0000-000006490000}"/>
    <cellStyle name="20% - Accent6 5 2 2 5 4" xfId="25273" xr:uid="{00000000-0005-0000-0000-000007490000}"/>
    <cellStyle name="20% - Accent6 5 2 2 6" xfId="4270" xr:uid="{00000000-0005-0000-0000-000008490000}"/>
    <cellStyle name="20% - Accent6 5 2 2 6 2" xfId="9920" xr:uid="{00000000-0005-0000-0000-000009490000}"/>
    <cellStyle name="20% - Accent6 5 2 2 6 2 2" xfId="21221" xr:uid="{00000000-0005-0000-0000-00000A490000}"/>
    <cellStyle name="20% - Accent6 5 2 2 6 2 2 2" xfId="43823" xr:uid="{00000000-0005-0000-0000-00000B490000}"/>
    <cellStyle name="20% - Accent6 5 2 2 6 2 3" xfId="32522" xr:uid="{00000000-0005-0000-0000-00000C490000}"/>
    <cellStyle name="20% - Accent6 5 2 2 6 3" xfId="15571" xr:uid="{00000000-0005-0000-0000-00000D490000}"/>
    <cellStyle name="20% - Accent6 5 2 2 6 3 2" xfId="38173" xr:uid="{00000000-0005-0000-0000-00000E490000}"/>
    <cellStyle name="20% - Accent6 5 2 2 6 4" xfId="26872" xr:uid="{00000000-0005-0000-0000-00000F490000}"/>
    <cellStyle name="20% - Accent6 5 2 2 7" xfId="6750" xr:uid="{00000000-0005-0000-0000-000010490000}"/>
    <cellStyle name="20% - Accent6 5 2 2 7 2" xfId="18051" xr:uid="{00000000-0005-0000-0000-000011490000}"/>
    <cellStyle name="20% - Accent6 5 2 2 7 2 2" xfId="40653" xr:uid="{00000000-0005-0000-0000-000012490000}"/>
    <cellStyle name="20% - Accent6 5 2 2 7 3" xfId="29352" xr:uid="{00000000-0005-0000-0000-000013490000}"/>
    <cellStyle name="20% - Accent6 5 2 2 8" xfId="12401" xr:uid="{00000000-0005-0000-0000-000014490000}"/>
    <cellStyle name="20% - Accent6 5 2 2 8 2" xfId="35003" xr:uid="{00000000-0005-0000-0000-000015490000}"/>
    <cellStyle name="20% - Accent6 5 2 2 9" xfId="23702" xr:uid="{00000000-0005-0000-0000-000016490000}"/>
    <cellStyle name="20% - Accent6 5 2 3" xfId="1257" xr:uid="{00000000-0005-0000-0000-000017490000}"/>
    <cellStyle name="20% - Accent6 5 2 3 2" xfId="1796" xr:uid="{00000000-0005-0000-0000-000018490000}"/>
    <cellStyle name="20% - Accent6 5 2 3 2 2" xfId="3325" xr:uid="{00000000-0005-0000-0000-000019490000}"/>
    <cellStyle name="20% - Accent6 5 2 3 2 2 2" xfId="6297" xr:uid="{00000000-0005-0000-0000-00001A490000}"/>
    <cellStyle name="20% - Accent6 5 2 3 2 2 2 2" xfId="11947" xr:uid="{00000000-0005-0000-0000-00001B490000}"/>
    <cellStyle name="20% - Accent6 5 2 3 2 2 2 2 2" xfId="23248" xr:uid="{00000000-0005-0000-0000-00001C490000}"/>
    <cellStyle name="20% - Accent6 5 2 3 2 2 2 2 2 2" xfId="45850" xr:uid="{00000000-0005-0000-0000-00001D490000}"/>
    <cellStyle name="20% - Accent6 5 2 3 2 2 2 2 3" xfId="34549" xr:uid="{00000000-0005-0000-0000-00001E490000}"/>
    <cellStyle name="20% - Accent6 5 2 3 2 2 2 3" xfId="17598" xr:uid="{00000000-0005-0000-0000-00001F490000}"/>
    <cellStyle name="20% - Accent6 5 2 3 2 2 2 3 2" xfId="40200" xr:uid="{00000000-0005-0000-0000-000020490000}"/>
    <cellStyle name="20% - Accent6 5 2 3 2 2 2 4" xfId="28899" xr:uid="{00000000-0005-0000-0000-000021490000}"/>
    <cellStyle name="20% - Accent6 5 2 3 2 2 3" xfId="9115" xr:uid="{00000000-0005-0000-0000-000022490000}"/>
    <cellStyle name="20% - Accent6 5 2 3 2 2 3 2" xfId="20416" xr:uid="{00000000-0005-0000-0000-000023490000}"/>
    <cellStyle name="20% - Accent6 5 2 3 2 2 3 2 2" xfId="43018" xr:uid="{00000000-0005-0000-0000-000024490000}"/>
    <cellStyle name="20% - Accent6 5 2 3 2 2 3 3" xfId="31717" xr:uid="{00000000-0005-0000-0000-000025490000}"/>
    <cellStyle name="20% - Accent6 5 2 3 2 2 4" xfId="14766" xr:uid="{00000000-0005-0000-0000-000026490000}"/>
    <cellStyle name="20% - Accent6 5 2 3 2 2 4 2" xfId="37368" xr:uid="{00000000-0005-0000-0000-000027490000}"/>
    <cellStyle name="20% - Accent6 5 2 3 2 2 5" xfId="26067" xr:uid="{00000000-0005-0000-0000-000028490000}"/>
    <cellStyle name="20% - Accent6 5 2 3 2 3" xfId="5063" xr:uid="{00000000-0005-0000-0000-000029490000}"/>
    <cellStyle name="20% - Accent6 5 2 3 2 3 2" xfId="10713" xr:uid="{00000000-0005-0000-0000-00002A490000}"/>
    <cellStyle name="20% - Accent6 5 2 3 2 3 2 2" xfId="22014" xr:uid="{00000000-0005-0000-0000-00002B490000}"/>
    <cellStyle name="20% - Accent6 5 2 3 2 3 2 2 2" xfId="44616" xr:uid="{00000000-0005-0000-0000-00002C490000}"/>
    <cellStyle name="20% - Accent6 5 2 3 2 3 2 3" xfId="33315" xr:uid="{00000000-0005-0000-0000-00002D490000}"/>
    <cellStyle name="20% - Accent6 5 2 3 2 3 3" xfId="16364" xr:uid="{00000000-0005-0000-0000-00002E490000}"/>
    <cellStyle name="20% - Accent6 5 2 3 2 3 3 2" xfId="38966" xr:uid="{00000000-0005-0000-0000-00002F490000}"/>
    <cellStyle name="20% - Accent6 5 2 3 2 3 4" xfId="27665" xr:uid="{00000000-0005-0000-0000-000030490000}"/>
    <cellStyle name="20% - Accent6 5 2 3 2 4" xfId="7652" xr:uid="{00000000-0005-0000-0000-000031490000}"/>
    <cellStyle name="20% - Accent6 5 2 3 2 4 2" xfId="18953" xr:uid="{00000000-0005-0000-0000-000032490000}"/>
    <cellStyle name="20% - Accent6 5 2 3 2 4 2 2" xfId="41555" xr:uid="{00000000-0005-0000-0000-000033490000}"/>
    <cellStyle name="20% - Accent6 5 2 3 2 4 3" xfId="30254" xr:uid="{00000000-0005-0000-0000-000034490000}"/>
    <cellStyle name="20% - Accent6 5 2 3 2 5" xfId="13303" xr:uid="{00000000-0005-0000-0000-000035490000}"/>
    <cellStyle name="20% - Accent6 5 2 3 2 5 2" xfId="35905" xr:uid="{00000000-0005-0000-0000-000036490000}"/>
    <cellStyle name="20% - Accent6 5 2 3 2 6" xfId="24604" xr:uid="{00000000-0005-0000-0000-000037490000}"/>
    <cellStyle name="20% - Accent6 5 2 3 3" xfId="2654" xr:uid="{00000000-0005-0000-0000-000038490000}"/>
    <cellStyle name="20% - Accent6 5 2 3 3 2" xfId="5673" xr:uid="{00000000-0005-0000-0000-000039490000}"/>
    <cellStyle name="20% - Accent6 5 2 3 3 2 2" xfId="11323" xr:uid="{00000000-0005-0000-0000-00003A490000}"/>
    <cellStyle name="20% - Accent6 5 2 3 3 2 2 2" xfId="22624" xr:uid="{00000000-0005-0000-0000-00003B490000}"/>
    <cellStyle name="20% - Accent6 5 2 3 3 2 2 2 2" xfId="45226" xr:uid="{00000000-0005-0000-0000-00003C490000}"/>
    <cellStyle name="20% - Accent6 5 2 3 3 2 2 3" xfId="33925" xr:uid="{00000000-0005-0000-0000-00003D490000}"/>
    <cellStyle name="20% - Accent6 5 2 3 3 2 3" xfId="16974" xr:uid="{00000000-0005-0000-0000-00003E490000}"/>
    <cellStyle name="20% - Accent6 5 2 3 3 2 3 2" xfId="39576" xr:uid="{00000000-0005-0000-0000-00003F490000}"/>
    <cellStyle name="20% - Accent6 5 2 3 3 2 4" xfId="28275" xr:uid="{00000000-0005-0000-0000-000040490000}"/>
    <cellStyle name="20% - Accent6 5 2 3 3 3" xfId="8490" xr:uid="{00000000-0005-0000-0000-000041490000}"/>
    <cellStyle name="20% - Accent6 5 2 3 3 3 2" xfId="19791" xr:uid="{00000000-0005-0000-0000-000042490000}"/>
    <cellStyle name="20% - Accent6 5 2 3 3 3 2 2" xfId="42393" xr:uid="{00000000-0005-0000-0000-000043490000}"/>
    <cellStyle name="20% - Accent6 5 2 3 3 3 3" xfId="31092" xr:uid="{00000000-0005-0000-0000-000044490000}"/>
    <cellStyle name="20% - Accent6 5 2 3 3 4" xfId="14141" xr:uid="{00000000-0005-0000-0000-000045490000}"/>
    <cellStyle name="20% - Accent6 5 2 3 3 4 2" xfId="36743" xr:uid="{00000000-0005-0000-0000-000046490000}"/>
    <cellStyle name="20% - Accent6 5 2 3 3 5" xfId="25442" xr:uid="{00000000-0005-0000-0000-000047490000}"/>
    <cellStyle name="20% - Accent6 5 2 3 4" xfId="4439" xr:uid="{00000000-0005-0000-0000-000048490000}"/>
    <cellStyle name="20% - Accent6 5 2 3 4 2" xfId="10089" xr:uid="{00000000-0005-0000-0000-000049490000}"/>
    <cellStyle name="20% - Accent6 5 2 3 4 2 2" xfId="21390" xr:uid="{00000000-0005-0000-0000-00004A490000}"/>
    <cellStyle name="20% - Accent6 5 2 3 4 2 2 2" xfId="43992" xr:uid="{00000000-0005-0000-0000-00004B490000}"/>
    <cellStyle name="20% - Accent6 5 2 3 4 2 3" xfId="32691" xr:uid="{00000000-0005-0000-0000-00004C490000}"/>
    <cellStyle name="20% - Accent6 5 2 3 4 3" xfId="15740" xr:uid="{00000000-0005-0000-0000-00004D490000}"/>
    <cellStyle name="20% - Accent6 5 2 3 4 3 2" xfId="38342" xr:uid="{00000000-0005-0000-0000-00004E490000}"/>
    <cellStyle name="20% - Accent6 5 2 3 4 4" xfId="27041" xr:uid="{00000000-0005-0000-0000-00004F490000}"/>
    <cellStyle name="20% - Accent6 5 2 3 5" xfId="7236" xr:uid="{00000000-0005-0000-0000-000050490000}"/>
    <cellStyle name="20% - Accent6 5 2 3 5 2" xfId="18537" xr:uid="{00000000-0005-0000-0000-000051490000}"/>
    <cellStyle name="20% - Accent6 5 2 3 5 2 2" xfId="41139" xr:uid="{00000000-0005-0000-0000-000052490000}"/>
    <cellStyle name="20% - Accent6 5 2 3 5 3" xfId="29838" xr:uid="{00000000-0005-0000-0000-000053490000}"/>
    <cellStyle name="20% - Accent6 5 2 3 6" xfId="12887" xr:uid="{00000000-0005-0000-0000-000054490000}"/>
    <cellStyle name="20% - Accent6 5 2 3 6 2" xfId="35489" xr:uid="{00000000-0005-0000-0000-000055490000}"/>
    <cellStyle name="20% - Accent6 5 2 3 7" xfId="24188" xr:uid="{00000000-0005-0000-0000-000056490000}"/>
    <cellStyle name="20% - Accent6 5 2 4" xfId="948" xr:uid="{00000000-0005-0000-0000-000057490000}"/>
    <cellStyle name="20% - Accent6 5 2 4 2" xfId="3018" xr:uid="{00000000-0005-0000-0000-000058490000}"/>
    <cellStyle name="20% - Accent6 5 2 4 2 2" xfId="5990" xr:uid="{00000000-0005-0000-0000-000059490000}"/>
    <cellStyle name="20% - Accent6 5 2 4 2 2 2" xfId="11640" xr:uid="{00000000-0005-0000-0000-00005A490000}"/>
    <cellStyle name="20% - Accent6 5 2 4 2 2 2 2" xfId="22941" xr:uid="{00000000-0005-0000-0000-00005B490000}"/>
    <cellStyle name="20% - Accent6 5 2 4 2 2 2 2 2" xfId="45543" xr:uid="{00000000-0005-0000-0000-00005C490000}"/>
    <cellStyle name="20% - Accent6 5 2 4 2 2 2 3" xfId="34242" xr:uid="{00000000-0005-0000-0000-00005D490000}"/>
    <cellStyle name="20% - Accent6 5 2 4 2 2 3" xfId="17291" xr:uid="{00000000-0005-0000-0000-00005E490000}"/>
    <cellStyle name="20% - Accent6 5 2 4 2 2 3 2" xfId="39893" xr:uid="{00000000-0005-0000-0000-00005F490000}"/>
    <cellStyle name="20% - Accent6 5 2 4 2 2 4" xfId="28592" xr:uid="{00000000-0005-0000-0000-000060490000}"/>
    <cellStyle name="20% - Accent6 5 2 4 2 3" xfId="8808" xr:uid="{00000000-0005-0000-0000-000061490000}"/>
    <cellStyle name="20% - Accent6 5 2 4 2 3 2" xfId="20109" xr:uid="{00000000-0005-0000-0000-000062490000}"/>
    <cellStyle name="20% - Accent6 5 2 4 2 3 2 2" xfId="42711" xr:uid="{00000000-0005-0000-0000-000063490000}"/>
    <cellStyle name="20% - Accent6 5 2 4 2 3 3" xfId="31410" xr:uid="{00000000-0005-0000-0000-000064490000}"/>
    <cellStyle name="20% - Accent6 5 2 4 2 4" xfId="14459" xr:uid="{00000000-0005-0000-0000-000065490000}"/>
    <cellStyle name="20% - Accent6 5 2 4 2 4 2" xfId="37061" xr:uid="{00000000-0005-0000-0000-000066490000}"/>
    <cellStyle name="20% - Accent6 5 2 4 2 5" xfId="25760" xr:uid="{00000000-0005-0000-0000-000067490000}"/>
    <cellStyle name="20% - Accent6 5 2 4 3" xfId="4756" xr:uid="{00000000-0005-0000-0000-000068490000}"/>
    <cellStyle name="20% - Accent6 5 2 4 3 2" xfId="10406" xr:uid="{00000000-0005-0000-0000-000069490000}"/>
    <cellStyle name="20% - Accent6 5 2 4 3 2 2" xfId="21707" xr:uid="{00000000-0005-0000-0000-00006A490000}"/>
    <cellStyle name="20% - Accent6 5 2 4 3 2 2 2" xfId="44309" xr:uid="{00000000-0005-0000-0000-00006B490000}"/>
    <cellStyle name="20% - Accent6 5 2 4 3 2 3" xfId="33008" xr:uid="{00000000-0005-0000-0000-00006C490000}"/>
    <cellStyle name="20% - Accent6 5 2 4 3 3" xfId="16057" xr:uid="{00000000-0005-0000-0000-00006D490000}"/>
    <cellStyle name="20% - Accent6 5 2 4 3 3 2" xfId="38659" xr:uid="{00000000-0005-0000-0000-00006E490000}"/>
    <cellStyle name="20% - Accent6 5 2 4 3 4" xfId="27358" xr:uid="{00000000-0005-0000-0000-00006F490000}"/>
    <cellStyle name="20% - Accent6 5 2 4 4" xfId="6943" xr:uid="{00000000-0005-0000-0000-000070490000}"/>
    <cellStyle name="20% - Accent6 5 2 4 4 2" xfId="18244" xr:uid="{00000000-0005-0000-0000-000071490000}"/>
    <cellStyle name="20% - Accent6 5 2 4 4 2 2" xfId="40846" xr:uid="{00000000-0005-0000-0000-000072490000}"/>
    <cellStyle name="20% - Accent6 5 2 4 4 3" xfId="29545" xr:uid="{00000000-0005-0000-0000-000073490000}"/>
    <cellStyle name="20% - Accent6 5 2 4 5" xfId="12594" xr:uid="{00000000-0005-0000-0000-000074490000}"/>
    <cellStyle name="20% - Accent6 5 2 4 5 2" xfId="35196" xr:uid="{00000000-0005-0000-0000-000075490000}"/>
    <cellStyle name="20% - Accent6 5 2 4 6" xfId="23895" xr:uid="{00000000-0005-0000-0000-000076490000}"/>
    <cellStyle name="20% - Accent6 5 2 5" xfId="1793" xr:uid="{00000000-0005-0000-0000-000077490000}"/>
    <cellStyle name="20% - Accent6 5 2 5 2" xfId="3694" xr:uid="{00000000-0005-0000-0000-000078490000}"/>
    <cellStyle name="20% - Accent6 5 2 5 2 2" xfId="9405" xr:uid="{00000000-0005-0000-0000-000079490000}"/>
    <cellStyle name="20% - Accent6 5 2 5 2 2 2" xfId="20706" xr:uid="{00000000-0005-0000-0000-00007A490000}"/>
    <cellStyle name="20% - Accent6 5 2 5 2 2 2 2" xfId="43308" xr:uid="{00000000-0005-0000-0000-00007B490000}"/>
    <cellStyle name="20% - Accent6 5 2 5 2 2 3" xfId="32007" xr:uid="{00000000-0005-0000-0000-00007C490000}"/>
    <cellStyle name="20% - Accent6 5 2 5 2 3" xfId="15056" xr:uid="{00000000-0005-0000-0000-00007D490000}"/>
    <cellStyle name="20% - Accent6 5 2 5 2 3 2" xfId="37658" xr:uid="{00000000-0005-0000-0000-00007E490000}"/>
    <cellStyle name="20% - Accent6 5 2 5 2 4" xfId="26357" xr:uid="{00000000-0005-0000-0000-00007F490000}"/>
    <cellStyle name="20% - Accent6 5 2 5 3" xfId="5366" xr:uid="{00000000-0005-0000-0000-000080490000}"/>
    <cellStyle name="20% - Accent6 5 2 5 3 2" xfId="11016" xr:uid="{00000000-0005-0000-0000-000081490000}"/>
    <cellStyle name="20% - Accent6 5 2 5 3 2 2" xfId="22317" xr:uid="{00000000-0005-0000-0000-000082490000}"/>
    <cellStyle name="20% - Accent6 5 2 5 3 2 2 2" xfId="44919" xr:uid="{00000000-0005-0000-0000-000083490000}"/>
    <cellStyle name="20% - Accent6 5 2 5 3 2 3" xfId="33618" xr:uid="{00000000-0005-0000-0000-000084490000}"/>
    <cellStyle name="20% - Accent6 5 2 5 3 3" xfId="16667" xr:uid="{00000000-0005-0000-0000-000085490000}"/>
    <cellStyle name="20% - Accent6 5 2 5 3 3 2" xfId="39269" xr:uid="{00000000-0005-0000-0000-000086490000}"/>
    <cellStyle name="20% - Accent6 5 2 5 3 4" xfId="27968" xr:uid="{00000000-0005-0000-0000-000087490000}"/>
    <cellStyle name="20% - Accent6 5 2 5 4" xfId="7649" xr:uid="{00000000-0005-0000-0000-000088490000}"/>
    <cellStyle name="20% - Accent6 5 2 5 4 2" xfId="18950" xr:uid="{00000000-0005-0000-0000-000089490000}"/>
    <cellStyle name="20% - Accent6 5 2 5 4 2 2" xfId="41552" xr:uid="{00000000-0005-0000-0000-00008A490000}"/>
    <cellStyle name="20% - Accent6 5 2 5 4 3" xfId="30251" xr:uid="{00000000-0005-0000-0000-00008B490000}"/>
    <cellStyle name="20% - Accent6 5 2 5 5" xfId="13300" xr:uid="{00000000-0005-0000-0000-00008C490000}"/>
    <cellStyle name="20% - Accent6 5 2 5 5 2" xfId="35902" xr:uid="{00000000-0005-0000-0000-00008D490000}"/>
    <cellStyle name="20% - Accent6 5 2 5 6" xfId="24601" xr:uid="{00000000-0005-0000-0000-00008E490000}"/>
    <cellStyle name="20% - Accent6 5 2 6" xfId="2345" xr:uid="{00000000-0005-0000-0000-00008F490000}"/>
    <cellStyle name="20% - Accent6 5 2 6 2" xfId="8181" xr:uid="{00000000-0005-0000-0000-000090490000}"/>
    <cellStyle name="20% - Accent6 5 2 6 2 2" xfId="19482" xr:uid="{00000000-0005-0000-0000-000091490000}"/>
    <cellStyle name="20% - Accent6 5 2 6 2 2 2" xfId="42084" xr:uid="{00000000-0005-0000-0000-000092490000}"/>
    <cellStyle name="20% - Accent6 5 2 6 2 3" xfId="30783" xr:uid="{00000000-0005-0000-0000-000093490000}"/>
    <cellStyle name="20% - Accent6 5 2 6 3" xfId="13832" xr:uid="{00000000-0005-0000-0000-000094490000}"/>
    <cellStyle name="20% - Accent6 5 2 6 3 2" xfId="36434" xr:uid="{00000000-0005-0000-0000-000095490000}"/>
    <cellStyle name="20% - Accent6 5 2 6 4" xfId="25133" xr:uid="{00000000-0005-0000-0000-000096490000}"/>
    <cellStyle name="20% - Accent6 5 2 7" xfId="4132" xr:uid="{00000000-0005-0000-0000-000097490000}"/>
    <cellStyle name="20% - Accent6 5 2 7 2" xfId="9782" xr:uid="{00000000-0005-0000-0000-000098490000}"/>
    <cellStyle name="20% - Accent6 5 2 7 2 2" xfId="21083" xr:uid="{00000000-0005-0000-0000-000099490000}"/>
    <cellStyle name="20% - Accent6 5 2 7 2 2 2" xfId="43685" xr:uid="{00000000-0005-0000-0000-00009A490000}"/>
    <cellStyle name="20% - Accent6 5 2 7 2 3" xfId="32384" xr:uid="{00000000-0005-0000-0000-00009B490000}"/>
    <cellStyle name="20% - Accent6 5 2 7 3" xfId="15433" xr:uid="{00000000-0005-0000-0000-00009C490000}"/>
    <cellStyle name="20% - Accent6 5 2 7 3 2" xfId="38035" xr:uid="{00000000-0005-0000-0000-00009D490000}"/>
    <cellStyle name="20% - Accent6 5 2 7 4" xfId="26734" xr:uid="{00000000-0005-0000-0000-00009E490000}"/>
    <cellStyle name="20% - Accent6 5 2 8" xfId="6583" xr:uid="{00000000-0005-0000-0000-00009F490000}"/>
    <cellStyle name="20% - Accent6 5 2 8 2" xfId="17884" xr:uid="{00000000-0005-0000-0000-0000A0490000}"/>
    <cellStyle name="20% - Accent6 5 2 8 2 2" xfId="40486" xr:uid="{00000000-0005-0000-0000-0000A1490000}"/>
    <cellStyle name="20% - Accent6 5 2 8 3" xfId="29185" xr:uid="{00000000-0005-0000-0000-0000A2490000}"/>
    <cellStyle name="20% - Accent6 5 2 9" xfId="12234" xr:uid="{00000000-0005-0000-0000-0000A3490000}"/>
    <cellStyle name="20% - Accent6 5 2 9 2" xfId="34836" xr:uid="{00000000-0005-0000-0000-0000A4490000}"/>
    <cellStyle name="20% - Accent6 5 3" xfId="589" xr:uid="{00000000-0005-0000-0000-0000A5490000}"/>
    <cellStyle name="20% - Accent6 5 3 2" xfId="1302" xr:uid="{00000000-0005-0000-0000-0000A6490000}"/>
    <cellStyle name="20% - Accent6 5 3 2 2" xfId="1798" xr:uid="{00000000-0005-0000-0000-0000A7490000}"/>
    <cellStyle name="20% - Accent6 5 3 2 2 2" xfId="3371" xr:uid="{00000000-0005-0000-0000-0000A8490000}"/>
    <cellStyle name="20% - Accent6 5 3 2 2 2 2" xfId="6343" xr:uid="{00000000-0005-0000-0000-0000A9490000}"/>
    <cellStyle name="20% - Accent6 5 3 2 2 2 2 2" xfId="11993" xr:uid="{00000000-0005-0000-0000-0000AA490000}"/>
    <cellStyle name="20% - Accent6 5 3 2 2 2 2 2 2" xfId="23294" xr:uid="{00000000-0005-0000-0000-0000AB490000}"/>
    <cellStyle name="20% - Accent6 5 3 2 2 2 2 2 2 2" xfId="45896" xr:uid="{00000000-0005-0000-0000-0000AC490000}"/>
    <cellStyle name="20% - Accent6 5 3 2 2 2 2 2 3" xfId="34595" xr:uid="{00000000-0005-0000-0000-0000AD490000}"/>
    <cellStyle name="20% - Accent6 5 3 2 2 2 2 3" xfId="17644" xr:uid="{00000000-0005-0000-0000-0000AE490000}"/>
    <cellStyle name="20% - Accent6 5 3 2 2 2 2 3 2" xfId="40246" xr:uid="{00000000-0005-0000-0000-0000AF490000}"/>
    <cellStyle name="20% - Accent6 5 3 2 2 2 2 4" xfId="28945" xr:uid="{00000000-0005-0000-0000-0000B0490000}"/>
    <cellStyle name="20% - Accent6 5 3 2 2 2 3" xfId="9161" xr:uid="{00000000-0005-0000-0000-0000B1490000}"/>
    <cellStyle name="20% - Accent6 5 3 2 2 2 3 2" xfId="20462" xr:uid="{00000000-0005-0000-0000-0000B2490000}"/>
    <cellStyle name="20% - Accent6 5 3 2 2 2 3 2 2" xfId="43064" xr:uid="{00000000-0005-0000-0000-0000B3490000}"/>
    <cellStyle name="20% - Accent6 5 3 2 2 2 3 3" xfId="31763" xr:uid="{00000000-0005-0000-0000-0000B4490000}"/>
    <cellStyle name="20% - Accent6 5 3 2 2 2 4" xfId="14812" xr:uid="{00000000-0005-0000-0000-0000B5490000}"/>
    <cellStyle name="20% - Accent6 5 3 2 2 2 4 2" xfId="37414" xr:uid="{00000000-0005-0000-0000-0000B6490000}"/>
    <cellStyle name="20% - Accent6 5 3 2 2 2 5" xfId="26113" xr:uid="{00000000-0005-0000-0000-0000B7490000}"/>
    <cellStyle name="20% - Accent6 5 3 2 2 3" xfId="5109" xr:uid="{00000000-0005-0000-0000-0000B8490000}"/>
    <cellStyle name="20% - Accent6 5 3 2 2 3 2" xfId="10759" xr:uid="{00000000-0005-0000-0000-0000B9490000}"/>
    <cellStyle name="20% - Accent6 5 3 2 2 3 2 2" xfId="22060" xr:uid="{00000000-0005-0000-0000-0000BA490000}"/>
    <cellStyle name="20% - Accent6 5 3 2 2 3 2 2 2" xfId="44662" xr:uid="{00000000-0005-0000-0000-0000BB490000}"/>
    <cellStyle name="20% - Accent6 5 3 2 2 3 2 3" xfId="33361" xr:uid="{00000000-0005-0000-0000-0000BC490000}"/>
    <cellStyle name="20% - Accent6 5 3 2 2 3 3" xfId="16410" xr:uid="{00000000-0005-0000-0000-0000BD490000}"/>
    <cellStyle name="20% - Accent6 5 3 2 2 3 3 2" xfId="39012" xr:uid="{00000000-0005-0000-0000-0000BE490000}"/>
    <cellStyle name="20% - Accent6 5 3 2 2 3 4" xfId="27711" xr:uid="{00000000-0005-0000-0000-0000BF490000}"/>
    <cellStyle name="20% - Accent6 5 3 2 2 4" xfId="7654" xr:uid="{00000000-0005-0000-0000-0000C0490000}"/>
    <cellStyle name="20% - Accent6 5 3 2 2 4 2" xfId="18955" xr:uid="{00000000-0005-0000-0000-0000C1490000}"/>
    <cellStyle name="20% - Accent6 5 3 2 2 4 2 2" xfId="41557" xr:uid="{00000000-0005-0000-0000-0000C2490000}"/>
    <cellStyle name="20% - Accent6 5 3 2 2 4 3" xfId="30256" xr:uid="{00000000-0005-0000-0000-0000C3490000}"/>
    <cellStyle name="20% - Accent6 5 3 2 2 5" xfId="13305" xr:uid="{00000000-0005-0000-0000-0000C4490000}"/>
    <cellStyle name="20% - Accent6 5 3 2 2 5 2" xfId="35907" xr:uid="{00000000-0005-0000-0000-0000C5490000}"/>
    <cellStyle name="20% - Accent6 5 3 2 2 6" xfId="24606" xr:uid="{00000000-0005-0000-0000-0000C6490000}"/>
    <cellStyle name="20% - Accent6 5 3 2 3" xfId="2700" xr:uid="{00000000-0005-0000-0000-0000C7490000}"/>
    <cellStyle name="20% - Accent6 5 3 2 3 2" xfId="5719" xr:uid="{00000000-0005-0000-0000-0000C8490000}"/>
    <cellStyle name="20% - Accent6 5 3 2 3 2 2" xfId="11369" xr:uid="{00000000-0005-0000-0000-0000C9490000}"/>
    <cellStyle name="20% - Accent6 5 3 2 3 2 2 2" xfId="22670" xr:uid="{00000000-0005-0000-0000-0000CA490000}"/>
    <cellStyle name="20% - Accent6 5 3 2 3 2 2 2 2" xfId="45272" xr:uid="{00000000-0005-0000-0000-0000CB490000}"/>
    <cellStyle name="20% - Accent6 5 3 2 3 2 2 3" xfId="33971" xr:uid="{00000000-0005-0000-0000-0000CC490000}"/>
    <cellStyle name="20% - Accent6 5 3 2 3 2 3" xfId="17020" xr:uid="{00000000-0005-0000-0000-0000CD490000}"/>
    <cellStyle name="20% - Accent6 5 3 2 3 2 3 2" xfId="39622" xr:uid="{00000000-0005-0000-0000-0000CE490000}"/>
    <cellStyle name="20% - Accent6 5 3 2 3 2 4" xfId="28321" xr:uid="{00000000-0005-0000-0000-0000CF490000}"/>
    <cellStyle name="20% - Accent6 5 3 2 3 3" xfId="8536" xr:uid="{00000000-0005-0000-0000-0000D0490000}"/>
    <cellStyle name="20% - Accent6 5 3 2 3 3 2" xfId="19837" xr:uid="{00000000-0005-0000-0000-0000D1490000}"/>
    <cellStyle name="20% - Accent6 5 3 2 3 3 2 2" xfId="42439" xr:uid="{00000000-0005-0000-0000-0000D2490000}"/>
    <cellStyle name="20% - Accent6 5 3 2 3 3 3" xfId="31138" xr:uid="{00000000-0005-0000-0000-0000D3490000}"/>
    <cellStyle name="20% - Accent6 5 3 2 3 4" xfId="14187" xr:uid="{00000000-0005-0000-0000-0000D4490000}"/>
    <cellStyle name="20% - Accent6 5 3 2 3 4 2" xfId="36789" xr:uid="{00000000-0005-0000-0000-0000D5490000}"/>
    <cellStyle name="20% - Accent6 5 3 2 3 5" xfId="25488" xr:uid="{00000000-0005-0000-0000-0000D6490000}"/>
    <cellStyle name="20% - Accent6 5 3 2 4" xfId="4485" xr:uid="{00000000-0005-0000-0000-0000D7490000}"/>
    <cellStyle name="20% - Accent6 5 3 2 4 2" xfId="10135" xr:uid="{00000000-0005-0000-0000-0000D8490000}"/>
    <cellStyle name="20% - Accent6 5 3 2 4 2 2" xfId="21436" xr:uid="{00000000-0005-0000-0000-0000D9490000}"/>
    <cellStyle name="20% - Accent6 5 3 2 4 2 2 2" xfId="44038" xr:uid="{00000000-0005-0000-0000-0000DA490000}"/>
    <cellStyle name="20% - Accent6 5 3 2 4 2 3" xfId="32737" xr:uid="{00000000-0005-0000-0000-0000DB490000}"/>
    <cellStyle name="20% - Accent6 5 3 2 4 3" xfId="15786" xr:uid="{00000000-0005-0000-0000-0000DC490000}"/>
    <cellStyle name="20% - Accent6 5 3 2 4 3 2" xfId="38388" xr:uid="{00000000-0005-0000-0000-0000DD490000}"/>
    <cellStyle name="20% - Accent6 5 3 2 4 4" xfId="27087" xr:uid="{00000000-0005-0000-0000-0000DE490000}"/>
    <cellStyle name="20% - Accent6 5 3 2 5" xfId="7281" xr:uid="{00000000-0005-0000-0000-0000DF490000}"/>
    <cellStyle name="20% - Accent6 5 3 2 5 2" xfId="18582" xr:uid="{00000000-0005-0000-0000-0000E0490000}"/>
    <cellStyle name="20% - Accent6 5 3 2 5 2 2" xfId="41184" xr:uid="{00000000-0005-0000-0000-0000E1490000}"/>
    <cellStyle name="20% - Accent6 5 3 2 5 3" xfId="29883" xr:uid="{00000000-0005-0000-0000-0000E2490000}"/>
    <cellStyle name="20% - Accent6 5 3 2 6" xfId="12932" xr:uid="{00000000-0005-0000-0000-0000E3490000}"/>
    <cellStyle name="20% - Accent6 5 3 2 6 2" xfId="35534" xr:uid="{00000000-0005-0000-0000-0000E4490000}"/>
    <cellStyle name="20% - Accent6 5 3 2 7" xfId="24233" xr:uid="{00000000-0005-0000-0000-0000E5490000}"/>
    <cellStyle name="20% - Accent6 5 3 3" xfId="1000" xr:uid="{00000000-0005-0000-0000-0000E6490000}"/>
    <cellStyle name="20% - Accent6 5 3 3 2" xfId="3063" xr:uid="{00000000-0005-0000-0000-0000E7490000}"/>
    <cellStyle name="20% - Accent6 5 3 3 2 2" xfId="6035" xr:uid="{00000000-0005-0000-0000-0000E8490000}"/>
    <cellStyle name="20% - Accent6 5 3 3 2 2 2" xfId="11685" xr:uid="{00000000-0005-0000-0000-0000E9490000}"/>
    <cellStyle name="20% - Accent6 5 3 3 2 2 2 2" xfId="22986" xr:uid="{00000000-0005-0000-0000-0000EA490000}"/>
    <cellStyle name="20% - Accent6 5 3 3 2 2 2 2 2" xfId="45588" xr:uid="{00000000-0005-0000-0000-0000EB490000}"/>
    <cellStyle name="20% - Accent6 5 3 3 2 2 2 3" xfId="34287" xr:uid="{00000000-0005-0000-0000-0000EC490000}"/>
    <cellStyle name="20% - Accent6 5 3 3 2 2 3" xfId="17336" xr:uid="{00000000-0005-0000-0000-0000ED490000}"/>
    <cellStyle name="20% - Accent6 5 3 3 2 2 3 2" xfId="39938" xr:uid="{00000000-0005-0000-0000-0000EE490000}"/>
    <cellStyle name="20% - Accent6 5 3 3 2 2 4" xfId="28637" xr:uid="{00000000-0005-0000-0000-0000EF490000}"/>
    <cellStyle name="20% - Accent6 5 3 3 2 3" xfId="8853" xr:uid="{00000000-0005-0000-0000-0000F0490000}"/>
    <cellStyle name="20% - Accent6 5 3 3 2 3 2" xfId="20154" xr:uid="{00000000-0005-0000-0000-0000F1490000}"/>
    <cellStyle name="20% - Accent6 5 3 3 2 3 2 2" xfId="42756" xr:uid="{00000000-0005-0000-0000-0000F2490000}"/>
    <cellStyle name="20% - Accent6 5 3 3 2 3 3" xfId="31455" xr:uid="{00000000-0005-0000-0000-0000F3490000}"/>
    <cellStyle name="20% - Accent6 5 3 3 2 4" xfId="14504" xr:uid="{00000000-0005-0000-0000-0000F4490000}"/>
    <cellStyle name="20% - Accent6 5 3 3 2 4 2" xfId="37106" xr:uid="{00000000-0005-0000-0000-0000F5490000}"/>
    <cellStyle name="20% - Accent6 5 3 3 2 5" xfId="25805" xr:uid="{00000000-0005-0000-0000-0000F6490000}"/>
    <cellStyle name="20% - Accent6 5 3 3 3" xfId="4801" xr:uid="{00000000-0005-0000-0000-0000F7490000}"/>
    <cellStyle name="20% - Accent6 5 3 3 3 2" xfId="10451" xr:uid="{00000000-0005-0000-0000-0000F8490000}"/>
    <cellStyle name="20% - Accent6 5 3 3 3 2 2" xfId="21752" xr:uid="{00000000-0005-0000-0000-0000F9490000}"/>
    <cellStyle name="20% - Accent6 5 3 3 3 2 2 2" xfId="44354" xr:uid="{00000000-0005-0000-0000-0000FA490000}"/>
    <cellStyle name="20% - Accent6 5 3 3 3 2 3" xfId="33053" xr:uid="{00000000-0005-0000-0000-0000FB490000}"/>
    <cellStyle name="20% - Accent6 5 3 3 3 3" xfId="16102" xr:uid="{00000000-0005-0000-0000-0000FC490000}"/>
    <cellStyle name="20% - Accent6 5 3 3 3 3 2" xfId="38704" xr:uid="{00000000-0005-0000-0000-0000FD490000}"/>
    <cellStyle name="20% - Accent6 5 3 3 3 4" xfId="27403" xr:uid="{00000000-0005-0000-0000-0000FE490000}"/>
    <cellStyle name="20% - Accent6 5 3 3 4" xfId="6988" xr:uid="{00000000-0005-0000-0000-0000FF490000}"/>
    <cellStyle name="20% - Accent6 5 3 3 4 2" xfId="18289" xr:uid="{00000000-0005-0000-0000-0000004A0000}"/>
    <cellStyle name="20% - Accent6 5 3 3 4 2 2" xfId="40891" xr:uid="{00000000-0005-0000-0000-0000014A0000}"/>
    <cellStyle name="20% - Accent6 5 3 3 4 3" xfId="29590" xr:uid="{00000000-0005-0000-0000-0000024A0000}"/>
    <cellStyle name="20% - Accent6 5 3 3 5" xfId="12639" xr:uid="{00000000-0005-0000-0000-0000034A0000}"/>
    <cellStyle name="20% - Accent6 5 3 3 5 2" xfId="35241" xr:uid="{00000000-0005-0000-0000-0000044A0000}"/>
    <cellStyle name="20% - Accent6 5 3 3 6" xfId="23940" xr:uid="{00000000-0005-0000-0000-0000054A0000}"/>
    <cellStyle name="20% - Accent6 5 3 4" xfId="1797" xr:uid="{00000000-0005-0000-0000-0000064A0000}"/>
    <cellStyle name="20% - Accent6 5 3 4 2" xfId="3696" xr:uid="{00000000-0005-0000-0000-0000074A0000}"/>
    <cellStyle name="20% - Accent6 5 3 4 2 2" xfId="9407" xr:uid="{00000000-0005-0000-0000-0000084A0000}"/>
    <cellStyle name="20% - Accent6 5 3 4 2 2 2" xfId="20708" xr:uid="{00000000-0005-0000-0000-0000094A0000}"/>
    <cellStyle name="20% - Accent6 5 3 4 2 2 2 2" xfId="43310" xr:uid="{00000000-0005-0000-0000-00000A4A0000}"/>
    <cellStyle name="20% - Accent6 5 3 4 2 2 3" xfId="32009" xr:uid="{00000000-0005-0000-0000-00000B4A0000}"/>
    <cellStyle name="20% - Accent6 5 3 4 2 3" xfId="15058" xr:uid="{00000000-0005-0000-0000-00000C4A0000}"/>
    <cellStyle name="20% - Accent6 5 3 4 2 3 2" xfId="37660" xr:uid="{00000000-0005-0000-0000-00000D4A0000}"/>
    <cellStyle name="20% - Accent6 5 3 4 2 4" xfId="26359" xr:uid="{00000000-0005-0000-0000-00000E4A0000}"/>
    <cellStyle name="20% - Accent6 5 3 4 3" xfId="5411" xr:uid="{00000000-0005-0000-0000-00000F4A0000}"/>
    <cellStyle name="20% - Accent6 5 3 4 3 2" xfId="11061" xr:uid="{00000000-0005-0000-0000-0000104A0000}"/>
    <cellStyle name="20% - Accent6 5 3 4 3 2 2" xfId="22362" xr:uid="{00000000-0005-0000-0000-0000114A0000}"/>
    <cellStyle name="20% - Accent6 5 3 4 3 2 2 2" xfId="44964" xr:uid="{00000000-0005-0000-0000-0000124A0000}"/>
    <cellStyle name="20% - Accent6 5 3 4 3 2 3" xfId="33663" xr:uid="{00000000-0005-0000-0000-0000134A0000}"/>
    <cellStyle name="20% - Accent6 5 3 4 3 3" xfId="16712" xr:uid="{00000000-0005-0000-0000-0000144A0000}"/>
    <cellStyle name="20% - Accent6 5 3 4 3 3 2" xfId="39314" xr:uid="{00000000-0005-0000-0000-0000154A0000}"/>
    <cellStyle name="20% - Accent6 5 3 4 3 4" xfId="28013" xr:uid="{00000000-0005-0000-0000-0000164A0000}"/>
    <cellStyle name="20% - Accent6 5 3 4 4" xfId="7653" xr:uid="{00000000-0005-0000-0000-0000174A0000}"/>
    <cellStyle name="20% - Accent6 5 3 4 4 2" xfId="18954" xr:uid="{00000000-0005-0000-0000-0000184A0000}"/>
    <cellStyle name="20% - Accent6 5 3 4 4 2 2" xfId="41556" xr:uid="{00000000-0005-0000-0000-0000194A0000}"/>
    <cellStyle name="20% - Accent6 5 3 4 4 3" xfId="30255" xr:uid="{00000000-0005-0000-0000-00001A4A0000}"/>
    <cellStyle name="20% - Accent6 5 3 4 5" xfId="13304" xr:uid="{00000000-0005-0000-0000-00001B4A0000}"/>
    <cellStyle name="20% - Accent6 5 3 4 5 2" xfId="35906" xr:uid="{00000000-0005-0000-0000-00001C4A0000}"/>
    <cellStyle name="20% - Accent6 5 3 4 6" xfId="24605" xr:uid="{00000000-0005-0000-0000-00001D4A0000}"/>
    <cellStyle name="20% - Accent6 5 3 5" xfId="2392" xr:uid="{00000000-0005-0000-0000-00001E4A0000}"/>
    <cellStyle name="20% - Accent6 5 3 5 2" xfId="8228" xr:uid="{00000000-0005-0000-0000-00001F4A0000}"/>
    <cellStyle name="20% - Accent6 5 3 5 2 2" xfId="19529" xr:uid="{00000000-0005-0000-0000-0000204A0000}"/>
    <cellStyle name="20% - Accent6 5 3 5 2 2 2" xfId="42131" xr:uid="{00000000-0005-0000-0000-0000214A0000}"/>
    <cellStyle name="20% - Accent6 5 3 5 2 3" xfId="30830" xr:uid="{00000000-0005-0000-0000-0000224A0000}"/>
    <cellStyle name="20% - Accent6 5 3 5 3" xfId="13879" xr:uid="{00000000-0005-0000-0000-0000234A0000}"/>
    <cellStyle name="20% - Accent6 5 3 5 3 2" xfId="36481" xr:uid="{00000000-0005-0000-0000-0000244A0000}"/>
    <cellStyle name="20% - Accent6 5 3 5 4" xfId="25180" xr:uid="{00000000-0005-0000-0000-0000254A0000}"/>
    <cellStyle name="20% - Accent6 5 3 6" xfId="4177" xr:uid="{00000000-0005-0000-0000-0000264A0000}"/>
    <cellStyle name="20% - Accent6 5 3 6 2" xfId="9827" xr:uid="{00000000-0005-0000-0000-0000274A0000}"/>
    <cellStyle name="20% - Accent6 5 3 6 2 2" xfId="21128" xr:uid="{00000000-0005-0000-0000-0000284A0000}"/>
    <cellStyle name="20% - Accent6 5 3 6 2 2 2" xfId="43730" xr:uid="{00000000-0005-0000-0000-0000294A0000}"/>
    <cellStyle name="20% - Accent6 5 3 6 2 3" xfId="32429" xr:uid="{00000000-0005-0000-0000-00002A4A0000}"/>
    <cellStyle name="20% - Accent6 5 3 6 3" xfId="15478" xr:uid="{00000000-0005-0000-0000-00002B4A0000}"/>
    <cellStyle name="20% - Accent6 5 3 6 3 2" xfId="38080" xr:uid="{00000000-0005-0000-0000-00002C4A0000}"/>
    <cellStyle name="20% - Accent6 5 3 6 4" xfId="26779" xr:uid="{00000000-0005-0000-0000-00002D4A0000}"/>
    <cellStyle name="20% - Accent6 5 3 7" xfId="6655" xr:uid="{00000000-0005-0000-0000-00002E4A0000}"/>
    <cellStyle name="20% - Accent6 5 3 7 2" xfId="17956" xr:uid="{00000000-0005-0000-0000-00002F4A0000}"/>
    <cellStyle name="20% - Accent6 5 3 7 2 2" xfId="40558" xr:uid="{00000000-0005-0000-0000-0000304A0000}"/>
    <cellStyle name="20% - Accent6 5 3 7 3" xfId="29257" xr:uid="{00000000-0005-0000-0000-0000314A0000}"/>
    <cellStyle name="20% - Accent6 5 3 8" xfId="12306" xr:uid="{00000000-0005-0000-0000-0000324A0000}"/>
    <cellStyle name="20% - Accent6 5 3 8 2" xfId="34908" xr:uid="{00000000-0005-0000-0000-0000334A0000}"/>
    <cellStyle name="20% - Accent6 5 3 9" xfId="23607" xr:uid="{00000000-0005-0000-0000-0000344A0000}"/>
    <cellStyle name="20% - Accent6 5 4" xfId="1162" xr:uid="{00000000-0005-0000-0000-0000354A0000}"/>
    <cellStyle name="20% - Accent6 5 4 2" xfId="1799" xr:uid="{00000000-0005-0000-0000-0000364A0000}"/>
    <cellStyle name="20% - Accent6 5 4 2 2" xfId="3230" xr:uid="{00000000-0005-0000-0000-0000374A0000}"/>
    <cellStyle name="20% - Accent6 5 4 2 2 2" xfId="6202" xr:uid="{00000000-0005-0000-0000-0000384A0000}"/>
    <cellStyle name="20% - Accent6 5 4 2 2 2 2" xfId="11852" xr:uid="{00000000-0005-0000-0000-0000394A0000}"/>
    <cellStyle name="20% - Accent6 5 4 2 2 2 2 2" xfId="23153" xr:uid="{00000000-0005-0000-0000-00003A4A0000}"/>
    <cellStyle name="20% - Accent6 5 4 2 2 2 2 2 2" xfId="45755" xr:uid="{00000000-0005-0000-0000-00003B4A0000}"/>
    <cellStyle name="20% - Accent6 5 4 2 2 2 2 3" xfId="34454" xr:uid="{00000000-0005-0000-0000-00003C4A0000}"/>
    <cellStyle name="20% - Accent6 5 4 2 2 2 3" xfId="17503" xr:uid="{00000000-0005-0000-0000-00003D4A0000}"/>
    <cellStyle name="20% - Accent6 5 4 2 2 2 3 2" xfId="40105" xr:uid="{00000000-0005-0000-0000-00003E4A0000}"/>
    <cellStyle name="20% - Accent6 5 4 2 2 2 4" xfId="28804" xr:uid="{00000000-0005-0000-0000-00003F4A0000}"/>
    <cellStyle name="20% - Accent6 5 4 2 2 3" xfId="9020" xr:uid="{00000000-0005-0000-0000-0000404A0000}"/>
    <cellStyle name="20% - Accent6 5 4 2 2 3 2" xfId="20321" xr:uid="{00000000-0005-0000-0000-0000414A0000}"/>
    <cellStyle name="20% - Accent6 5 4 2 2 3 2 2" xfId="42923" xr:uid="{00000000-0005-0000-0000-0000424A0000}"/>
    <cellStyle name="20% - Accent6 5 4 2 2 3 3" xfId="31622" xr:uid="{00000000-0005-0000-0000-0000434A0000}"/>
    <cellStyle name="20% - Accent6 5 4 2 2 4" xfId="14671" xr:uid="{00000000-0005-0000-0000-0000444A0000}"/>
    <cellStyle name="20% - Accent6 5 4 2 2 4 2" xfId="37273" xr:uid="{00000000-0005-0000-0000-0000454A0000}"/>
    <cellStyle name="20% - Accent6 5 4 2 2 5" xfId="25972" xr:uid="{00000000-0005-0000-0000-0000464A0000}"/>
    <cellStyle name="20% - Accent6 5 4 2 3" xfId="4968" xr:uid="{00000000-0005-0000-0000-0000474A0000}"/>
    <cellStyle name="20% - Accent6 5 4 2 3 2" xfId="10618" xr:uid="{00000000-0005-0000-0000-0000484A0000}"/>
    <cellStyle name="20% - Accent6 5 4 2 3 2 2" xfId="21919" xr:uid="{00000000-0005-0000-0000-0000494A0000}"/>
    <cellStyle name="20% - Accent6 5 4 2 3 2 2 2" xfId="44521" xr:uid="{00000000-0005-0000-0000-00004A4A0000}"/>
    <cellStyle name="20% - Accent6 5 4 2 3 2 3" xfId="33220" xr:uid="{00000000-0005-0000-0000-00004B4A0000}"/>
    <cellStyle name="20% - Accent6 5 4 2 3 3" xfId="16269" xr:uid="{00000000-0005-0000-0000-00004C4A0000}"/>
    <cellStyle name="20% - Accent6 5 4 2 3 3 2" xfId="38871" xr:uid="{00000000-0005-0000-0000-00004D4A0000}"/>
    <cellStyle name="20% - Accent6 5 4 2 3 4" xfId="27570" xr:uid="{00000000-0005-0000-0000-00004E4A0000}"/>
    <cellStyle name="20% - Accent6 5 4 2 4" xfId="7655" xr:uid="{00000000-0005-0000-0000-00004F4A0000}"/>
    <cellStyle name="20% - Accent6 5 4 2 4 2" xfId="18956" xr:uid="{00000000-0005-0000-0000-0000504A0000}"/>
    <cellStyle name="20% - Accent6 5 4 2 4 2 2" xfId="41558" xr:uid="{00000000-0005-0000-0000-0000514A0000}"/>
    <cellStyle name="20% - Accent6 5 4 2 4 3" xfId="30257" xr:uid="{00000000-0005-0000-0000-0000524A0000}"/>
    <cellStyle name="20% - Accent6 5 4 2 5" xfId="13306" xr:uid="{00000000-0005-0000-0000-0000534A0000}"/>
    <cellStyle name="20% - Accent6 5 4 2 5 2" xfId="35908" xr:uid="{00000000-0005-0000-0000-0000544A0000}"/>
    <cellStyle name="20% - Accent6 5 4 2 6" xfId="24607" xr:uid="{00000000-0005-0000-0000-0000554A0000}"/>
    <cellStyle name="20% - Accent6 5 4 3" xfId="2559" xr:uid="{00000000-0005-0000-0000-0000564A0000}"/>
    <cellStyle name="20% - Accent6 5 4 3 2" xfId="5578" xr:uid="{00000000-0005-0000-0000-0000574A0000}"/>
    <cellStyle name="20% - Accent6 5 4 3 2 2" xfId="11228" xr:uid="{00000000-0005-0000-0000-0000584A0000}"/>
    <cellStyle name="20% - Accent6 5 4 3 2 2 2" xfId="22529" xr:uid="{00000000-0005-0000-0000-0000594A0000}"/>
    <cellStyle name="20% - Accent6 5 4 3 2 2 2 2" xfId="45131" xr:uid="{00000000-0005-0000-0000-00005A4A0000}"/>
    <cellStyle name="20% - Accent6 5 4 3 2 2 3" xfId="33830" xr:uid="{00000000-0005-0000-0000-00005B4A0000}"/>
    <cellStyle name="20% - Accent6 5 4 3 2 3" xfId="16879" xr:uid="{00000000-0005-0000-0000-00005C4A0000}"/>
    <cellStyle name="20% - Accent6 5 4 3 2 3 2" xfId="39481" xr:uid="{00000000-0005-0000-0000-00005D4A0000}"/>
    <cellStyle name="20% - Accent6 5 4 3 2 4" xfId="28180" xr:uid="{00000000-0005-0000-0000-00005E4A0000}"/>
    <cellStyle name="20% - Accent6 5 4 3 3" xfId="8395" xr:uid="{00000000-0005-0000-0000-00005F4A0000}"/>
    <cellStyle name="20% - Accent6 5 4 3 3 2" xfId="19696" xr:uid="{00000000-0005-0000-0000-0000604A0000}"/>
    <cellStyle name="20% - Accent6 5 4 3 3 2 2" xfId="42298" xr:uid="{00000000-0005-0000-0000-0000614A0000}"/>
    <cellStyle name="20% - Accent6 5 4 3 3 3" xfId="30997" xr:uid="{00000000-0005-0000-0000-0000624A0000}"/>
    <cellStyle name="20% - Accent6 5 4 3 4" xfId="14046" xr:uid="{00000000-0005-0000-0000-0000634A0000}"/>
    <cellStyle name="20% - Accent6 5 4 3 4 2" xfId="36648" xr:uid="{00000000-0005-0000-0000-0000644A0000}"/>
    <cellStyle name="20% - Accent6 5 4 3 5" xfId="25347" xr:uid="{00000000-0005-0000-0000-0000654A0000}"/>
    <cellStyle name="20% - Accent6 5 4 4" xfId="4344" xr:uid="{00000000-0005-0000-0000-0000664A0000}"/>
    <cellStyle name="20% - Accent6 5 4 4 2" xfId="9994" xr:uid="{00000000-0005-0000-0000-0000674A0000}"/>
    <cellStyle name="20% - Accent6 5 4 4 2 2" xfId="21295" xr:uid="{00000000-0005-0000-0000-0000684A0000}"/>
    <cellStyle name="20% - Accent6 5 4 4 2 2 2" xfId="43897" xr:uid="{00000000-0005-0000-0000-0000694A0000}"/>
    <cellStyle name="20% - Accent6 5 4 4 2 3" xfId="32596" xr:uid="{00000000-0005-0000-0000-00006A4A0000}"/>
    <cellStyle name="20% - Accent6 5 4 4 3" xfId="15645" xr:uid="{00000000-0005-0000-0000-00006B4A0000}"/>
    <cellStyle name="20% - Accent6 5 4 4 3 2" xfId="38247" xr:uid="{00000000-0005-0000-0000-00006C4A0000}"/>
    <cellStyle name="20% - Accent6 5 4 4 4" xfId="26946" xr:uid="{00000000-0005-0000-0000-00006D4A0000}"/>
    <cellStyle name="20% - Accent6 5 4 5" xfId="7141" xr:uid="{00000000-0005-0000-0000-00006E4A0000}"/>
    <cellStyle name="20% - Accent6 5 4 5 2" xfId="18442" xr:uid="{00000000-0005-0000-0000-00006F4A0000}"/>
    <cellStyle name="20% - Accent6 5 4 5 2 2" xfId="41044" xr:uid="{00000000-0005-0000-0000-0000704A0000}"/>
    <cellStyle name="20% - Accent6 5 4 5 3" xfId="29743" xr:uid="{00000000-0005-0000-0000-0000714A0000}"/>
    <cellStyle name="20% - Accent6 5 4 6" xfId="12792" xr:uid="{00000000-0005-0000-0000-0000724A0000}"/>
    <cellStyle name="20% - Accent6 5 4 6 2" xfId="35394" xr:uid="{00000000-0005-0000-0000-0000734A0000}"/>
    <cellStyle name="20% - Accent6 5 4 7" xfId="24093" xr:uid="{00000000-0005-0000-0000-0000744A0000}"/>
    <cellStyle name="20% - Accent6 5 5" xfId="842" xr:uid="{00000000-0005-0000-0000-0000754A0000}"/>
    <cellStyle name="20% - Accent6 5 5 2" xfId="2923" xr:uid="{00000000-0005-0000-0000-0000764A0000}"/>
    <cellStyle name="20% - Accent6 5 5 2 2" xfId="5895" xr:uid="{00000000-0005-0000-0000-0000774A0000}"/>
    <cellStyle name="20% - Accent6 5 5 2 2 2" xfId="11545" xr:uid="{00000000-0005-0000-0000-0000784A0000}"/>
    <cellStyle name="20% - Accent6 5 5 2 2 2 2" xfId="22846" xr:uid="{00000000-0005-0000-0000-0000794A0000}"/>
    <cellStyle name="20% - Accent6 5 5 2 2 2 2 2" xfId="45448" xr:uid="{00000000-0005-0000-0000-00007A4A0000}"/>
    <cellStyle name="20% - Accent6 5 5 2 2 2 3" xfId="34147" xr:uid="{00000000-0005-0000-0000-00007B4A0000}"/>
    <cellStyle name="20% - Accent6 5 5 2 2 3" xfId="17196" xr:uid="{00000000-0005-0000-0000-00007C4A0000}"/>
    <cellStyle name="20% - Accent6 5 5 2 2 3 2" xfId="39798" xr:uid="{00000000-0005-0000-0000-00007D4A0000}"/>
    <cellStyle name="20% - Accent6 5 5 2 2 4" xfId="28497" xr:uid="{00000000-0005-0000-0000-00007E4A0000}"/>
    <cellStyle name="20% - Accent6 5 5 2 3" xfId="8713" xr:uid="{00000000-0005-0000-0000-00007F4A0000}"/>
    <cellStyle name="20% - Accent6 5 5 2 3 2" xfId="20014" xr:uid="{00000000-0005-0000-0000-0000804A0000}"/>
    <cellStyle name="20% - Accent6 5 5 2 3 2 2" xfId="42616" xr:uid="{00000000-0005-0000-0000-0000814A0000}"/>
    <cellStyle name="20% - Accent6 5 5 2 3 3" xfId="31315" xr:uid="{00000000-0005-0000-0000-0000824A0000}"/>
    <cellStyle name="20% - Accent6 5 5 2 4" xfId="14364" xr:uid="{00000000-0005-0000-0000-0000834A0000}"/>
    <cellStyle name="20% - Accent6 5 5 2 4 2" xfId="36966" xr:uid="{00000000-0005-0000-0000-0000844A0000}"/>
    <cellStyle name="20% - Accent6 5 5 2 5" xfId="25665" xr:uid="{00000000-0005-0000-0000-0000854A0000}"/>
    <cellStyle name="20% - Accent6 5 5 3" xfId="4661" xr:uid="{00000000-0005-0000-0000-0000864A0000}"/>
    <cellStyle name="20% - Accent6 5 5 3 2" xfId="10311" xr:uid="{00000000-0005-0000-0000-0000874A0000}"/>
    <cellStyle name="20% - Accent6 5 5 3 2 2" xfId="21612" xr:uid="{00000000-0005-0000-0000-0000884A0000}"/>
    <cellStyle name="20% - Accent6 5 5 3 2 2 2" xfId="44214" xr:uid="{00000000-0005-0000-0000-0000894A0000}"/>
    <cellStyle name="20% - Accent6 5 5 3 2 3" xfId="32913" xr:uid="{00000000-0005-0000-0000-00008A4A0000}"/>
    <cellStyle name="20% - Accent6 5 5 3 3" xfId="15962" xr:uid="{00000000-0005-0000-0000-00008B4A0000}"/>
    <cellStyle name="20% - Accent6 5 5 3 3 2" xfId="38564" xr:uid="{00000000-0005-0000-0000-00008C4A0000}"/>
    <cellStyle name="20% - Accent6 5 5 3 4" xfId="27263" xr:uid="{00000000-0005-0000-0000-00008D4A0000}"/>
    <cellStyle name="20% - Accent6 5 5 4" xfId="6847" xr:uid="{00000000-0005-0000-0000-00008E4A0000}"/>
    <cellStyle name="20% - Accent6 5 5 4 2" xfId="18148" xr:uid="{00000000-0005-0000-0000-00008F4A0000}"/>
    <cellStyle name="20% - Accent6 5 5 4 2 2" xfId="40750" xr:uid="{00000000-0005-0000-0000-0000904A0000}"/>
    <cellStyle name="20% - Accent6 5 5 4 3" xfId="29449" xr:uid="{00000000-0005-0000-0000-0000914A0000}"/>
    <cellStyle name="20% - Accent6 5 5 5" xfId="12498" xr:uid="{00000000-0005-0000-0000-0000924A0000}"/>
    <cellStyle name="20% - Accent6 5 5 5 2" xfId="35100" xr:uid="{00000000-0005-0000-0000-0000934A0000}"/>
    <cellStyle name="20% - Accent6 5 5 6" xfId="23799" xr:uid="{00000000-0005-0000-0000-0000944A0000}"/>
    <cellStyle name="20% - Accent6 5 6" xfId="1792" xr:uid="{00000000-0005-0000-0000-0000954A0000}"/>
    <cellStyle name="20% - Accent6 5 6 2" xfId="3693" xr:uid="{00000000-0005-0000-0000-0000964A0000}"/>
    <cellStyle name="20% - Accent6 5 6 2 2" xfId="9404" xr:uid="{00000000-0005-0000-0000-0000974A0000}"/>
    <cellStyle name="20% - Accent6 5 6 2 2 2" xfId="20705" xr:uid="{00000000-0005-0000-0000-0000984A0000}"/>
    <cellStyle name="20% - Accent6 5 6 2 2 2 2" xfId="43307" xr:uid="{00000000-0005-0000-0000-0000994A0000}"/>
    <cellStyle name="20% - Accent6 5 6 2 2 3" xfId="32006" xr:uid="{00000000-0005-0000-0000-00009A4A0000}"/>
    <cellStyle name="20% - Accent6 5 6 2 3" xfId="15055" xr:uid="{00000000-0005-0000-0000-00009B4A0000}"/>
    <cellStyle name="20% - Accent6 5 6 2 3 2" xfId="37657" xr:uid="{00000000-0005-0000-0000-00009C4A0000}"/>
    <cellStyle name="20% - Accent6 5 6 2 4" xfId="26356" xr:uid="{00000000-0005-0000-0000-00009D4A0000}"/>
    <cellStyle name="20% - Accent6 5 6 3" xfId="5271" xr:uid="{00000000-0005-0000-0000-00009E4A0000}"/>
    <cellStyle name="20% - Accent6 5 6 3 2" xfId="10921" xr:uid="{00000000-0005-0000-0000-00009F4A0000}"/>
    <cellStyle name="20% - Accent6 5 6 3 2 2" xfId="22222" xr:uid="{00000000-0005-0000-0000-0000A04A0000}"/>
    <cellStyle name="20% - Accent6 5 6 3 2 2 2" xfId="44824" xr:uid="{00000000-0005-0000-0000-0000A14A0000}"/>
    <cellStyle name="20% - Accent6 5 6 3 2 3" xfId="33523" xr:uid="{00000000-0005-0000-0000-0000A24A0000}"/>
    <cellStyle name="20% - Accent6 5 6 3 3" xfId="16572" xr:uid="{00000000-0005-0000-0000-0000A34A0000}"/>
    <cellStyle name="20% - Accent6 5 6 3 3 2" xfId="39174" xr:uid="{00000000-0005-0000-0000-0000A44A0000}"/>
    <cellStyle name="20% - Accent6 5 6 3 4" xfId="27873" xr:uid="{00000000-0005-0000-0000-0000A54A0000}"/>
    <cellStyle name="20% - Accent6 5 6 4" xfId="7648" xr:uid="{00000000-0005-0000-0000-0000A64A0000}"/>
    <cellStyle name="20% - Accent6 5 6 4 2" xfId="18949" xr:uid="{00000000-0005-0000-0000-0000A74A0000}"/>
    <cellStyle name="20% - Accent6 5 6 4 2 2" xfId="41551" xr:uid="{00000000-0005-0000-0000-0000A84A0000}"/>
    <cellStyle name="20% - Accent6 5 6 4 3" xfId="30250" xr:uid="{00000000-0005-0000-0000-0000A94A0000}"/>
    <cellStyle name="20% - Accent6 5 6 5" xfId="13299" xr:uid="{00000000-0005-0000-0000-0000AA4A0000}"/>
    <cellStyle name="20% - Accent6 5 6 5 2" xfId="35901" xr:uid="{00000000-0005-0000-0000-0000AB4A0000}"/>
    <cellStyle name="20% - Accent6 5 6 6" xfId="24600" xr:uid="{00000000-0005-0000-0000-0000AC4A0000}"/>
    <cellStyle name="20% - Accent6 5 7" xfId="2244" xr:uid="{00000000-0005-0000-0000-0000AD4A0000}"/>
    <cellStyle name="20% - Accent6 5 7 2" xfId="8085" xr:uid="{00000000-0005-0000-0000-0000AE4A0000}"/>
    <cellStyle name="20% - Accent6 5 7 2 2" xfId="19386" xr:uid="{00000000-0005-0000-0000-0000AF4A0000}"/>
    <cellStyle name="20% - Accent6 5 7 2 2 2" xfId="41988" xr:uid="{00000000-0005-0000-0000-0000B04A0000}"/>
    <cellStyle name="20% - Accent6 5 7 2 3" xfId="30687" xr:uid="{00000000-0005-0000-0000-0000B14A0000}"/>
    <cellStyle name="20% - Accent6 5 7 3" xfId="13736" xr:uid="{00000000-0005-0000-0000-0000B24A0000}"/>
    <cellStyle name="20% - Accent6 5 7 3 2" xfId="36338" xr:uid="{00000000-0005-0000-0000-0000B34A0000}"/>
    <cellStyle name="20% - Accent6 5 7 4" xfId="25037" xr:uid="{00000000-0005-0000-0000-0000B44A0000}"/>
    <cellStyle name="20% - Accent6 5 8" xfId="4037" xr:uid="{00000000-0005-0000-0000-0000B54A0000}"/>
    <cellStyle name="20% - Accent6 5 8 2" xfId="9687" xr:uid="{00000000-0005-0000-0000-0000B64A0000}"/>
    <cellStyle name="20% - Accent6 5 8 2 2" xfId="20988" xr:uid="{00000000-0005-0000-0000-0000B74A0000}"/>
    <cellStyle name="20% - Accent6 5 8 2 2 2" xfId="43590" xr:uid="{00000000-0005-0000-0000-0000B84A0000}"/>
    <cellStyle name="20% - Accent6 5 8 2 3" xfId="32289" xr:uid="{00000000-0005-0000-0000-0000B94A0000}"/>
    <cellStyle name="20% - Accent6 5 8 3" xfId="15338" xr:uid="{00000000-0005-0000-0000-0000BA4A0000}"/>
    <cellStyle name="20% - Accent6 5 8 3 2" xfId="37940" xr:uid="{00000000-0005-0000-0000-0000BB4A0000}"/>
    <cellStyle name="20% - Accent6 5 8 4" xfId="26639" xr:uid="{00000000-0005-0000-0000-0000BC4A0000}"/>
    <cellStyle name="20% - Accent6 5 9" xfId="6488" xr:uid="{00000000-0005-0000-0000-0000BD4A0000}"/>
    <cellStyle name="20% - Accent6 5 9 2" xfId="17789" xr:uid="{00000000-0005-0000-0000-0000BE4A0000}"/>
    <cellStyle name="20% - Accent6 5 9 2 2" xfId="40391" xr:uid="{00000000-0005-0000-0000-0000BF4A0000}"/>
    <cellStyle name="20% - Accent6 5 9 3" xfId="29090" xr:uid="{00000000-0005-0000-0000-0000C04A0000}"/>
    <cellStyle name="20% - Accent6 6" xfId="290" xr:uid="{00000000-0005-0000-0000-0000C14A0000}"/>
    <cellStyle name="20% - Accent6 7" xfId="398" xr:uid="{00000000-0005-0000-0000-0000C24A0000}"/>
    <cellStyle name="20% - Accent6 7 10" xfId="23493" xr:uid="{00000000-0005-0000-0000-0000C34A0000}"/>
    <cellStyle name="20% - Accent6 7 2" xfId="643" xr:uid="{00000000-0005-0000-0000-0000C44A0000}"/>
    <cellStyle name="20% - Accent6 7 2 2" xfId="1353" xr:uid="{00000000-0005-0000-0000-0000C54A0000}"/>
    <cellStyle name="20% - Accent6 7 2 2 2" xfId="1802" xr:uid="{00000000-0005-0000-0000-0000C64A0000}"/>
    <cellStyle name="20% - Accent6 7 2 2 2 2" xfId="3422" xr:uid="{00000000-0005-0000-0000-0000C74A0000}"/>
    <cellStyle name="20% - Accent6 7 2 2 2 2 2" xfId="6394" xr:uid="{00000000-0005-0000-0000-0000C84A0000}"/>
    <cellStyle name="20% - Accent6 7 2 2 2 2 2 2" xfId="12044" xr:uid="{00000000-0005-0000-0000-0000C94A0000}"/>
    <cellStyle name="20% - Accent6 7 2 2 2 2 2 2 2" xfId="23345" xr:uid="{00000000-0005-0000-0000-0000CA4A0000}"/>
    <cellStyle name="20% - Accent6 7 2 2 2 2 2 2 2 2" xfId="45947" xr:uid="{00000000-0005-0000-0000-0000CB4A0000}"/>
    <cellStyle name="20% - Accent6 7 2 2 2 2 2 2 3" xfId="34646" xr:uid="{00000000-0005-0000-0000-0000CC4A0000}"/>
    <cellStyle name="20% - Accent6 7 2 2 2 2 2 3" xfId="17695" xr:uid="{00000000-0005-0000-0000-0000CD4A0000}"/>
    <cellStyle name="20% - Accent6 7 2 2 2 2 2 3 2" xfId="40297" xr:uid="{00000000-0005-0000-0000-0000CE4A0000}"/>
    <cellStyle name="20% - Accent6 7 2 2 2 2 2 4" xfId="28996" xr:uid="{00000000-0005-0000-0000-0000CF4A0000}"/>
    <cellStyle name="20% - Accent6 7 2 2 2 2 3" xfId="9212" xr:uid="{00000000-0005-0000-0000-0000D04A0000}"/>
    <cellStyle name="20% - Accent6 7 2 2 2 2 3 2" xfId="20513" xr:uid="{00000000-0005-0000-0000-0000D14A0000}"/>
    <cellStyle name="20% - Accent6 7 2 2 2 2 3 2 2" xfId="43115" xr:uid="{00000000-0005-0000-0000-0000D24A0000}"/>
    <cellStyle name="20% - Accent6 7 2 2 2 2 3 3" xfId="31814" xr:uid="{00000000-0005-0000-0000-0000D34A0000}"/>
    <cellStyle name="20% - Accent6 7 2 2 2 2 4" xfId="14863" xr:uid="{00000000-0005-0000-0000-0000D44A0000}"/>
    <cellStyle name="20% - Accent6 7 2 2 2 2 4 2" xfId="37465" xr:uid="{00000000-0005-0000-0000-0000D54A0000}"/>
    <cellStyle name="20% - Accent6 7 2 2 2 2 5" xfId="26164" xr:uid="{00000000-0005-0000-0000-0000D64A0000}"/>
    <cellStyle name="20% - Accent6 7 2 2 2 3" xfId="5160" xr:uid="{00000000-0005-0000-0000-0000D74A0000}"/>
    <cellStyle name="20% - Accent6 7 2 2 2 3 2" xfId="10810" xr:uid="{00000000-0005-0000-0000-0000D84A0000}"/>
    <cellStyle name="20% - Accent6 7 2 2 2 3 2 2" xfId="22111" xr:uid="{00000000-0005-0000-0000-0000D94A0000}"/>
    <cellStyle name="20% - Accent6 7 2 2 2 3 2 2 2" xfId="44713" xr:uid="{00000000-0005-0000-0000-0000DA4A0000}"/>
    <cellStyle name="20% - Accent6 7 2 2 2 3 2 3" xfId="33412" xr:uid="{00000000-0005-0000-0000-0000DB4A0000}"/>
    <cellStyle name="20% - Accent6 7 2 2 2 3 3" xfId="16461" xr:uid="{00000000-0005-0000-0000-0000DC4A0000}"/>
    <cellStyle name="20% - Accent6 7 2 2 2 3 3 2" xfId="39063" xr:uid="{00000000-0005-0000-0000-0000DD4A0000}"/>
    <cellStyle name="20% - Accent6 7 2 2 2 3 4" xfId="27762" xr:uid="{00000000-0005-0000-0000-0000DE4A0000}"/>
    <cellStyle name="20% - Accent6 7 2 2 2 4" xfId="7658" xr:uid="{00000000-0005-0000-0000-0000DF4A0000}"/>
    <cellStyle name="20% - Accent6 7 2 2 2 4 2" xfId="18959" xr:uid="{00000000-0005-0000-0000-0000E04A0000}"/>
    <cellStyle name="20% - Accent6 7 2 2 2 4 2 2" xfId="41561" xr:uid="{00000000-0005-0000-0000-0000E14A0000}"/>
    <cellStyle name="20% - Accent6 7 2 2 2 4 3" xfId="30260" xr:uid="{00000000-0005-0000-0000-0000E24A0000}"/>
    <cellStyle name="20% - Accent6 7 2 2 2 5" xfId="13309" xr:uid="{00000000-0005-0000-0000-0000E34A0000}"/>
    <cellStyle name="20% - Accent6 7 2 2 2 5 2" xfId="35911" xr:uid="{00000000-0005-0000-0000-0000E44A0000}"/>
    <cellStyle name="20% - Accent6 7 2 2 2 6" xfId="24610" xr:uid="{00000000-0005-0000-0000-0000E54A0000}"/>
    <cellStyle name="20% - Accent6 7 2 2 3" xfId="2751" xr:uid="{00000000-0005-0000-0000-0000E64A0000}"/>
    <cellStyle name="20% - Accent6 7 2 2 3 2" xfId="5770" xr:uid="{00000000-0005-0000-0000-0000E74A0000}"/>
    <cellStyle name="20% - Accent6 7 2 2 3 2 2" xfId="11420" xr:uid="{00000000-0005-0000-0000-0000E84A0000}"/>
    <cellStyle name="20% - Accent6 7 2 2 3 2 2 2" xfId="22721" xr:uid="{00000000-0005-0000-0000-0000E94A0000}"/>
    <cellStyle name="20% - Accent6 7 2 2 3 2 2 2 2" xfId="45323" xr:uid="{00000000-0005-0000-0000-0000EA4A0000}"/>
    <cellStyle name="20% - Accent6 7 2 2 3 2 2 3" xfId="34022" xr:uid="{00000000-0005-0000-0000-0000EB4A0000}"/>
    <cellStyle name="20% - Accent6 7 2 2 3 2 3" xfId="17071" xr:uid="{00000000-0005-0000-0000-0000EC4A0000}"/>
    <cellStyle name="20% - Accent6 7 2 2 3 2 3 2" xfId="39673" xr:uid="{00000000-0005-0000-0000-0000ED4A0000}"/>
    <cellStyle name="20% - Accent6 7 2 2 3 2 4" xfId="28372" xr:uid="{00000000-0005-0000-0000-0000EE4A0000}"/>
    <cellStyle name="20% - Accent6 7 2 2 3 3" xfId="8587" xr:uid="{00000000-0005-0000-0000-0000EF4A0000}"/>
    <cellStyle name="20% - Accent6 7 2 2 3 3 2" xfId="19888" xr:uid="{00000000-0005-0000-0000-0000F04A0000}"/>
    <cellStyle name="20% - Accent6 7 2 2 3 3 2 2" xfId="42490" xr:uid="{00000000-0005-0000-0000-0000F14A0000}"/>
    <cellStyle name="20% - Accent6 7 2 2 3 3 3" xfId="31189" xr:uid="{00000000-0005-0000-0000-0000F24A0000}"/>
    <cellStyle name="20% - Accent6 7 2 2 3 4" xfId="14238" xr:uid="{00000000-0005-0000-0000-0000F34A0000}"/>
    <cellStyle name="20% - Accent6 7 2 2 3 4 2" xfId="36840" xr:uid="{00000000-0005-0000-0000-0000F44A0000}"/>
    <cellStyle name="20% - Accent6 7 2 2 3 5" xfId="25539" xr:uid="{00000000-0005-0000-0000-0000F54A0000}"/>
    <cellStyle name="20% - Accent6 7 2 2 4" xfId="4536" xr:uid="{00000000-0005-0000-0000-0000F64A0000}"/>
    <cellStyle name="20% - Accent6 7 2 2 4 2" xfId="10186" xr:uid="{00000000-0005-0000-0000-0000F74A0000}"/>
    <cellStyle name="20% - Accent6 7 2 2 4 2 2" xfId="21487" xr:uid="{00000000-0005-0000-0000-0000F84A0000}"/>
    <cellStyle name="20% - Accent6 7 2 2 4 2 2 2" xfId="44089" xr:uid="{00000000-0005-0000-0000-0000F94A0000}"/>
    <cellStyle name="20% - Accent6 7 2 2 4 2 3" xfId="32788" xr:uid="{00000000-0005-0000-0000-0000FA4A0000}"/>
    <cellStyle name="20% - Accent6 7 2 2 4 3" xfId="15837" xr:uid="{00000000-0005-0000-0000-0000FB4A0000}"/>
    <cellStyle name="20% - Accent6 7 2 2 4 3 2" xfId="38439" xr:uid="{00000000-0005-0000-0000-0000FC4A0000}"/>
    <cellStyle name="20% - Accent6 7 2 2 4 4" xfId="27138" xr:uid="{00000000-0005-0000-0000-0000FD4A0000}"/>
    <cellStyle name="20% - Accent6 7 2 2 5" xfId="7332" xr:uid="{00000000-0005-0000-0000-0000FE4A0000}"/>
    <cellStyle name="20% - Accent6 7 2 2 5 2" xfId="18633" xr:uid="{00000000-0005-0000-0000-0000FF4A0000}"/>
    <cellStyle name="20% - Accent6 7 2 2 5 2 2" xfId="41235" xr:uid="{00000000-0005-0000-0000-0000004B0000}"/>
    <cellStyle name="20% - Accent6 7 2 2 5 3" xfId="29934" xr:uid="{00000000-0005-0000-0000-0000014B0000}"/>
    <cellStyle name="20% - Accent6 7 2 2 6" xfId="12983" xr:uid="{00000000-0005-0000-0000-0000024B0000}"/>
    <cellStyle name="20% - Accent6 7 2 2 6 2" xfId="35585" xr:uid="{00000000-0005-0000-0000-0000034B0000}"/>
    <cellStyle name="20% - Accent6 7 2 2 7" xfId="24284" xr:uid="{00000000-0005-0000-0000-0000044B0000}"/>
    <cellStyle name="20% - Accent6 7 2 3" xfId="1051" xr:uid="{00000000-0005-0000-0000-0000054B0000}"/>
    <cellStyle name="20% - Accent6 7 2 3 2" xfId="3114" xr:uid="{00000000-0005-0000-0000-0000064B0000}"/>
    <cellStyle name="20% - Accent6 7 2 3 2 2" xfId="6086" xr:uid="{00000000-0005-0000-0000-0000074B0000}"/>
    <cellStyle name="20% - Accent6 7 2 3 2 2 2" xfId="11736" xr:uid="{00000000-0005-0000-0000-0000084B0000}"/>
    <cellStyle name="20% - Accent6 7 2 3 2 2 2 2" xfId="23037" xr:uid="{00000000-0005-0000-0000-0000094B0000}"/>
    <cellStyle name="20% - Accent6 7 2 3 2 2 2 2 2" xfId="45639" xr:uid="{00000000-0005-0000-0000-00000A4B0000}"/>
    <cellStyle name="20% - Accent6 7 2 3 2 2 2 3" xfId="34338" xr:uid="{00000000-0005-0000-0000-00000B4B0000}"/>
    <cellStyle name="20% - Accent6 7 2 3 2 2 3" xfId="17387" xr:uid="{00000000-0005-0000-0000-00000C4B0000}"/>
    <cellStyle name="20% - Accent6 7 2 3 2 2 3 2" xfId="39989" xr:uid="{00000000-0005-0000-0000-00000D4B0000}"/>
    <cellStyle name="20% - Accent6 7 2 3 2 2 4" xfId="28688" xr:uid="{00000000-0005-0000-0000-00000E4B0000}"/>
    <cellStyle name="20% - Accent6 7 2 3 2 3" xfId="8904" xr:uid="{00000000-0005-0000-0000-00000F4B0000}"/>
    <cellStyle name="20% - Accent6 7 2 3 2 3 2" xfId="20205" xr:uid="{00000000-0005-0000-0000-0000104B0000}"/>
    <cellStyle name="20% - Accent6 7 2 3 2 3 2 2" xfId="42807" xr:uid="{00000000-0005-0000-0000-0000114B0000}"/>
    <cellStyle name="20% - Accent6 7 2 3 2 3 3" xfId="31506" xr:uid="{00000000-0005-0000-0000-0000124B0000}"/>
    <cellStyle name="20% - Accent6 7 2 3 2 4" xfId="14555" xr:uid="{00000000-0005-0000-0000-0000134B0000}"/>
    <cellStyle name="20% - Accent6 7 2 3 2 4 2" xfId="37157" xr:uid="{00000000-0005-0000-0000-0000144B0000}"/>
    <cellStyle name="20% - Accent6 7 2 3 2 5" xfId="25856" xr:uid="{00000000-0005-0000-0000-0000154B0000}"/>
    <cellStyle name="20% - Accent6 7 2 3 3" xfId="4852" xr:uid="{00000000-0005-0000-0000-0000164B0000}"/>
    <cellStyle name="20% - Accent6 7 2 3 3 2" xfId="10502" xr:uid="{00000000-0005-0000-0000-0000174B0000}"/>
    <cellStyle name="20% - Accent6 7 2 3 3 2 2" xfId="21803" xr:uid="{00000000-0005-0000-0000-0000184B0000}"/>
    <cellStyle name="20% - Accent6 7 2 3 3 2 2 2" xfId="44405" xr:uid="{00000000-0005-0000-0000-0000194B0000}"/>
    <cellStyle name="20% - Accent6 7 2 3 3 2 3" xfId="33104" xr:uid="{00000000-0005-0000-0000-00001A4B0000}"/>
    <cellStyle name="20% - Accent6 7 2 3 3 3" xfId="16153" xr:uid="{00000000-0005-0000-0000-00001B4B0000}"/>
    <cellStyle name="20% - Accent6 7 2 3 3 3 2" xfId="38755" xr:uid="{00000000-0005-0000-0000-00001C4B0000}"/>
    <cellStyle name="20% - Accent6 7 2 3 3 4" xfId="27454" xr:uid="{00000000-0005-0000-0000-00001D4B0000}"/>
    <cellStyle name="20% - Accent6 7 2 3 4" xfId="7039" xr:uid="{00000000-0005-0000-0000-00001E4B0000}"/>
    <cellStyle name="20% - Accent6 7 2 3 4 2" xfId="18340" xr:uid="{00000000-0005-0000-0000-00001F4B0000}"/>
    <cellStyle name="20% - Accent6 7 2 3 4 2 2" xfId="40942" xr:uid="{00000000-0005-0000-0000-0000204B0000}"/>
    <cellStyle name="20% - Accent6 7 2 3 4 3" xfId="29641" xr:uid="{00000000-0005-0000-0000-0000214B0000}"/>
    <cellStyle name="20% - Accent6 7 2 3 5" xfId="12690" xr:uid="{00000000-0005-0000-0000-0000224B0000}"/>
    <cellStyle name="20% - Accent6 7 2 3 5 2" xfId="35292" xr:uid="{00000000-0005-0000-0000-0000234B0000}"/>
    <cellStyle name="20% - Accent6 7 2 3 6" xfId="23991" xr:uid="{00000000-0005-0000-0000-0000244B0000}"/>
    <cellStyle name="20% - Accent6 7 2 4" xfId="1801" xr:uid="{00000000-0005-0000-0000-0000254B0000}"/>
    <cellStyle name="20% - Accent6 7 2 4 2" xfId="3698" xr:uid="{00000000-0005-0000-0000-0000264B0000}"/>
    <cellStyle name="20% - Accent6 7 2 4 2 2" xfId="9409" xr:uid="{00000000-0005-0000-0000-0000274B0000}"/>
    <cellStyle name="20% - Accent6 7 2 4 2 2 2" xfId="20710" xr:uid="{00000000-0005-0000-0000-0000284B0000}"/>
    <cellStyle name="20% - Accent6 7 2 4 2 2 2 2" xfId="43312" xr:uid="{00000000-0005-0000-0000-0000294B0000}"/>
    <cellStyle name="20% - Accent6 7 2 4 2 2 3" xfId="32011" xr:uid="{00000000-0005-0000-0000-00002A4B0000}"/>
    <cellStyle name="20% - Accent6 7 2 4 2 3" xfId="15060" xr:uid="{00000000-0005-0000-0000-00002B4B0000}"/>
    <cellStyle name="20% - Accent6 7 2 4 2 3 2" xfId="37662" xr:uid="{00000000-0005-0000-0000-00002C4B0000}"/>
    <cellStyle name="20% - Accent6 7 2 4 2 4" xfId="26361" xr:uid="{00000000-0005-0000-0000-00002D4B0000}"/>
    <cellStyle name="20% - Accent6 7 2 4 3" xfId="5462" xr:uid="{00000000-0005-0000-0000-00002E4B0000}"/>
    <cellStyle name="20% - Accent6 7 2 4 3 2" xfId="11112" xr:uid="{00000000-0005-0000-0000-00002F4B0000}"/>
    <cellStyle name="20% - Accent6 7 2 4 3 2 2" xfId="22413" xr:uid="{00000000-0005-0000-0000-0000304B0000}"/>
    <cellStyle name="20% - Accent6 7 2 4 3 2 2 2" xfId="45015" xr:uid="{00000000-0005-0000-0000-0000314B0000}"/>
    <cellStyle name="20% - Accent6 7 2 4 3 2 3" xfId="33714" xr:uid="{00000000-0005-0000-0000-0000324B0000}"/>
    <cellStyle name="20% - Accent6 7 2 4 3 3" xfId="16763" xr:uid="{00000000-0005-0000-0000-0000334B0000}"/>
    <cellStyle name="20% - Accent6 7 2 4 3 3 2" xfId="39365" xr:uid="{00000000-0005-0000-0000-0000344B0000}"/>
    <cellStyle name="20% - Accent6 7 2 4 3 4" xfId="28064" xr:uid="{00000000-0005-0000-0000-0000354B0000}"/>
    <cellStyle name="20% - Accent6 7 2 4 4" xfId="7657" xr:uid="{00000000-0005-0000-0000-0000364B0000}"/>
    <cellStyle name="20% - Accent6 7 2 4 4 2" xfId="18958" xr:uid="{00000000-0005-0000-0000-0000374B0000}"/>
    <cellStyle name="20% - Accent6 7 2 4 4 2 2" xfId="41560" xr:uid="{00000000-0005-0000-0000-0000384B0000}"/>
    <cellStyle name="20% - Accent6 7 2 4 4 3" xfId="30259" xr:uid="{00000000-0005-0000-0000-0000394B0000}"/>
    <cellStyle name="20% - Accent6 7 2 4 5" xfId="13308" xr:uid="{00000000-0005-0000-0000-00003A4B0000}"/>
    <cellStyle name="20% - Accent6 7 2 4 5 2" xfId="35910" xr:uid="{00000000-0005-0000-0000-00003B4B0000}"/>
    <cellStyle name="20% - Accent6 7 2 4 6" xfId="24609" xr:uid="{00000000-0005-0000-0000-00003C4B0000}"/>
    <cellStyle name="20% - Accent6 7 2 5" xfId="2443" xr:uid="{00000000-0005-0000-0000-00003D4B0000}"/>
    <cellStyle name="20% - Accent6 7 2 5 2" xfId="8279" xr:uid="{00000000-0005-0000-0000-00003E4B0000}"/>
    <cellStyle name="20% - Accent6 7 2 5 2 2" xfId="19580" xr:uid="{00000000-0005-0000-0000-00003F4B0000}"/>
    <cellStyle name="20% - Accent6 7 2 5 2 2 2" xfId="42182" xr:uid="{00000000-0005-0000-0000-0000404B0000}"/>
    <cellStyle name="20% - Accent6 7 2 5 2 3" xfId="30881" xr:uid="{00000000-0005-0000-0000-0000414B0000}"/>
    <cellStyle name="20% - Accent6 7 2 5 3" xfId="13930" xr:uid="{00000000-0005-0000-0000-0000424B0000}"/>
    <cellStyle name="20% - Accent6 7 2 5 3 2" xfId="36532" xr:uid="{00000000-0005-0000-0000-0000434B0000}"/>
    <cellStyle name="20% - Accent6 7 2 5 4" xfId="25231" xr:uid="{00000000-0005-0000-0000-0000444B0000}"/>
    <cellStyle name="20% - Accent6 7 2 6" xfId="4228" xr:uid="{00000000-0005-0000-0000-0000454B0000}"/>
    <cellStyle name="20% - Accent6 7 2 6 2" xfId="9878" xr:uid="{00000000-0005-0000-0000-0000464B0000}"/>
    <cellStyle name="20% - Accent6 7 2 6 2 2" xfId="21179" xr:uid="{00000000-0005-0000-0000-0000474B0000}"/>
    <cellStyle name="20% - Accent6 7 2 6 2 2 2" xfId="43781" xr:uid="{00000000-0005-0000-0000-0000484B0000}"/>
    <cellStyle name="20% - Accent6 7 2 6 2 3" xfId="32480" xr:uid="{00000000-0005-0000-0000-0000494B0000}"/>
    <cellStyle name="20% - Accent6 7 2 6 3" xfId="15529" xr:uid="{00000000-0005-0000-0000-00004A4B0000}"/>
    <cellStyle name="20% - Accent6 7 2 6 3 2" xfId="38131" xr:uid="{00000000-0005-0000-0000-00004B4B0000}"/>
    <cellStyle name="20% - Accent6 7 2 6 4" xfId="26830" xr:uid="{00000000-0005-0000-0000-00004C4B0000}"/>
    <cellStyle name="20% - Accent6 7 2 7" xfId="6708" xr:uid="{00000000-0005-0000-0000-00004D4B0000}"/>
    <cellStyle name="20% - Accent6 7 2 7 2" xfId="18009" xr:uid="{00000000-0005-0000-0000-00004E4B0000}"/>
    <cellStyle name="20% - Accent6 7 2 7 2 2" xfId="40611" xr:uid="{00000000-0005-0000-0000-00004F4B0000}"/>
    <cellStyle name="20% - Accent6 7 2 7 3" xfId="29310" xr:uid="{00000000-0005-0000-0000-0000504B0000}"/>
    <cellStyle name="20% - Accent6 7 2 8" xfId="12359" xr:uid="{00000000-0005-0000-0000-0000514B0000}"/>
    <cellStyle name="20% - Accent6 7 2 8 2" xfId="34961" xr:uid="{00000000-0005-0000-0000-0000524B0000}"/>
    <cellStyle name="20% - Accent6 7 2 9" xfId="23660" xr:uid="{00000000-0005-0000-0000-0000534B0000}"/>
    <cellStyle name="20% - Accent6 7 3" xfId="1215" xr:uid="{00000000-0005-0000-0000-0000544B0000}"/>
    <cellStyle name="20% - Accent6 7 3 2" xfId="1803" xr:uid="{00000000-0005-0000-0000-0000554B0000}"/>
    <cellStyle name="20% - Accent6 7 3 2 2" xfId="3283" xr:uid="{00000000-0005-0000-0000-0000564B0000}"/>
    <cellStyle name="20% - Accent6 7 3 2 2 2" xfId="6255" xr:uid="{00000000-0005-0000-0000-0000574B0000}"/>
    <cellStyle name="20% - Accent6 7 3 2 2 2 2" xfId="11905" xr:uid="{00000000-0005-0000-0000-0000584B0000}"/>
    <cellStyle name="20% - Accent6 7 3 2 2 2 2 2" xfId="23206" xr:uid="{00000000-0005-0000-0000-0000594B0000}"/>
    <cellStyle name="20% - Accent6 7 3 2 2 2 2 2 2" xfId="45808" xr:uid="{00000000-0005-0000-0000-00005A4B0000}"/>
    <cellStyle name="20% - Accent6 7 3 2 2 2 2 3" xfId="34507" xr:uid="{00000000-0005-0000-0000-00005B4B0000}"/>
    <cellStyle name="20% - Accent6 7 3 2 2 2 3" xfId="17556" xr:uid="{00000000-0005-0000-0000-00005C4B0000}"/>
    <cellStyle name="20% - Accent6 7 3 2 2 2 3 2" xfId="40158" xr:uid="{00000000-0005-0000-0000-00005D4B0000}"/>
    <cellStyle name="20% - Accent6 7 3 2 2 2 4" xfId="28857" xr:uid="{00000000-0005-0000-0000-00005E4B0000}"/>
    <cellStyle name="20% - Accent6 7 3 2 2 3" xfId="9073" xr:uid="{00000000-0005-0000-0000-00005F4B0000}"/>
    <cellStyle name="20% - Accent6 7 3 2 2 3 2" xfId="20374" xr:uid="{00000000-0005-0000-0000-0000604B0000}"/>
    <cellStyle name="20% - Accent6 7 3 2 2 3 2 2" xfId="42976" xr:uid="{00000000-0005-0000-0000-0000614B0000}"/>
    <cellStyle name="20% - Accent6 7 3 2 2 3 3" xfId="31675" xr:uid="{00000000-0005-0000-0000-0000624B0000}"/>
    <cellStyle name="20% - Accent6 7 3 2 2 4" xfId="14724" xr:uid="{00000000-0005-0000-0000-0000634B0000}"/>
    <cellStyle name="20% - Accent6 7 3 2 2 4 2" xfId="37326" xr:uid="{00000000-0005-0000-0000-0000644B0000}"/>
    <cellStyle name="20% - Accent6 7 3 2 2 5" xfId="26025" xr:uid="{00000000-0005-0000-0000-0000654B0000}"/>
    <cellStyle name="20% - Accent6 7 3 2 3" xfId="5021" xr:uid="{00000000-0005-0000-0000-0000664B0000}"/>
    <cellStyle name="20% - Accent6 7 3 2 3 2" xfId="10671" xr:uid="{00000000-0005-0000-0000-0000674B0000}"/>
    <cellStyle name="20% - Accent6 7 3 2 3 2 2" xfId="21972" xr:uid="{00000000-0005-0000-0000-0000684B0000}"/>
    <cellStyle name="20% - Accent6 7 3 2 3 2 2 2" xfId="44574" xr:uid="{00000000-0005-0000-0000-0000694B0000}"/>
    <cellStyle name="20% - Accent6 7 3 2 3 2 3" xfId="33273" xr:uid="{00000000-0005-0000-0000-00006A4B0000}"/>
    <cellStyle name="20% - Accent6 7 3 2 3 3" xfId="16322" xr:uid="{00000000-0005-0000-0000-00006B4B0000}"/>
    <cellStyle name="20% - Accent6 7 3 2 3 3 2" xfId="38924" xr:uid="{00000000-0005-0000-0000-00006C4B0000}"/>
    <cellStyle name="20% - Accent6 7 3 2 3 4" xfId="27623" xr:uid="{00000000-0005-0000-0000-00006D4B0000}"/>
    <cellStyle name="20% - Accent6 7 3 2 4" xfId="7659" xr:uid="{00000000-0005-0000-0000-00006E4B0000}"/>
    <cellStyle name="20% - Accent6 7 3 2 4 2" xfId="18960" xr:uid="{00000000-0005-0000-0000-00006F4B0000}"/>
    <cellStyle name="20% - Accent6 7 3 2 4 2 2" xfId="41562" xr:uid="{00000000-0005-0000-0000-0000704B0000}"/>
    <cellStyle name="20% - Accent6 7 3 2 4 3" xfId="30261" xr:uid="{00000000-0005-0000-0000-0000714B0000}"/>
    <cellStyle name="20% - Accent6 7 3 2 5" xfId="13310" xr:uid="{00000000-0005-0000-0000-0000724B0000}"/>
    <cellStyle name="20% - Accent6 7 3 2 5 2" xfId="35912" xr:uid="{00000000-0005-0000-0000-0000734B0000}"/>
    <cellStyle name="20% - Accent6 7 3 2 6" xfId="24611" xr:uid="{00000000-0005-0000-0000-0000744B0000}"/>
    <cellStyle name="20% - Accent6 7 3 3" xfId="2612" xr:uid="{00000000-0005-0000-0000-0000754B0000}"/>
    <cellStyle name="20% - Accent6 7 3 3 2" xfId="5631" xr:uid="{00000000-0005-0000-0000-0000764B0000}"/>
    <cellStyle name="20% - Accent6 7 3 3 2 2" xfId="11281" xr:uid="{00000000-0005-0000-0000-0000774B0000}"/>
    <cellStyle name="20% - Accent6 7 3 3 2 2 2" xfId="22582" xr:uid="{00000000-0005-0000-0000-0000784B0000}"/>
    <cellStyle name="20% - Accent6 7 3 3 2 2 2 2" xfId="45184" xr:uid="{00000000-0005-0000-0000-0000794B0000}"/>
    <cellStyle name="20% - Accent6 7 3 3 2 2 3" xfId="33883" xr:uid="{00000000-0005-0000-0000-00007A4B0000}"/>
    <cellStyle name="20% - Accent6 7 3 3 2 3" xfId="16932" xr:uid="{00000000-0005-0000-0000-00007B4B0000}"/>
    <cellStyle name="20% - Accent6 7 3 3 2 3 2" xfId="39534" xr:uid="{00000000-0005-0000-0000-00007C4B0000}"/>
    <cellStyle name="20% - Accent6 7 3 3 2 4" xfId="28233" xr:uid="{00000000-0005-0000-0000-00007D4B0000}"/>
    <cellStyle name="20% - Accent6 7 3 3 3" xfId="8448" xr:uid="{00000000-0005-0000-0000-00007E4B0000}"/>
    <cellStyle name="20% - Accent6 7 3 3 3 2" xfId="19749" xr:uid="{00000000-0005-0000-0000-00007F4B0000}"/>
    <cellStyle name="20% - Accent6 7 3 3 3 2 2" xfId="42351" xr:uid="{00000000-0005-0000-0000-0000804B0000}"/>
    <cellStyle name="20% - Accent6 7 3 3 3 3" xfId="31050" xr:uid="{00000000-0005-0000-0000-0000814B0000}"/>
    <cellStyle name="20% - Accent6 7 3 3 4" xfId="14099" xr:uid="{00000000-0005-0000-0000-0000824B0000}"/>
    <cellStyle name="20% - Accent6 7 3 3 4 2" xfId="36701" xr:uid="{00000000-0005-0000-0000-0000834B0000}"/>
    <cellStyle name="20% - Accent6 7 3 3 5" xfId="25400" xr:uid="{00000000-0005-0000-0000-0000844B0000}"/>
    <cellStyle name="20% - Accent6 7 3 4" xfId="4397" xr:uid="{00000000-0005-0000-0000-0000854B0000}"/>
    <cellStyle name="20% - Accent6 7 3 4 2" xfId="10047" xr:uid="{00000000-0005-0000-0000-0000864B0000}"/>
    <cellStyle name="20% - Accent6 7 3 4 2 2" xfId="21348" xr:uid="{00000000-0005-0000-0000-0000874B0000}"/>
    <cellStyle name="20% - Accent6 7 3 4 2 2 2" xfId="43950" xr:uid="{00000000-0005-0000-0000-0000884B0000}"/>
    <cellStyle name="20% - Accent6 7 3 4 2 3" xfId="32649" xr:uid="{00000000-0005-0000-0000-0000894B0000}"/>
    <cellStyle name="20% - Accent6 7 3 4 3" xfId="15698" xr:uid="{00000000-0005-0000-0000-00008A4B0000}"/>
    <cellStyle name="20% - Accent6 7 3 4 3 2" xfId="38300" xr:uid="{00000000-0005-0000-0000-00008B4B0000}"/>
    <cellStyle name="20% - Accent6 7 3 4 4" xfId="26999" xr:uid="{00000000-0005-0000-0000-00008C4B0000}"/>
    <cellStyle name="20% - Accent6 7 3 5" xfId="7194" xr:uid="{00000000-0005-0000-0000-00008D4B0000}"/>
    <cellStyle name="20% - Accent6 7 3 5 2" xfId="18495" xr:uid="{00000000-0005-0000-0000-00008E4B0000}"/>
    <cellStyle name="20% - Accent6 7 3 5 2 2" xfId="41097" xr:uid="{00000000-0005-0000-0000-00008F4B0000}"/>
    <cellStyle name="20% - Accent6 7 3 5 3" xfId="29796" xr:uid="{00000000-0005-0000-0000-0000904B0000}"/>
    <cellStyle name="20% - Accent6 7 3 6" xfId="12845" xr:uid="{00000000-0005-0000-0000-0000914B0000}"/>
    <cellStyle name="20% - Accent6 7 3 6 2" xfId="35447" xr:uid="{00000000-0005-0000-0000-0000924B0000}"/>
    <cellStyle name="20% - Accent6 7 3 7" xfId="24146" xr:uid="{00000000-0005-0000-0000-0000934B0000}"/>
    <cellStyle name="20% - Accent6 7 4" xfId="906" xr:uid="{00000000-0005-0000-0000-0000944B0000}"/>
    <cellStyle name="20% - Accent6 7 4 2" xfId="2976" xr:uid="{00000000-0005-0000-0000-0000954B0000}"/>
    <cellStyle name="20% - Accent6 7 4 2 2" xfId="5948" xr:uid="{00000000-0005-0000-0000-0000964B0000}"/>
    <cellStyle name="20% - Accent6 7 4 2 2 2" xfId="11598" xr:uid="{00000000-0005-0000-0000-0000974B0000}"/>
    <cellStyle name="20% - Accent6 7 4 2 2 2 2" xfId="22899" xr:uid="{00000000-0005-0000-0000-0000984B0000}"/>
    <cellStyle name="20% - Accent6 7 4 2 2 2 2 2" xfId="45501" xr:uid="{00000000-0005-0000-0000-0000994B0000}"/>
    <cellStyle name="20% - Accent6 7 4 2 2 2 3" xfId="34200" xr:uid="{00000000-0005-0000-0000-00009A4B0000}"/>
    <cellStyle name="20% - Accent6 7 4 2 2 3" xfId="17249" xr:uid="{00000000-0005-0000-0000-00009B4B0000}"/>
    <cellStyle name="20% - Accent6 7 4 2 2 3 2" xfId="39851" xr:uid="{00000000-0005-0000-0000-00009C4B0000}"/>
    <cellStyle name="20% - Accent6 7 4 2 2 4" xfId="28550" xr:uid="{00000000-0005-0000-0000-00009D4B0000}"/>
    <cellStyle name="20% - Accent6 7 4 2 3" xfId="8766" xr:uid="{00000000-0005-0000-0000-00009E4B0000}"/>
    <cellStyle name="20% - Accent6 7 4 2 3 2" xfId="20067" xr:uid="{00000000-0005-0000-0000-00009F4B0000}"/>
    <cellStyle name="20% - Accent6 7 4 2 3 2 2" xfId="42669" xr:uid="{00000000-0005-0000-0000-0000A04B0000}"/>
    <cellStyle name="20% - Accent6 7 4 2 3 3" xfId="31368" xr:uid="{00000000-0005-0000-0000-0000A14B0000}"/>
    <cellStyle name="20% - Accent6 7 4 2 4" xfId="14417" xr:uid="{00000000-0005-0000-0000-0000A24B0000}"/>
    <cellStyle name="20% - Accent6 7 4 2 4 2" xfId="37019" xr:uid="{00000000-0005-0000-0000-0000A34B0000}"/>
    <cellStyle name="20% - Accent6 7 4 2 5" xfId="25718" xr:uid="{00000000-0005-0000-0000-0000A44B0000}"/>
    <cellStyle name="20% - Accent6 7 4 3" xfId="4714" xr:uid="{00000000-0005-0000-0000-0000A54B0000}"/>
    <cellStyle name="20% - Accent6 7 4 3 2" xfId="10364" xr:uid="{00000000-0005-0000-0000-0000A64B0000}"/>
    <cellStyle name="20% - Accent6 7 4 3 2 2" xfId="21665" xr:uid="{00000000-0005-0000-0000-0000A74B0000}"/>
    <cellStyle name="20% - Accent6 7 4 3 2 2 2" xfId="44267" xr:uid="{00000000-0005-0000-0000-0000A84B0000}"/>
    <cellStyle name="20% - Accent6 7 4 3 2 3" xfId="32966" xr:uid="{00000000-0005-0000-0000-0000A94B0000}"/>
    <cellStyle name="20% - Accent6 7 4 3 3" xfId="16015" xr:uid="{00000000-0005-0000-0000-0000AA4B0000}"/>
    <cellStyle name="20% - Accent6 7 4 3 3 2" xfId="38617" xr:uid="{00000000-0005-0000-0000-0000AB4B0000}"/>
    <cellStyle name="20% - Accent6 7 4 3 4" xfId="27316" xr:uid="{00000000-0005-0000-0000-0000AC4B0000}"/>
    <cellStyle name="20% - Accent6 7 4 4" xfId="6901" xr:uid="{00000000-0005-0000-0000-0000AD4B0000}"/>
    <cellStyle name="20% - Accent6 7 4 4 2" xfId="18202" xr:uid="{00000000-0005-0000-0000-0000AE4B0000}"/>
    <cellStyle name="20% - Accent6 7 4 4 2 2" xfId="40804" xr:uid="{00000000-0005-0000-0000-0000AF4B0000}"/>
    <cellStyle name="20% - Accent6 7 4 4 3" xfId="29503" xr:uid="{00000000-0005-0000-0000-0000B04B0000}"/>
    <cellStyle name="20% - Accent6 7 4 5" xfId="12552" xr:uid="{00000000-0005-0000-0000-0000B14B0000}"/>
    <cellStyle name="20% - Accent6 7 4 5 2" xfId="35154" xr:uid="{00000000-0005-0000-0000-0000B24B0000}"/>
    <cellStyle name="20% - Accent6 7 4 6" xfId="23853" xr:uid="{00000000-0005-0000-0000-0000B34B0000}"/>
    <cellStyle name="20% - Accent6 7 5" xfId="1800" xr:uid="{00000000-0005-0000-0000-0000B44B0000}"/>
    <cellStyle name="20% - Accent6 7 5 2" xfId="3697" xr:uid="{00000000-0005-0000-0000-0000B54B0000}"/>
    <cellStyle name="20% - Accent6 7 5 2 2" xfId="9408" xr:uid="{00000000-0005-0000-0000-0000B64B0000}"/>
    <cellStyle name="20% - Accent6 7 5 2 2 2" xfId="20709" xr:uid="{00000000-0005-0000-0000-0000B74B0000}"/>
    <cellStyle name="20% - Accent6 7 5 2 2 2 2" xfId="43311" xr:uid="{00000000-0005-0000-0000-0000B84B0000}"/>
    <cellStyle name="20% - Accent6 7 5 2 2 3" xfId="32010" xr:uid="{00000000-0005-0000-0000-0000B94B0000}"/>
    <cellStyle name="20% - Accent6 7 5 2 3" xfId="15059" xr:uid="{00000000-0005-0000-0000-0000BA4B0000}"/>
    <cellStyle name="20% - Accent6 7 5 2 3 2" xfId="37661" xr:uid="{00000000-0005-0000-0000-0000BB4B0000}"/>
    <cellStyle name="20% - Accent6 7 5 2 4" xfId="26360" xr:uid="{00000000-0005-0000-0000-0000BC4B0000}"/>
    <cellStyle name="20% - Accent6 7 5 3" xfId="5324" xr:uid="{00000000-0005-0000-0000-0000BD4B0000}"/>
    <cellStyle name="20% - Accent6 7 5 3 2" xfId="10974" xr:uid="{00000000-0005-0000-0000-0000BE4B0000}"/>
    <cellStyle name="20% - Accent6 7 5 3 2 2" xfId="22275" xr:uid="{00000000-0005-0000-0000-0000BF4B0000}"/>
    <cellStyle name="20% - Accent6 7 5 3 2 2 2" xfId="44877" xr:uid="{00000000-0005-0000-0000-0000C04B0000}"/>
    <cellStyle name="20% - Accent6 7 5 3 2 3" xfId="33576" xr:uid="{00000000-0005-0000-0000-0000C14B0000}"/>
    <cellStyle name="20% - Accent6 7 5 3 3" xfId="16625" xr:uid="{00000000-0005-0000-0000-0000C24B0000}"/>
    <cellStyle name="20% - Accent6 7 5 3 3 2" xfId="39227" xr:uid="{00000000-0005-0000-0000-0000C34B0000}"/>
    <cellStyle name="20% - Accent6 7 5 3 4" xfId="27926" xr:uid="{00000000-0005-0000-0000-0000C44B0000}"/>
    <cellStyle name="20% - Accent6 7 5 4" xfId="7656" xr:uid="{00000000-0005-0000-0000-0000C54B0000}"/>
    <cellStyle name="20% - Accent6 7 5 4 2" xfId="18957" xr:uid="{00000000-0005-0000-0000-0000C64B0000}"/>
    <cellStyle name="20% - Accent6 7 5 4 2 2" xfId="41559" xr:uid="{00000000-0005-0000-0000-0000C74B0000}"/>
    <cellStyle name="20% - Accent6 7 5 4 3" xfId="30258" xr:uid="{00000000-0005-0000-0000-0000C84B0000}"/>
    <cellStyle name="20% - Accent6 7 5 5" xfId="13307" xr:uid="{00000000-0005-0000-0000-0000C94B0000}"/>
    <cellStyle name="20% - Accent6 7 5 5 2" xfId="35909" xr:uid="{00000000-0005-0000-0000-0000CA4B0000}"/>
    <cellStyle name="20% - Accent6 7 5 6" xfId="24608" xr:uid="{00000000-0005-0000-0000-0000CB4B0000}"/>
    <cellStyle name="20% - Accent6 7 6" xfId="2303" xr:uid="{00000000-0005-0000-0000-0000CC4B0000}"/>
    <cellStyle name="20% - Accent6 7 6 2" xfId="8139" xr:uid="{00000000-0005-0000-0000-0000CD4B0000}"/>
    <cellStyle name="20% - Accent6 7 6 2 2" xfId="19440" xr:uid="{00000000-0005-0000-0000-0000CE4B0000}"/>
    <cellStyle name="20% - Accent6 7 6 2 2 2" xfId="42042" xr:uid="{00000000-0005-0000-0000-0000CF4B0000}"/>
    <cellStyle name="20% - Accent6 7 6 2 3" xfId="30741" xr:uid="{00000000-0005-0000-0000-0000D04B0000}"/>
    <cellStyle name="20% - Accent6 7 6 3" xfId="13790" xr:uid="{00000000-0005-0000-0000-0000D14B0000}"/>
    <cellStyle name="20% - Accent6 7 6 3 2" xfId="36392" xr:uid="{00000000-0005-0000-0000-0000D24B0000}"/>
    <cellStyle name="20% - Accent6 7 6 4" xfId="25091" xr:uid="{00000000-0005-0000-0000-0000D34B0000}"/>
    <cellStyle name="20% - Accent6 7 7" xfId="4090" xr:uid="{00000000-0005-0000-0000-0000D44B0000}"/>
    <cellStyle name="20% - Accent6 7 7 2" xfId="9740" xr:uid="{00000000-0005-0000-0000-0000D54B0000}"/>
    <cellStyle name="20% - Accent6 7 7 2 2" xfId="21041" xr:uid="{00000000-0005-0000-0000-0000D64B0000}"/>
    <cellStyle name="20% - Accent6 7 7 2 2 2" xfId="43643" xr:uid="{00000000-0005-0000-0000-0000D74B0000}"/>
    <cellStyle name="20% - Accent6 7 7 2 3" xfId="32342" xr:uid="{00000000-0005-0000-0000-0000D84B0000}"/>
    <cellStyle name="20% - Accent6 7 7 3" xfId="15391" xr:uid="{00000000-0005-0000-0000-0000D94B0000}"/>
    <cellStyle name="20% - Accent6 7 7 3 2" xfId="37993" xr:uid="{00000000-0005-0000-0000-0000DA4B0000}"/>
    <cellStyle name="20% - Accent6 7 7 4" xfId="26692" xr:uid="{00000000-0005-0000-0000-0000DB4B0000}"/>
    <cellStyle name="20% - Accent6 7 8" xfId="6541" xr:uid="{00000000-0005-0000-0000-0000DC4B0000}"/>
    <cellStyle name="20% - Accent6 7 8 2" xfId="17842" xr:uid="{00000000-0005-0000-0000-0000DD4B0000}"/>
    <cellStyle name="20% - Accent6 7 8 2 2" xfId="40444" xr:uid="{00000000-0005-0000-0000-0000DE4B0000}"/>
    <cellStyle name="20% - Accent6 7 8 3" xfId="29143" xr:uid="{00000000-0005-0000-0000-0000DF4B0000}"/>
    <cellStyle name="20% - Accent6 7 9" xfId="12192" xr:uid="{00000000-0005-0000-0000-0000E04B0000}"/>
    <cellStyle name="20% - Accent6 7 9 2" xfId="34794" xr:uid="{00000000-0005-0000-0000-0000E14B0000}"/>
    <cellStyle name="20% - Accent6 8" xfId="501" xr:uid="{00000000-0005-0000-0000-0000E24B0000}"/>
    <cellStyle name="20% - Accent6 8 2" xfId="1272" xr:uid="{00000000-0005-0000-0000-0000E34B0000}"/>
    <cellStyle name="20% - Accent6 8 2 2" xfId="1805" xr:uid="{00000000-0005-0000-0000-0000E44B0000}"/>
    <cellStyle name="20% - Accent6 8 2 2 2" xfId="3341" xr:uid="{00000000-0005-0000-0000-0000E54B0000}"/>
    <cellStyle name="20% - Accent6 8 2 2 2 2" xfId="6313" xr:uid="{00000000-0005-0000-0000-0000E64B0000}"/>
    <cellStyle name="20% - Accent6 8 2 2 2 2 2" xfId="11963" xr:uid="{00000000-0005-0000-0000-0000E74B0000}"/>
    <cellStyle name="20% - Accent6 8 2 2 2 2 2 2" xfId="23264" xr:uid="{00000000-0005-0000-0000-0000E84B0000}"/>
    <cellStyle name="20% - Accent6 8 2 2 2 2 2 2 2" xfId="45866" xr:uid="{00000000-0005-0000-0000-0000E94B0000}"/>
    <cellStyle name="20% - Accent6 8 2 2 2 2 2 3" xfId="34565" xr:uid="{00000000-0005-0000-0000-0000EA4B0000}"/>
    <cellStyle name="20% - Accent6 8 2 2 2 2 3" xfId="17614" xr:uid="{00000000-0005-0000-0000-0000EB4B0000}"/>
    <cellStyle name="20% - Accent6 8 2 2 2 2 3 2" xfId="40216" xr:uid="{00000000-0005-0000-0000-0000EC4B0000}"/>
    <cellStyle name="20% - Accent6 8 2 2 2 2 4" xfId="28915" xr:uid="{00000000-0005-0000-0000-0000ED4B0000}"/>
    <cellStyle name="20% - Accent6 8 2 2 2 3" xfId="9131" xr:uid="{00000000-0005-0000-0000-0000EE4B0000}"/>
    <cellStyle name="20% - Accent6 8 2 2 2 3 2" xfId="20432" xr:uid="{00000000-0005-0000-0000-0000EF4B0000}"/>
    <cellStyle name="20% - Accent6 8 2 2 2 3 2 2" xfId="43034" xr:uid="{00000000-0005-0000-0000-0000F04B0000}"/>
    <cellStyle name="20% - Accent6 8 2 2 2 3 3" xfId="31733" xr:uid="{00000000-0005-0000-0000-0000F14B0000}"/>
    <cellStyle name="20% - Accent6 8 2 2 2 4" xfId="14782" xr:uid="{00000000-0005-0000-0000-0000F24B0000}"/>
    <cellStyle name="20% - Accent6 8 2 2 2 4 2" xfId="37384" xr:uid="{00000000-0005-0000-0000-0000F34B0000}"/>
    <cellStyle name="20% - Accent6 8 2 2 2 5" xfId="26083" xr:uid="{00000000-0005-0000-0000-0000F44B0000}"/>
    <cellStyle name="20% - Accent6 8 2 2 3" xfId="5079" xr:uid="{00000000-0005-0000-0000-0000F54B0000}"/>
    <cellStyle name="20% - Accent6 8 2 2 3 2" xfId="10729" xr:uid="{00000000-0005-0000-0000-0000F64B0000}"/>
    <cellStyle name="20% - Accent6 8 2 2 3 2 2" xfId="22030" xr:uid="{00000000-0005-0000-0000-0000F74B0000}"/>
    <cellStyle name="20% - Accent6 8 2 2 3 2 2 2" xfId="44632" xr:uid="{00000000-0005-0000-0000-0000F84B0000}"/>
    <cellStyle name="20% - Accent6 8 2 2 3 2 3" xfId="33331" xr:uid="{00000000-0005-0000-0000-0000F94B0000}"/>
    <cellStyle name="20% - Accent6 8 2 2 3 3" xfId="16380" xr:uid="{00000000-0005-0000-0000-0000FA4B0000}"/>
    <cellStyle name="20% - Accent6 8 2 2 3 3 2" xfId="38982" xr:uid="{00000000-0005-0000-0000-0000FB4B0000}"/>
    <cellStyle name="20% - Accent6 8 2 2 3 4" xfId="27681" xr:uid="{00000000-0005-0000-0000-0000FC4B0000}"/>
    <cellStyle name="20% - Accent6 8 2 2 4" xfId="7661" xr:uid="{00000000-0005-0000-0000-0000FD4B0000}"/>
    <cellStyle name="20% - Accent6 8 2 2 4 2" xfId="18962" xr:uid="{00000000-0005-0000-0000-0000FE4B0000}"/>
    <cellStyle name="20% - Accent6 8 2 2 4 2 2" xfId="41564" xr:uid="{00000000-0005-0000-0000-0000FF4B0000}"/>
    <cellStyle name="20% - Accent6 8 2 2 4 3" xfId="30263" xr:uid="{00000000-0005-0000-0000-0000004C0000}"/>
    <cellStyle name="20% - Accent6 8 2 2 5" xfId="13312" xr:uid="{00000000-0005-0000-0000-0000014C0000}"/>
    <cellStyle name="20% - Accent6 8 2 2 5 2" xfId="35914" xr:uid="{00000000-0005-0000-0000-0000024C0000}"/>
    <cellStyle name="20% - Accent6 8 2 2 6" xfId="24613" xr:uid="{00000000-0005-0000-0000-0000034C0000}"/>
    <cellStyle name="20% - Accent6 8 2 3" xfId="2670" xr:uid="{00000000-0005-0000-0000-0000044C0000}"/>
    <cellStyle name="20% - Accent6 8 2 3 2" xfId="5689" xr:uid="{00000000-0005-0000-0000-0000054C0000}"/>
    <cellStyle name="20% - Accent6 8 2 3 2 2" xfId="11339" xr:uid="{00000000-0005-0000-0000-0000064C0000}"/>
    <cellStyle name="20% - Accent6 8 2 3 2 2 2" xfId="22640" xr:uid="{00000000-0005-0000-0000-0000074C0000}"/>
    <cellStyle name="20% - Accent6 8 2 3 2 2 2 2" xfId="45242" xr:uid="{00000000-0005-0000-0000-0000084C0000}"/>
    <cellStyle name="20% - Accent6 8 2 3 2 2 3" xfId="33941" xr:uid="{00000000-0005-0000-0000-0000094C0000}"/>
    <cellStyle name="20% - Accent6 8 2 3 2 3" xfId="16990" xr:uid="{00000000-0005-0000-0000-00000A4C0000}"/>
    <cellStyle name="20% - Accent6 8 2 3 2 3 2" xfId="39592" xr:uid="{00000000-0005-0000-0000-00000B4C0000}"/>
    <cellStyle name="20% - Accent6 8 2 3 2 4" xfId="28291" xr:uid="{00000000-0005-0000-0000-00000C4C0000}"/>
    <cellStyle name="20% - Accent6 8 2 3 3" xfId="8506" xr:uid="{00000000-0005-0000-0000-00000D4C0000}"/>
    <cellStyle name="20% - Accent6 8 2 3 3 2" xfId="19807" xr:uid="{00000000-0005-0000-0000-00000E4C0000}"/>
    <cellStyle name="20% - Accent6 8 2 3 3 2 2" xfId="42409" xr:uid="{00000000-0005-0000-0000-00000F4C0000}"/>
    <cellStyle name="20% - Accent6 8 2 3 3 3" xfId="31108" xr:uid="{00000000-0005-0000-0000-0000104C0000}"/>
    <cellStyle name="20% - Accent6 8 2 3 4" xfId="14157" xr:uid="{00000000-0005-0000-0000-0000114C0000}"/>
    <cellStyle name="20% - Accent6 8 2 3 4 2" xfId="36759" xr:uid="{00000000-0005-0000-0000-0000124C0000}"/>
    <cellStyle name="20% - Accent6 8 2 3 5" xfId="25458" xr:uid="{00000000-0005-0000-0000-0000134C0000}"/>
    <cellStyle name="20% - Accent6 8 2 4" xfId="4455" xr:uid="{00000000-0005-0000-0000-0000144C0000}"/>
    <cellStyle name="20% - Accent6 8 2 4 2" xfId="10105" xr:uid="{00000000-0005-0000-0000-0000154C0000}"/>
    <cellStyle name="20% - Accent6 8 2 4 2 2" xfId="21406" xr:uid="{00000000-0005-0000-0000-0000164C0000}"/>
    <cellStyle name="20% - Accent6 8 2 4 2 2 2" xfId="44008" xr:uid="{00000000-0005-0000-0000-0000174C0000}"/>
    <cellStyle name="20% - Accent6 8 2 4 2 3" xfId="32707" xr:uid="{00000000-0005-0000-0000-0000184C0000}"/>
    <cellStyle name="20% - Accent6 8 2 4 3" xfId="15756" xr:uid="{00000000-0005-0000-0000-0000194C0000}"/>
    <cellStyle name="20% - Accent6 8 2 4 3 2" xfId="38358" xr:uid="{00000000-0005-0000-0000-00001A4C0000}"/>
    <cellStyle name="20% - Accent6 8 2 4 4" xfId="27057" xr:uid="{00000000-0005-0000-0000-00001B4C0000}"/>
    <cellStyle name="20% - Accent6 8 2 5" xfId="7251" xr:uid="{00000000-0005-0000-0000-00001C4C0000}"/>
    <cellStyle name="20% - Accent6 8 2 5 2" xfId="18552" xr:uid="{00000000-0005-0000-0000-00001D4C0000}"/>
    <cellStyle name="20% - Accent6 8 2 5 2 2" xfId="41154" xr:uid="{00000000-0005-0000-0000-00001E4C0000}"/>
    <cellStyle name="20% - Accent6 8 2 5 3" xfId="29853" xr:uid="{00000000-0005-0000-0000-00001F4C0000}"/>
    <cellStyle name="20% - Accent6 8 2 6" xfId="12902" xr:uid="{00000000-0005-0000-0000-0000204C0000}"/>
    <cellStyle name="20% - Accent6 8 2 6 2" xfId="35504" xr:uid="{00000000-0005-0000-0000-0000214C0000}"/>
    <cellStyle name="20% - Accent6 8 2 7" xfId="24203" xr:uid="{00000000-0005-0000-0000-0000224C0000}"/>
    <cellStyle name="20% - Accent6 8 3" xfId="969" xr:uid="{00000000-0005-0000-0000-0000234C0000}"/>
    <cellStyle name="20% - Accent6 8 3 2" xfId="3033" xr:uid="{00000000-0005-0000-0000-0000244C0000}"/>
    <cellStyle name="20% - Accent6 8 3 2 2" xfId="6005" xr:uid="{00000000-0005-0000-0000-0000254C0000}"/>
    <cellStyle name="20% - Accent6 8 3 2 2 2" xfId="11655" xr:uid="{00000000-0005-0000-0000-0000264C0000}"/>
    <cellStyle name="20% - Accent6 8 3 2 2 2 2" xfId="22956" xr:uid="{00000000-0005-0000-0000-0000274C0000}"/>
    <cellStyle name="20% - Accent6 8 3 2 2 2 2 2" xfId="45558" xr:uid="{00000000-0005-0000-0000-0000284C0000}"/>
    <cellStyle name="20% - Accent6 8 3 2 2 2 3" xfId="34257" xr:uid="{00000000-0005-0000-0000-0000294C0000}"/>
    <cellStyle name="20% - Accent6 8 3 2 2 3" xfId="17306" xr:uid="{00000000-0005-0000-0000-00002A4C0000}"/>
    <cellStyle name="20% - Accent6 8 3 2 2 3 2" xfId="39908" xr:uid="{00000000-0005-0000-0000-00002B4C0000}"/>
    <cellStyle name="20% - Accent6 8 3 2 2 4" xfId="28607" xr:uid="{00000000-0005-0000-0000-00002C4C0000}"/>
    <cellStyle name="20% - Accent6 8 3 2 3" xfId="8823" xr:uid="{00000000-0005-0000-0000-00002D4C0000}"/>
    <cellStyle name="20% - Accent6 8 3 2 3 2" xfId="20124" xr:uid="{00000000-0005-0000-0000-00002E4C0000}"/>
    <cellStyle name="20% - Accent6 8 3 2 3 2 2" xfId="42726" xr:uid="{00000000-0005-0000-0000-00002F4C0000}"/>
    <cellStyle name="20% - Accent6 8 3 2 3 3" xfId="31425" xr:uid="{00000000-0005-0000-0000-0000304C0000}"/>
    <cellStyle name="20% - Accent6 8 3 2 4" xfId="14474" xr:uid="{00000000-0005-0000-0000-0000314C0000}"/>
    <cellStyle name="20% - Accent6 8 3 2 4 2" xfId="37076" xr:uid="{00000000-0005-0000-0000-0000324C0000}"/>
    <cellStyle name="20% - Accent6 8 3 2 5" xfId="25775" xr:uid="{00000000-0005-0000-0000-0000334C0000}"/>
    <cellStyle name="20% - Accent6 8 3 3" xfId="4771" xr:uid="{00000000-0005-0000-0000-0000344C0000}"/>
    <cellStyle name="20% - Accent6 8 3 3 2" xfId="10421" xr:uid="{00000000-0005-0000-0000-0000354C0000}"/>
    <cellStyle name="20% - Accent6 8 3 3 2 2" xfId="21722" xr:uid="{00000000-0005-0000-0000-0000364C0000}"/>
    <cellStyle name="20% - Accent6 8 3 3 2 2 2" xfId="44324" xr:uid="{00000000-0005-0000-0000-0000374C0000}"/>
    <cellStyle name="20% - Accent6 8 3 3 2 3" xfId="33023" xr:uid="{00000000-0005-0000-0000-0000384C0000}"/>
    <cellStyle name="20% - Accent6 8 3 3 3" xfId="16072" xr:uid="{00000000-0005-0000-0000-0000394C0000}"/>
    <cellStyle name="20% - Accent6 8 3 3 3 2" xfId="38674" xr:uid="{00000000-0005-0000-0000-00003A4C0000}"/>
    <cellStyle name="20% - Accent6 8 3 3 4" xfId="27373" xr:uid="{00000000-0005-0000-0000-00003B4C0000}"/>
    <cellStyle name="20% - Accent6 8 3 4" xfId="6958" xr:uid="{00000000-0005-0000-0000-00003C4C0000}"/>
    <cellStyle name="20% - Accent6 8 3 4 2" xfId="18259" xr:uid="{00000000-0005-0000-0000-00003D4C0000}"/>
    <cellStyle name="20% - Accent6 8 3 4 2 2" xfId="40861" xr:uid="{00000000-0005-0000-0000-00003E4C0000}"/>
    <cellStyle name="20% - Accent6 8 3 4 3" xfId="29560" xr:uid="{00000000-0005-0000-0000-00003F4C0000}"/>
    <cellStyle name="20% - Accent6 8 3 5" xfId="12609" xr:uid="{00000000-0005-0000-0000-0000404C0000}"/>
    <cellStyle name="20% - Accent6 8 3 5 2" xfId="35211" xr:uid="{00000000-0005-0000-0000-0000414C0000}"/>
    <cellStyle name="20% - Accent6 8 3 6" xfId="23910" xr:uid="{00000000-0005-0000-0000-0000424C0000}"/>
    <cellStyle name="20% - Accent6 8 4" xfId="1804" xr:uid="{00000000-0005-0000-0000-0000434C0000}"/>
    <cellStyle name="20% - Accent6 8 4 2" xfId="3699" xr:uid="{00000000-0005-0000-0000-0000444C0000}"/>
    <cellStyle name="20% - Accent6 8 4 2 2" xfId="9410" xr:uid="{00000000-0005-0000-0000-0000454C0000}"/>
    <cellStyle name="20% - Accent6 8 4 2 2 2" xfId="20711" xr:uid="{00000000-0005-0000-0000-0000464C0000}"/>
    <cellStyle name="20% - Accent6 8 4 2 2 2 2" xfId="43313" xr:uid="{00000000-0005-0000-0000-0000474C0000}"/>
    <cellStyle name="20% - Accent6 8 4 2 2 3" xfId="32012" xr:uid="{00000000-0005-0000-0000-0000484C0000}"/>
    <cellStyle name="20% - Accent6 8 4 2 3" xfId="15061" xr:uid="{00000000-0005-0000-0000-0000494C0000}"/>
    <cellStyle name="20% - Accent6 8 4 2 3 2" xfId="37663" xr:uid="{00000000-0005-0000-0000-00004A4C0000}"/>
    <cellStyle name="20% - Accent6 8 4 2 4" xfId="26362" xr:uid="{00000000-0005-0000-0000-00004B4C0000}"/>
    <cellStyle name="20% - Accent6 8 4 3" xfId="5381" xr:uid="{00000000-0005-0000-0000-00004C4C0000}"/>
    <cellStyle name="20% - Accent6 8 4 3 2" xfId="11031" xr:uid="{00000000-0005-0000-0000-00004D4C0000}"/>
    <cellStyle name="20% - Accent6 8 4 3 2 2" xfId="22332" xr:uid="{00000000-0005-0000-0000-00004E4C0000}"/>
    <cellStyle name="20% - Accent6 8 4 3 2 2 2" xfId="44934" xr:uid="{00000000-0005-0000-0000-00004F4C0000}"/>
    <cellStyle name="20% - Accent6 8 4 3 2 3" xfId="33633" xr:uid="{00000000-0005-0000-0000-0000504C0000}"/>
    <cellStyle name="20% - Accent6 8 4 3 3" xfId="16682" xr:uid="{00000000-0005-0000-0000-0000514C0000}"/>
    <cellStyle name="20% - Accent6 8 4 3 3 2" xfId="39284" xr:uid="{00000000-0005-0000-0000-0000524C0000}"/>
    <cellStyle name="20% - Accent6 8 4 3 4" xfId="27983" xr:uid="{00000000-0005-0000-0000-0000534C0000}"/>
    <cellStyle name="20% - Accent6 8 4 4" xfId="7660" xr:uid="{00000000-0005-0000-0000-0000544C0000}"/>
    <cellStyle name="20% - Accent6 8 4 4 2" xfId="18961" xr:uid="{00000000-0005-0000-0000-0000554C0000}"/>
    <cellStyle name="20% - Accent6 8 4 4 2 2" xfId="41563" xr:uid="{00000000-0005-0000-0000-0000564C0000}"/>
    <cellStyle name="20% - Accent6 8 4 4 3" xfId="30262" xr:uid="{00000000-0005-0000-0000-0000574C0000}"/>
    <cellStyle name="20% - Accent6 8 4 5" xfId="13311" xr:uid="{00000000-0005-0000-0000-0000584C0000}"/>
    <cellStyle name="20% - Accent6 8 4 5 2" xfId="35913" xr:uid="{00000000-0005-0000-0000-0000594C0000}"/>
    <cellStyle name="20% - Accent6 8 4 6" xfId="24612" xr:uid="{00000000-0005-0000-0000-00005A4C0000}"/>
    <cellStyle name="20% - Accent6 8 5" xfId="2362" xr:uid="{00000000-0005-0000-0000-00005B4C0000}"/>
    <cellStyle name="20% - Accent6 8 5 2" xfId="8198" xr:uid="{00000000-0005-0000-0000-00005C4C0000}"/>
    <cellStyle name="20% - Accent6 8 5 2 2" xfId="19499" xr:uid="{00000000-0005-0000-0000-00005D4C0000}"/>
    <cellStyle name="20% - Accent6 8 5 2 2 2" xfId="42101" xr:uid="{00000000-0005-0000-0000-00005E4C0000}"/>
    <cellStyle name="20% - Accent6 8 5 2 3" xfId="30800" xr:uid="{00000000-0005-0000-0000-00005F4C0000}"/>
    <cellStyle name="20% - Accent6 8 5 3" xfId="13849" xr:uid="{00000000-0005-0000-0000-0000604C0000}"/>
    <cellStyle name="20% - Accent6 8 5 3 2" xfId="36451" xr:uid="{00000000-0005-0000-0000-0000614C0000}"/>
    <cellStyle name="20% - Accent6 8 5 4" xfId="25150" xr:uid="{00000000-0005-0000-0000-0000624C0000}"/>
    <cellStyle name="20% - Accent6 8 6" xfId="4147" xr:uid="{00000000-0005-0000-0000-0000634C0000}"/>
    <cellStyle name="20% - Accent6 8 6 2" xfId="9797" xr:uid="{00000000-0005-0000-0000-0000644C0000}"/>
    <cellStyle name="20% - Accent6 8 6 2 2" xfId="21098" xr:uid="{00000000-0005-0000-0000-0000654C0000}"/>
    <cellStyle name="20% - Accent6 8 6 2 2 2" xfId="43700" xr:uid="{00000000-0005-0000-0000-0000664C0000}"/>
    <cellStyle name="20% - Accent6 8 6 2 3" xfId="32399" xr:uid="{00000000-0005-0000-0000-0000674C0000}"/>
    <cellStyle name="20% - Accent6 8 6 3" xfId="15448" xr:uid="{00000000-0005-0000-0000-0000684C0000}"/>
    <cellStyle name="20% - Accent6 8 6 3 2" xfId="38050" xr:uid="{00000000-0005-0000-0000-0000694C0000}"/>
    <cellStyle name="20% - Accent6 8 6 4" xfId="26749" xr:uid="{00000000-0005-0000-0000-00006A4C0000}"/>
    <cellStyle name="20% - Accent6 8 7" xfId="6598" xr:uid="{00000000-0005-0000-0000-00006B4C0000}"/>
    <cellStyle name="20% - Accent6 8 7 2" xfId="17899" xr:uid="{00000000-0005-0000-0000-00006C4C0000}"/>
    <cellStyle name="20% - Accent6 8 7 2 2" xfId="40501" xr:uid="{00000000-0005-0000-0000-00006D4C0000}"/>
    <cellStyle name="20% - Accent6 8 7 3" xfId="29200" xr:uid="{00000000-0005-0000-0000-00006E4C0000}"/>
    <cellStyle name="20% - Accent6 8 8" xfId="12249" xr:uid="{00000000-0005-0000-0000-00006F4C0000}"/>
    <cellStyle name="20% - Accent6 8 8 2" xfId="34851" xr:uid="{00000000-0005-0000-0000-0000704C0000}"/>
    <cellStyle name="20% - Accent6 8 9" xfId="23550" xr:uid="{00000000-0005-0000-0000-0000714C0000}"/>
    <cellStyle name="20% - Accent6 9" xfId="703" xr:uid="{00000000-0005-0000-0000-0000724C0000}"/>
    <cellStyle name="20% - Accent6 9 2" xfId="768" xr:uid="{00000000-0005-0000-0000-0000734C0000}"/>
    <cellStyle name="20% - Accent6 9 2 2" xfId="3173" xr:uid="{00000000-0005-0000-0000-0000744C0000}"/>
    <cellStyle name="20% - Accent6 9 2 2 2" xfId="6145" xr:uid="{00000000-0005-0000-0000-0000754C0000}"/>
    <cellStyle name="20% - Accent6 9 2 2 2 2" xfId="11795" xr:uid="{00000000-0005-0000-0000-0000764C0000}"/>
    <cellStyle name="20% - Accent6 9 2 2 2 2 2" xfId="23096" xr:uid="{00000000-0005-0000-0000-0000774C0000}"/>
    <cellStyle name="20% - Accent6 9 2 2 2 2 2 2" xfId="45698" xr:uid="{00000000-0005-0000-0000-0000784C0000}"/>
    <cellStyle name="20% - Accent6 9 2 2 2 2 3" xfId="34397" xr:uid="{00000000-0005-0000-0000-0000794C0000}"/>
    <cellStyle name="20% - Accent6 9 2 2 2 3" xfId="17446" xr:uid="{00000000-0005-0000-0000-00007A4C0000}"/>
    <cellStyle name="20% - Accent6 9 2 2 2 3 2" xfId="40048" xr:uid="{00000000-0005-0000-0000-00007B4C0000}"/>
    <cellStyle name="20% - Accent6 9 2 2 2 4" xfId="28747" xr:uid="{00000000-0005-0000-0000-00007C4C0000}"/>
    <cellStyle name="20% - Accent6 9 2 2 3" xfId="8963" xr:uid="{00000000-0005-0000-0000-00007D4C0000}"/>
    <cellStyle name="20% - Accent6 9 2 2 3 2" xfId="20264" xr:uid="{00000000-0005-0000-0000-00007E4C0000}"/>
    <cellStyle name="20% - Accent6 9 2 2 3 2 2" xfId="42866" xr:uid="{00000000-0005-0000-0000-00007F4C0000}"/>
    <cellStyle name="20% - Accent6 9 2 2 3 3" xfId="31565" xr:uid="{00000000-0005-0000-0000-0000804C0000}"/>
    <cellStyle name="20% - Accent6 9 2 2 4" xfId="14614" xr:uid="{00000000-0005-0000-0000-0000814C0000}"/>
    <cellStyle name="20% - Accent6 9 2 2 4 2" xfId="37216" xr:uid="{00000000-0005-0000-0000-0000824C0000}"/>
    <cellStyle name="20% - Accent6 9 2 2 5" xfId="25915" xr:uid="{00000000-0005-0000-0000-0000834C0000}"/>
    <cellStyle name="20% - Accent6 9 2 3" xfId="4911" xr:uid="{00000000-0005-0000-0000-0000844C0000}"/>
    <cellStyle name="20% - Accent6 9 2 3 2" xfId="10561" xr:uid="{00000000-0005-0000-0000-0000854C0000}"/>
    <cellStyle name="20% - Accent6 9 2 3 2 2" xfId="21862" xr:uid="{00000000-0005-0000-0000-0000864C0000}"/>
    <cellStyle name="20% - Accent6 9 2 3 2 2 2" xfId="44464" xr:uid="{00000000-0005-0000-0000-0000874C0000}"/>
    <cellStyle name="20% - Accent6 9 2 3 2 3" xfId="33163" xr:uid="{00000000-0005-0000-0000-0000884C0000}"/>
    <cellStyle name="20% - Accent6 9 2 3 3" xfId="16212" xr:uid="{00000000-0005-0000-0000-0000894C0000}"/>
    <cellStyle name="20% - Accent6 9 2 3 3 2" xfId="38814" xr:uid="{00000000-0005-0000-0000-00008A4C0000}"/>
    <cellStyle name="20% - Accent6 9 2 3 4" xfId="27513" xr:uid="{00000000-0005-0000-0000-00008B4C0000}"/>
    <cellStyle name="20% - Accent6 9 2 4" xfId="6787" xr:uid="{00000000-0005-0000-0000-00008C4C0000}"/>
    <cellStyle name="20% - Accent6 9 2 4 2" xfId="18088" xr:uid="{00000000-0005-0000-0000-00008D4C0000}"/>
    <cellStyle name="20% - Accent6 9 2 4 2 2" xfId="40690" xr:uid="{00000000-0005-0000-0000-00008E4C0000}"/>
    <cellStyle name="20% - Accent6 9 2 4 3" xfId="29389" xr:uid="{00000000-0005-0000-0000-00008F4C0000}"/>
    <cellStyle name="20% - Accent6 9 2 5" xfId="12438" xr:uid="{00000000-0005-0000-0000-0000904C0000}"/>
    <cellStyle name="20% - Accent6 9 2 5 2" xfId="35040" xr:uid="{00000000-0005-0000-0000-0000914C0000}"/>
    <cellStyle name="20% - Accent6 9 2 6" xfId="23739" xr:uid="{00000000-0005-0000-0000-0000924C0000}"/>
    <cellStyle name="20% - Accent6 9 3" xfId="1806" xr:uid="{00000000-0005-0000-0000-0000934C0000}"/>
    <cellStyle name="20% - Accent6 9 3 2" xfId="3700" xr:uid="{00000000-0005-0000-0000-0000944C0000}"/>
    <cellStyle name="20% - Accent6 9 3 2 2" xfId="9411" xr:uid="{00000000-0005-0000-0000-0000954C0000}"/>
    <cellStyle name="20% - Accent6 9 3 2 2 2" xfId="20712" xr:uid="{00000000-0005-0000-0000-0000964C0000}"/>
    <cellStyle name="20% - Accent6 9 3 2 2 2 2" xfId="43314" xr:uid="{00000000-0005-0000-0000-0000974C0000}"/>
    <cellStyle name="20% - Accent6 9 3 2 2 3" xfId="32013" xr:uid="{00000000-0005-0000-0000-0000984C0000}"/>
    <cellStyle name="20% - Accent6 9 3 2 3" xfId="15062" xr:uid="{00000000-0005-0000-0000-0000994C0000}"/>
    <cellStyle name="20% - Accent6 9 3 2 3 2" xfId="37664" xr:uid="{00000000-0005-0000-0000-00009A4C0000}"/>
    <cellStyle name="20% - Accent6 9 3 2 4" xfId="26363" xr:uid="{00000000-0005-0000-0000-00009B4C0000}"/>
    <cellStyle name="20% - Accent6 9 3 3" xfId="5521" xr:uid="{00000000-0005-0000-0000-00009C4C0000}"/>
    <cellStyle name="20% - Accent6 9 3 3 2" xfId="11171" xr:uid="{00000000-0005-0000-0000-00009D4C0000}"/>
    <cellStyle name="20% - Accent6 9 3 3 2 2" xfId="22472" xr:uid="{00000000-0005-0000-0000-00009E4C0000}"/>
    <cellStyle name="20% - Accent6 9 3 3 2 2 2" xfId="45074" xr:uid="{00000000-0005-0000-0000-00009F4C0000}"/>
    <cellStyle name="20% - Accent6 9 3 3 2 3" xfId="33773" xr:uid="{00000000-0005-0000-0000-0000A04C0000}"/>
    <cellStyle name="20% - Accent6 9 3 3 3" xfId="16822" xr:uid="{00000000-0005-0000-0000-0000A14C0000}"/>
    <cellStyle name="20% - Accent6 9 3 3 3 2" xfId="39424" xr:uid="{00000000-0005-0000-0000-0000A24C0000}"/>
    <cellStyle name="20% - Accent6 9 3 3 4" xfId="28123" xr:uid="{00000000-0005-0000-0000-0000A34C0000}"/>
    <cellStyle name="20% - Accent6 9 3 4" xfId="7662" xr:uid="{00000000-0005-0000-0000-0000A44C0000}"/>
    <cellStyle name="20% - Accent6 9 3 4 2" xfId="18963" xr:uid="{00000000-0005-0000-0000-0000A54C0000}"/>
    <cellStyle name="20% - Accent6 9 3 4 2 2" xfId="41565" xr:uid="{00000000-0005-0000-0000-0000A64C0000}"/>
    <cellStyle name="20% - Accent6 9 3 4 3" xfId="30264" xr:uid="{00000000-0005-0000-0000-0000A74C0000}"/>
    <cellStyle name="20% - Accent6 9 3 5" xfId="13313" xr:uid="{00000000-0005-0000-0000-0000A84C0000}"/>
    <cellStyle name="20% - Accent6 9 3 5 2" xfId="35915" xr:uid="{00000000-0005-0000-0000-0000A94C0000}"/>
    <cellStyle name="20% - Accent6 9 3 6" xfId="24614" xr:uid="{00000000-0005-0000-0000-0000AA4C0000}"/>
    <cellStyle name="20% - Accent6 9 4" xfId="2502" xr:uid="{00000000-0005-0000-0000-0000AB4C0000}"/>
    <cellStyle name="20% - Accent6 9 4 2" xfId="8338" xr:uid="{00000000-0005-0000-0000-0000AC4C0000}"/>
    <cellStyle name="20% - Accent6 9 4 2 2" xfId="19639" xr:uid="{00000000-0005-0000-0000-0000AD4C0000}"/>
    <cellStyle name="20% - Accent6 9 4 2 2 2" xfId="42241" xr:uid="{00000000-0005-0000-0000-0000AE4C0000}"/>
    <cellStyle name="20% - Accent6 9 4 2 3" xfId="30940" xr:uid="{00000000-0005-0000-0000-0000AF4C0000}"/>
    <cellStyle name="20% - Accent6 9 4 3" xfId="13989" xr:uid="{00000000-0005-0000-0000-0000B04C0000}"/>
    <cellStyle name="20% - Accent6 9 4 3 2" xfId="36591" xr:uid="{00000000-0005-0000-0000-0000B14C0000}"/>
    <cellStyle name="20% - Accent6 9 4 4" xfId="25290" xr:uid="{00000000-0005-0000-0000-0000B24C0000}"/>
    <cellStyle name="20% - Accent6 9 5" xfId="4287" xr:uid="{00000000-0005-0000-0000-0000B34C0000}"/>
    <cellStyle name="20% - Accent6 9 5 2" xfId="9937" xr:uid="{00000000-0005-0000-0000-0000B44C0000}"/>
    <cellStyle name="20% - Accent6 9 5 2 2" xfId="21238" xr:uid="{00000000-0005-0000-0000-0000B54C0000}"/>
    <cellStyle name="20% - Accent6 9 5 2 2 2" xfId="43840" xr:uid="{00000000-0005-0000-0000-0000B64C0000}"/>
    <cellStyle name="20% - Accent6 9 5 2 3" xfId="32539" xr:uid="{00000000-0005-0000-0000-0000B74C0000}"/>
    <cellStyle name="20% - Accent6 9 5 3" xfId="15588" xr:uid="{00000000-0005-0000-0000-0000B84C0000}"/>
    <cellStyle name="20% - Accent6 9 5 3 2" xfId="38190" xr:uid="{00000000-0005-0000-0000-0000B94C0000}"/>
    <cellStyle name="20% - Accent6 9 5 4" xfId="26889" xr:uid="{00000000-0005-0000-0000-0000BA4C0000}"/>
    <cellStyle name="20% - Accent6 9 6" xfId="6766" xr:uid="{00000000-0005-0000-0000-0000BB4C0000}"/>
    <cellStyle name="20% - Accent6 9 6 2" xfId="18067" xr:uid="{00000000-0005-0000-0000-0000BC4C0000}"/>
    <cellStyle name="20% - Accent6 9 6 2 2" xfId="40669" xr:uid="{00000000-0005-0000-0000-0000BD4C0000}"/>
    <cellStyle name="20% - Accent6 9 6 3" xfId="29368" xr:uid="{00000000-0005-0000-0000-0000BE4C0000}"/>
    <cellStyle name="20% - Accent6 9 7" xfId="12417" xr:uid="{00000000-0005-0000-0000-0000BF4C0000}"/>
    <cellStyle name="20% - Accent6 9 7 2" xfId="35019" xr:uid="{00000000-0005-0000-0000-0000C04C0000}"/>
    <cellStyle name="20% - Accent6 9 8" xfId="23718" xr:uid="{00000000-0005-0000-0000-0000C14C0000}"/>
    <cellStyle name="40% - Accent1" xfId="20" builtinId="31" customBuiltin="1"/>
    <cellStyle name="40% - Accent1 10" xfId="1408" xr:uid="{00000000-0005-0000-0000-0000C34C0000}"/>
    <cellStyle name="40% - Accent1 10 2" xfId="1807" xr:uid="{00000000-0005-0000-0000-0000C44C0000}"/>
    <cellStyle name="40% - Accent1 10 2 2" xfId="3470" xr:uid="{00000000-0005-0000-0000-0000C54C0000}"/>
    <cellStyle name="40% - Accent1 10 2 2 2" xfId="6442" xr:uid="{00000000-0005-0000-0000-0000C64C0000}"/>
    <cellStyle name="40% - Accent1 10 2 2 2 2" xfId="12092" xr:uid="{00000000-0005-0000-0000-0000C74C0000}"/>
    <cellStyle name="40% - Accent1 10 2 2 2 2 2" xfId="23393" xr:uid="{00000000-0005-0000-0000-0000C84C0000}"/>
    <cellStyle name="40% - Accent1 10 2 2 2 2 2 2" xfId="45995" xr:uid="{00000000-0005-0000-0000-0000C94C0000}"/>
    <cellStyle name="40% - Accent1 10 2 2 2 2 3" xfId="34694" xr:uid="{00000000-0005-0000-0000-0000CA4C0000}"/>
    <cellStyle name="40% - Accent1 10 2 2 2 3" xfId="17743" xr:uid="{00000000-0005-0000-0000-0000CB4C0000}"/>
    <cellStyle name="40% - Accent1 10 2 2 2 3 2" xfId="40345" xr:uid="{00000000-0005-0000-0000-0000CC4C0000}"/>
    <cellStyle name="40% - Accent1 10 2 2 2 4" xfId="29044" xr:uid="{00000000-0005-0000-0000-0000CD4C0000}"/>
    <cellStyle name="40% - Accent1 10 2 2 3" xfId="9260" xr:uid="{00000000-0005-0000-0000-0000CE4C0000}"/>
    <cellStyle name="40% - Accent1 10 2 2 3 2" xfId="20561" xr:uid="{00000000-0005-0000-0000-0000CF4C0000}"/>
    <cellStyle name="40% - Accent1 10 2 2 3 2 2" xfId="43163" xr:uid="{00000000-0005-0000-0000-0000D04C0000}"/>
    <cellStyle name="40% - Accent1 10 2 2 3 3" xfId="31862" xr:uid="{00000000-0005-0000-0000-0000D14C0000}"/>
    <cellStyle name="40% - Accent1 10 2 2 4" xfId="14911" xr:uid="{00000000-0005-0000-0000-0000D24C0000}"/>
    <cellStyle name="40% - Accent1 10 2 2 4 2" xfId="37513" xr:uid="{00000000-0005-0000-0000-0000D34C0000}"/>
    <cellStyle name="40% - Accent1 10 2 2 5" xfId="26212" xr:uid="{00000000-0005-0000-0000-0000D44C0000}"/>
    <cellStyle name="40% - Accent1 10 2 3" xfId="5208" xr:uid="{00000000-0005-0000-0000-0000D54C0000}"/>
    <cellStyle name="40% - Accent1 10 2 3 2" xfId="10858" xr:uid="{00000000-0005-0000-0000-0000D64C0000}"/>
    <cellStyle name="40% - Accent1 10 2 3 2 2" xfId="22159" xr:uid="{00000000-0005-0000-0000-0000D74C0000}"/>
    <cellStyle name="40% - Accent1 10 2 3 2 2 2" xfId="44761" xr:uid="{00000000-0005-0000-0000-0000D84C0000}"/>
    <cellStyle name="40% - Accent1 10 2 3 2 3" xfId="33460" xr:uid="{00000000-0005-0000-0000-0000D94C0000}"/>
    <cellStyle name="40% - Accent1 10 2 3 3" xfId="16509" xr:uid="{00000000-0005-0000-0000-0000DA4C0000}"/>
    <cellStyle name="40% - Accent1 10 2 3 3 2" xfId="39111" xr:uid="{00000000-0005-0000-0000-0000DB4C0000}"/>
    <cellStyle name="40% - Accent1 10 2 3 4" xfId="27810" xr:uid="{00000000-0005-0000-0000-0000DC4C0000}"/>
    <cellStyle name="40% - Accent1 10 2 4" xfId="7663" xr:uid="{00000000-0005-0000-0000-0000DD4C0000}"/>
    <cellStyle name="40% - Accent1 10 2 4 2" xfId="18964" xr:uid="{00000000-0005-0000-0000-0000DE4C0000}"/>
    <cellStyle name="40% - Accent1 10 2 4 2 2" xfId="41566" xr:uid="{00000000-0005-0000-0000-0000DF4C0000}"/>
    <cellStyle name="40% - Accent1 10 2 4 3" xfId="30265" xr:uid="{00000000-0005-0000-0000-0000E04C0000}"/>
    <cellStyle name="40% - Accent1 10 2 5" xfId="13314" xr:uid="{00000000-0005-0000-0000-0000E14C0000}"/>
    <cellStyle name="40% - Accent1 10 2 5 2" xfId="35916" xr:uid="{00000000-0005-0000-0000-0000E24C0000}"/>
    <cellStyle name="40% - Accent1 10 2 6" xfId="24615" xr:uid="{00000000-0005-0000-0000-0000E34C0000}"/>
    <cellStyle name="40% - Accent1 10 3" xfId="2801" xr:uid="{00000000-0005-0000-0000-0000E44C0000}"/>
    <cellStyle name="40% - Accent1 10 3 2" xfId="5818" xr:uid="{00000000-0005-0000-0000-0000E54C0000}"/>
    <cellStyle name="40% - Accent1 10 3 2 2" xfId="11468" xr:uid="{00000000-0005-0000-0000-0000E64C0000}"/>
    <cellStyle name="40% - Accent1 10 3 2 2 2" xfId="22769" xr:uid="{00000000-0005-0000-0000-0000E74C0000}"/>
    <cellStyle name="40% - Accent1 10 3 2 2 2 2" xfId="45371" xr:uid="{00000000-0005-0000-0000-0000E84C0000}"/>
    <cellStyle name="40% - Accent1 10 3 2 2 3" xfId="34070" xr:uid="{00000000-0005-0000-0000-0000E94C0000}"/>
    <cellStyle name="40% - Accent1 10 3 2 3" xfId="17119" xr:uid="{00000000-0005-0000-0000-0000EA4C0000}"/>
    <cellStyle name="40% - Accent1 10 3 2 3 2" xfId="39721" xr:uid="{00000000-0005-0000-0000-0000EB4C0000}"/>
    <cellStyle name="40% - Accent1 10 3 2 4" xfId="28420" xr:uid="{00000000-0005-0000-0000-0000EC4C0000}"/>
    <cellStyle name="40% - Accent1 10 3 3" xfId="8635" xr:uid="{00000000-0005-0000-0000-0000ED4C0000}"/>
    <cellStyle name="40% - Accent1 10 3 3 2" xfId="19936" xr:uid="{00000000-0005-0000-0000-0000EE4C0000}"/>
    <cellStyle name="40% - Accent1 10 3 3 2 2" xfId="42538" xr:uid="{00000000-0005-0000-0000-0000EF4C0000}"/>
    <cellStyle name="40% - Accent1 10 3 3 3" xfId="31237" xr:uid="{00000000-0005-0000-0000-0000F04C0000}"/>
    <cellStyle name="40% - Accent1 10 3 4" xfId="14286" xr:uid="{00000000-0005-0000-0000-0000F14C0000}"/>
    <cellStyle name="40% - Accent1 10 3 4 2" xfId="36888" xr:uid="{00000000-0005-0000-0000-0000F24C0000}"/>
    <cellStyle name="40% - Accent1 10 3 5" xfId="25587" xr:uid="{00000000-0005-0000-0000-0000F34C0000}"/>
    <cellStyle name="40% - Accent1 10 4" xfId="4584" xr:uid="{00000000-0005-0000-0000-0000F44C0000}"/>
    <cellStyle name="40% - Accent1 10 4 2" xfId="10234" xr:uid="{00000000-0005-0000-0000-0000F54C0000}"/>
    <cellStyle name="40% - Accent1 10 4 2 2" xfId="21535" xr:uid="{00000000-0005-0000-0000-0000F64C0000}"/>
    <cellStyle name="40% - Accent1 10 4 2 2 2" xfId="44137" xr:uid="{00000000-0005-0000-0000-0000F74C0000}"/>
    <cellStyle name="40% - Accent1 10 4 2 3" xfId="32836" xr:uid="{00000000-0005-0000-0000-0000F84C0000}"/>
    <cellStyle name="40% - Accent1 10 4 3" xfId="15885" xr:uid="{00000000-0005-0000-0000-0000F94C0000}"/>
    <cellStyle name="40% - Accent1 10 4 3 2" xfId="38487" xr:uid="{00000000-0005-0000-0000-0000FA4C0000}"/>
    <cellStyle name="40% - Accent1 10 4 4" xfId="27186" xr:uid="{00000000-0005-0000-0000-0000FB4C0000}"/>
    <cellStyle name="40% - Accent1 10 5" xfId="7378" xr:uid="{00000000-0005-0000-0000-0000FC4C0000}"/>
    <cellStyle name="40% - Accent1 10 5 2" xfId="18679" xr:uid="{00000000-0005-0000-0000-0000FD4C0000}"/>
    <cellStyle name="40% - Accent1 10 5 2 2" xfId="41281" xr:uid="{00000000-0005-0000-0000-0000FE4C0000}"/>
    <cellStyle name="40% - Accent1 10 5 3" xfId="29980" xr:uid="{00000000-0005-0000-0000-0000FF4C0000}"/>
    <cellStyle name="40% - Accent1 10 6" xfId="13029" xr:uid="{00000000-0005-0000-0000-0000004D0000}"/>
    <cellStyle name="40% - Accent1 10 6 2" xfId="35631" xr:uid="{00000000-0005-0000-0000-0000014D0000}"/>
    <cellStyle name="40% - Accent1 10 7" xfId="24330" xr:uid="{00000000-0005-0000-0000-0000024D0000}"/>
    <cellStyle name="40% - Accent1 11" xfId="726" xr:uid="{00000000-0005-0000-0000-0000034D0000}"/>
    <cellStyle name="40% - Accent1 11 2" xfId="1808" xr:uid="{00000000-0005-0000-0000-0000044D0000}"/>
    <cellStyle name="40% - Accent1 11 2 2" xfId="3701" xr:uid="{00000000-0005-0000-0000-0000054D0000}"/>
    <cellStyle name="40% - Accent1 11 2 2 2" xfId="9412" xr:uid="{00000000-0005-0000-0000-0000064D0000}"/>
    <cellStyle name="40% - Accent1 11 2 2 2 2" xfId="20713" xr:uid="{00000000-0005-0000-0000-0000074D0000}"/>
    <cellStyle name="40% - Accent1 11 2 2 2 2 2" xfId="43315" xr:uid="{00000000-0005-0000-0000-0000084D0000}"/>
    <cellStyle name="40% - Accent1 11 2 2 2 3" xfId="32014" xr:uid="{00000000-0005-0000-0000-0000094D0000}"/>
    <cellStyle name="40% - Accent1 11 2 2 3" xfId="15063" xr:uid="{00000000-0005-0000-0000-00000A4D0000}"/>
    <cellStyle name="40% - Accent1 11 2 2 3 2" xfId="37665" xr:uid="{00000000-0005-0000-0000-00000B4D0000}"/>
    <cellStyle name="40% - Accent1 11 2 2 4" xfId="26364" xr:uid="{00000000-0005-0000-0000-00000C4D0000}"/>
    <cellStyle name="40% - Accent1 11 2 3" xfId="7664" xr:uid="{00000000-0005-0000-0000-00000D4D0000}"/>
    <cellStyle name="40% - Accent1 11 2 3 2" xfId="18965" xr:uid="{00000000-0005-0000-0000-00000E4D0000}"/>
    <cellStyle name="40% - Accent1 11 2 3 2 2" xfId="41567" xr:uid="{00000000-0005-0000-0000-00000F4D0000}"/>
    <cellStyle name="40% - Accent1 11 2 3 3" xfId="30266" xr:uid="{00000000-0005-0000-0000-0000104D0000}"/>
    <cellStyle name="40% - Accent1 11 2 4" xfId="13315" xr:uid="{00000000-0005-0000-0000-0000114D0000}"/>
    <cellStyle name="40% - Accent1 11 2 4 2" xfId="35917" xr:uid="{00000000-0005-0000-0000-0000124D0000}"/>
    <cellStyle name="40% - Accent1 11 2 5" xfId="24616" xr:uid="{00000000-0005-0000-0000-0000134D0000}"/>
    <cellStyle name="40% - Accent1 11 3" xfId="2173" xr:uid="{00000000-0005-0000-0000-0000144D0000}"/>
    <cellStyle name="40% - Accent1 11 3 2" xfId="8018" xr:uid="{00000000-0005-0000-0000-0000154D0000}"/>
    <cellStyle name="40% - Accent1 11 3 2 2" xfId="19319" xr:uid="{00000000-0005-0000-0000-0000164D0000}"/>
    <cellStyle name="40% - Accent1 11 3 2 2 2" xfId="41921" xr:uid="{00000000-0005-0000-0000-0000174D0000}"/>
    <cellStyle name="40% - Accent1 11 3 2 3" xfId="30620" xr:uid="{00000000-0005-0000-0000-0000184D0000}"/>
    <cellStyle name="40% - Accent1 11 3 3" xfId="13669" xr:uid="{00000000-0005-0000-0000-0000194D0000}"/>
    <cellStyle name="40% - Accent1 11 3 3 2" xfId="36271" xr:uid="{00000000-0005-0000-0000-00001A4D0000}"/>
    <cellStyle name="40% - Accent1 11 3 4" xfId="24970" xr:uid="{00000000-0005-0000-0000-00001B4D0000}"/>
    <cellStyle name="40% - Accent1 11 4" xfId="3971" xr:uid="{00000000-0005-0000-0000-00001C4D0000}"/>
    <cellStyle name="40% - Accent1 11 4 2" xfId="9621" xr:uid="{00000000-0005-0000-0000-00001D4D0000}"/>
    <cellStyle name="40% - Accent1 11 4 2 2" xfId="20922" xr:uid="{00000000-0005-0000-0000-00001E4D0000}"/>
    <cellStyle name="40% - Accent1 11 4 2 2 2" xfId="43524" xr:uid="{00000000-0005-0000-0000-00001F4D0000}"/>
    <cellStyle name="40% - Accent1 11 4 2 3" xfId="32223" xr:uid="{00000000-0005-0000-0000-0000204D0000}"/>
    <cellStyle name="40% - Accent1 11 4 3" xfId="15272" xr:uid="{00000000-0005-0000-0000-0000214D0000}"/>
    <cellStyle name="40% - Accent1 11 4 3 2" xfId="37874" xr:uid="{00000000-0005-0000-0000-0000224D0000}"/>
    <cellStyle name="40% - Accent1 11 4 4" xfId="26573" xr:uid="{00000000-0005-0000-0000-0000234D0000}"/>
    <cellStyle name="40% - Accent1 11 5" xfId="6774" xr:uid="{00000000-0005-0000-0000-0000244D0000}"/>
    <cellStyle name="40% - Accent1 11 5 2" xfId="18075" xr:uid="{00000000-0005-0000-0000-0000254D0000}"/>
    <cellStyle name="40% - Accent1 11 5 2 2" xfId="40677" xr:uid="{00000000-0005-0000-0000-0000264D0000}"/>
    <cellStyle name="40% - Accent1 11 5 3" xfId="29376" xr:uid="{00000000-0005-0000-0000-0000274D0000}"/>
    <cellStyle name="40% - Accent1 11 6" xfId="12425" xr:uid="{00000000-0005-0000-0000-0000284D0000}"/>
    <cellStyle name="40% - Accent1 11 6 2" xfId="35027" xr:uid="{00000000-0005-0000-0000-0000294D0000}"/>
    <cellStyle name="40% - Accent1 11 7" xfId="23726" xr:uid="{00000000-0005-0000-0000-00002A4D0000}"/>
    <cellStyle name="40% - Accent1 12" xfId="1533" xr:uid="{00000000-0005-0000-0000-00002B4D0000}"/>
    <cellStyle name="40% - Accent1 12 2" xfId="3551" xr:uid="{00000000-0005-0000-0000-00002C4D0000}"/>
    <cellStyle name="40% - Accent1 12 2 2" xfId="9293" xr:uid="{00000000-0005-0000-0000-00002D4D0000}"/>
    <cellStyle name="40% - Accent1 12 2 2 2" xfId="20594" xr:uid="{00000000-0005-0000-0000-00002E4D0000}"/>
    <cellStyle name="40% - Accent1 12 2 2 2 2" xfId="43196" xr:uid="{00000000-0005-0000-0000-00002F4D0000}"/>
    <cellStyle name="40% - Accent1 12 2 2 3" xfId="31895" xr:uid="{00000000-0005-0000-0000-0000304D0000}"/>
    <cellStyle name="40% - Accent1 12 2 3" xfId="14944" xr:uid="{00000000-0005-0000-0000-0000314D0000}"/>
    <cellStyle name="40% - Accent1 12 2 3 2" xfId="37546" xr:uid="{00000000-0005-0000-0000-0000324D0000}"/>
    <cellStyle name="40% - Accent1 12 2 4" xfId="26245" xr:uid="{00000000-0005-0000-0000-0000334D0000}"/>
    <cellStyle name="40% - Accent1 13" xfId="3587" xr:uid="{00000000-0005-0000-0000-0000344D0000}"/>
    <cellStyle name="40% - Accent1 14" xfId="109" xr:uid="{00000000-0005-0000-0000-0000354D0000}"/>
    <cellStyle name="40% - Accent1 2" xfId="47" xr:uid="{00000000-0005-0000-0000-0000364D0000}"/>
    <cellStyle name="40% - Accent1 2 2" xfId="372" xr:uid="{00000000-0005-0000-0000-0000374D0000}"/>
    <cellStyle name="40% - Accent1 2 2 10" xfId="23478" xr:uid="{00000000-0005-0000-0000-0000384D0000}"/>
    <cellStyle name="40% - Accent1 2 2 2" xfId="628" xr:uid="{00000000-0005-0000-0000-0000394D0000}"/>
    <cellStyle name="40% - Accent1 2 2 2 2" xfId="1338" xr:uid="{00000000-0005-0000-0000-00003A4D0000}"/>
    <cellStyle name="40% - Accent1 2 2 2 2 2" xfId="1811" xr:uid="{00000000-0005-0000-0000-00003B4D0000}"/>
    <cellStyle name="40% - Accent1 2 2 2 2 2 2" xfId="3407" xr:uid="{00000000-0005-0000-0000-00003C4D0000}"/>
    <cellStyle name="40% - Accent1 2 2 2 2 2 2 2" xfId="6379" xr:uid="{00000000-0005-0000-0000-00003D4D0000}"/>
    <cellStyle name="40% - Accent1 2 2 2 2 2 2 2 2" xfId="12029" xr:uid="{00000000-0005-0000-0000-00003E4D0000}"/>
    <cellStyle name="40% - Accent1 2 2 2 2 2 2 2 2 2" xfId="23330" xr:uid="{00000000-0005-0000-0000-00003F4D0000}"/>
    <cellStyle name="40% - Accent1 2 2 2 2 2 2 2 2 2 2" xfId="45932" xr:uid="{00000000-0005-0000-0000-0000404D0000}"/>
    <cellStyle name="40% - Accent1 2 2 2 2 2 2 2 2 3" xfId="34631" xr:uid="{00000000-0005-0000-0000-0000414D0000}"/>
    <cellStyle name="40% - Accent1 2 2 2 2 2 2 2 3" xfId="17680" xr:uid="{00000000-0005-0000-0000-0000424D0000}"/>
    <cellStyle name="40% - Accent1 2 2 2 2 2 2 2 3 2" xfId="40282" xr:uid="{00000000-0005-0000-0000-0000434D0000}"/>
    <cellStyle name="40% - Accent1 2 2 2 2 2 2 2 4" xfId="28981" xr:uid="{00000000-0005-0000-0000-0000444D0000}"/>
    <cellStyle name="40% - Accent1 2 2 2 2 2 2 3" xfId="9197" xr:uid="{00000000-0005-0000-0000-0000454D0000}"/>
    <cellStyle name="40% - Accent1 2 2 2 2 2 2 3 2" xfId="20498" xr:uid="{00000000-0005-0000-0000-0000464D0000}"/>
    <cellStyle name="40% - Accent1 2 2 2 2 2 2 3 2 2" xfId="43100" xr:uid="{00000000-0005-0000-0000-0000474D0000}"/>
    <cellStyle name="40% - Accent1 2 2 2 2 2 2 3 3" xfId="31799" xr:uid="{00000000-0005-0000-0000-0000484D0000}"/>
    <cellStyle name="40% - Accent1 2 2 2 2 2 2 4" xfId="14848" xr:uid="{00000000-0005-0000-0000-0000494D0000}"/>
    <cellStyle name="40% - Accent1 2 2 2 2 2 2 4 2" xfId="37450" xr:uid="{00000000-0005-0000-0000-00004A4D0000}"/>
    <cellStyle name="40% - Accent1 2 2 2 2 2 2 5" xfId="26149" xr:uid="{00000000-0005-0000-0000-00004B4D0000}"/>
    <cellStyle name="40% - Accent1 2 2 2 2 2 3" xfId="5145" xr:uid="{00000000-0005-0000-0000-00004C4D0000}"/>
    <cellStyle name="40% - Accent1 2 2 2 2 2 3 2" xfId="10795" xr:uid="{00000000-0005-0000-0000-00004D4D0000}"/>
    <cellStyle name="40% - Accent1 2 2 2 2 2 3 2 2" xfId="22096" xr:uid="{00000000-0005-0000-0000-00004E4D0000}"/>
    <cellStyle name="40% - Accent1 2 2 2 2 2 3 2 2 2" xfId="44698" xr:uid="{00000000-0005-0000-0000-00004F4D0000}"/>
    <cellStyle name="40% - Accent1 2 2 2 2 2 3 2 3" xfId="33397" xr:uid="{00000000-0005-0000-0000-0000504D0000}"/>
    <cellStyle name="40% - Accent1 2 2 2 2 2 3 3" xfId="16446" xr:uid="{00000000-0005-0000-0000-0000514D0000}"/>
    <cellStyle name="40% - Accent1 2 2 2 2 2 3 3 2" xfId="39048" xr:uid="{00000000-0005-0000-0000-0000524D0000}"/>
    <cellStyle name="40% - Accent1 2 2 2 2 2 3 4" xfId="27747" xr:uid="{00000000-0005-0000-0000-0000534D0000}"/>
    <cellStyle name="40% - Accent1 2 2 2 2 2 4" xfId="7667" xr:uid="{00000000-0005-0000-0000-0000544D0000}"/>
    <cellStyle name="40% - Accent1 2 2 2 2 2 4 2" xfId="18968" xr:uid="{00000000-0005-0000-0000-0000554D0000}"/>
    <cellStyle name="40% - Accent1 2 2 2 2 2 4 2 2" xfId="41570" xr:uid="{00000000-0005-0000-0000-0000564D0000}"/>
    <cellStyle name="40% - Accent1 2 2 2 2 2 4 3" xfId="30269" xr:uid="{00000000-0005-0000-0000-0000574D0000}"/>
    <cellStyle name="40% - Accent1 2 2 2 2 2 5" xfId="13318" xr:uid="{00000000-0005-0000-0000-0000584D0000}"/>
    <cellStyle name="40% - Accent1 2 2 2 2 2 5 2" xfId="35920" xr:uid="{00000000-0005-0000-0000-0000594D0000}"/>
    <cellStyle name="40% - Accent1 2 2 2 2 2 6" xfId="24619" xr:uid="{00000000-0005-0000-0000-00005A4D0000}"/>
    <cellStyle name="40% - Accent1 2 2 2 2 3" xfId="2736" xr:uid="{00000000-0005-0000-0000-00005B4D0000}"/>
    <cellStyle name="40% - Accent1 2 2 2 2 3 2" xfId="5755" xr:uid="{00000000-0005-0000-0000-00005C4D0000}"/>
    <cellStyle name="40% - Accent1 2 2 2 2 3 2 2" xfId="11405" xr:uid="{00000000-0005-0000-0000-00005D4D0000}"/>
    <cellStyle name="40% - Accent1 2 2 2 2 3 2 2 2" xfId="22706" xr:uid="{00000000-0005-0000-0000-00005E4D0000}"/>
    <cellStyle name="40% - Accent1 2 2 2 2 3 2 2 2 2" xfId="45308" xr:uid="{00000000-0005-0000-0000-00005F4D0000}"/>
    <cellStyle name="40% - Accent1 2 2 2 2 3 2 2 3" xfId="34007" xr:uid="{00000000-0005-0000-0000-0000604D0000}"/>
    <cellStyle name="40% - Accent1 2 2 2 2 3 2 3" xfId="17056" xr:uid="{00000000-0005-0000-0000-0000614D0000}"/>
    <cellStyle name="40% - Accent1 2 2 2 2 3 2 3 2" xfId="39658" xr:uid="{00000000-0005-0000-0000-0000624D0000}"/>
    <cellStyle name="40% - Accent1 2 2 2 2 3 2 4" xfId="28357" xr:uid="{00000000-0005-0000-0000-0000634D0000}"/>
    <cellStyle name="40% - Accent1 2 2 2 2 3 3" xfId="8572" xr:uid="{00000000-0005-0000-0000-0000644D0000}"/>
    <cellStyle name="40% - Accent1 2 2 2 2 3 3 2" xfId="19873" xr:uid="{00000000-0005-0000-0000-0000654D0000}"/>
    <cellStyle name="40% - Accent1 2 2 2 2 3 3 2 2" xfId="42475" xr:uid="{00000000-0005-0000-0000-0000664D0000}"/>
    <cellStyle name="40% - Accent1 2 2 2 2 3 3 3" xfId="31174" xr:uid="{00000000-0005-0000-0000-0000674D0000}"/>
    <cellStyle name="40% - Accent1 2 2 2 2 3 4" xfId="14223" xr:uid="{00000000-0005-0000-0000-0000684D0000}"/>
    <cellStyle name="40% - Accent1 2 2 2 2 3 4 2" xfId="36825" xr:uid="{00000000-0005-0000-0000-0000694D0000}"/>
    <cellStyle name="40% - Accent1 2 2 2 2 3 5" xfId="25524" xr:uid="{00000000-0005-0000-0000-00006A4D0000}"/>
    <cellStyle name="40% - Accent1 2 2 2 2 4" xfId="4521" xr:uid="{00000000-0005-0000-0000-00006B4D0000}"/>
    <cellStyle name="40% - Accent1 2 2 2 2 4 2" xfId="10171" xr:uid="{00000000-0005-0000-0000-00006C4D0000}"/>
    <cellStyle name="40% - Accent1 2 2 2 2 4 2 2" xfId="21472" xr:uid="{00000000-0005-0000-0000-00006D4D0000}"/>
    <cellStyle name="40% - Accent1 2 2 2 2 4 2 2 2" xfId="44074" xr:uid="{00000000-0005-0000-0000-00006E4D0000}"/>
    <cellStyle name="40% - Accent1 2 2 2 2 4 2 3" xfId="32773" xr:uid="{00000000-0005-0000-0000-00006F4D0000}"/>
    <cellStyle name="40% - Accent1 2 2 2 2 4 3" xfId="15822" xr:uid="{00000000-0005-0000-0000-0000704D0000}"/>
    <cellStyle name="40% - Accent1 2 2 2 2 4 3 2" xfId="38424" xr:uid="{00000000-0005-0000-0000-0000714D0000}"/>
    <cellStyle name="40% - Accent1 2 2 2 2 4 4" xfId="27123" xr:uid="{00000000-0005-0000-0000-0000724D0000}"/>
    <cellStyle name="40% - Accent1 2 2 2 2 5" xfId="7317" xr:uid="{00000000-0005-0000-0000-0000734D0000}"/>
    <cellStyle name="40% - Accent1 2 2 2 2 5 2" xfId="18618" xr:uid="{00000000-0005-0000-0000-0000744D0000}"/>
    <cellStyle name="40% - Accent1 2 2 2 2 5 2 2" xfId="41220" xr:uid="{00000000-0005-0000-0000-0000754D0000}"/>
    <cellStyle name="40% - Accent1 2 2 2 2 5 3" xfId="29919" xr:uid="{00000000-0005-0000-0000-0000764D0000}"/>
    <cellStyle name="40% - Accent1 2 2 2 2 6" xfId="12968" xr:uid="{00000000-0005-0000-0000-0000774D0000}"/>
    <cellStyle name="40% - Accent1 2 2 2 2 6 2" xfId="35570" xr:uid="{00000000-0005-0000-0000-0000784D0000}"/>
    <cellStyle name="40% - Accent1 2 2 2 2 7" xfId="24269" xr:uid="{00000000-0005-0000-0000-0000794D0000}"/>
    <cellStyle name="40% - Accent1 2 2 2 3" xfId="1036" xr:uid="{00000000-0005-0000-0000-00007A4D0000}"/>
    <cellStyle name="40% - Accent1 2 2 2 3 2" xfId="3099" xr:uid="{00000000-0005-0000-0000-00007B4D0000}"/>
    <cellStyle name="40% - Accent1 2 2 2 3 2 2" xfId="6071" xr:uid="{00000000-0005-0000-0000-00007C4D0000}"/>
    <cellStyle name="40% - Accent1 2 2 2 3 2 2 2" xfId="11721" xr:uid="{00000000-0005-0000-0000-00007D4D0000}"/>
    <cellStyle name="40% - Accent1 2 2 2 3 2 2 2 2" xfId="23022" xr:uid="{00000000-0005-0000-0000-00007E4D0000}"/>
    <cellStyle name="40% - Accent1 2 2 2 3 2 2 2 2 2" xfId="45624" xr:uid="{00000000-0005-0000-0000-00007F4D0000}"/>
    <cellStyle name="40% - Accent1 2 2 2 3 2 2 2 3" xfId="34323" xr:uid="{00000000-0005-0000-0000-0000804D0000}"/>
    <cellStyle name="40% - Accent1 2 2 2 3 2 2 3" xfId="17372" xr:uid="{00000000-0005-0000-0000-0000814D0000}"/>
    <cellStyle name="40% - Accent1 2 2 2 3 2 2 3 2" xfId="39974" xr:uid="{00000000-0005-0000-0000-0000824D0000}"/>
    <cellStyle name="40% - Accent1 2 2 2 3 2 2 4" xfId="28673" xr:uid="{00000000-0005-0000-0000-0000834D0000}"/>
    <cellStyle name="40% - Accent1 2 2 2 3 2 3" xfId="8889" xr:uid="{00000000-0005-0000-0000-0000844D0000}"/>
    <cellStyle name="40% - Accent1 2 2 2 3 2 3 2" xfId="20190" xr:uid="{00000000-0005-0000-0000-0000854D0000}"/>
    <cellStyle name="40% - Accent1 2 2 2 3 2 3 2 2" xfId="42792" xr:uid="{00000000-0005-0000-0000-0000864D0000}"/>
    <cellStyle name="40% - Accent1 2 2 2 3 2 3 3" xfId="31491" xr:uid="{00000000-0005-0000-0000-0000874D0000}"/>
    <cellStyle name="40% - Accent1 2 2 2 3 2 4" xfId="14540" xr:uid="{00000000-0005-0000-0000-0000884D0000}"/>
    <cellStyle name="40% - Accent1 2 2 2 3 2 4 2" xfId="37142" xr:uid="{00000000-0005-0000-0000-0000894D0000}"/>
    <cellStyle name="40% - Accent1 2 2 2 3 2 5" xfId="25841" xr:uid="{00000000-0005-0000-0000-00008A4D0000}"/>
    <cellStyle name="40% - Accent1 2 2 2 3 3" xfId="4837" xr:uid="{00000000-0005-0000-0000-00008B4D0000}"/>
    <cellStyle name="40% - Accent1 2 2 2 3 3 2" xfId="10487" xr:uid="{00000000-0005-0000-0000-00008C4D0000}"/>
    <cellStyle name="40% - Accent1 2 2 2 3 3 2 2" xfId="21788" xr:uid="{00000000-0005-0000-0000-00008D4D0000}"/>
    <cellStyle name="40% - Accent1 2 2 2 3 3 2 2 2" xfId="44390" xr:uid="{00000000-0005-0000-0000-00008E4D0000}"/>
    <cellStyle name="40% - Accent1 2 2 2 3 3 2 3" xfId="33089" xr:uid="{00000000-0005-0000-0000-00008F4D0000}"/>
    <cellStyle name="40% - Accent1 2 2 2 3 3 3" xfId="16138" xr:uid="{00000000-0005-0000-0000-0000904D0000}"/>
    <cellStyle name="40% - Accent1 2 2 2 3 3 3 2" xfId="38740" xr:uid="{00000000-0005-0000-0000-0000914D0000}"/>
    <cellStyle name="40% - Accent1 2 2 2 3 3 4" xfId="27439" xr:uid="{00000000-0005-0000-0000-0000924D0000}"/>
    <cellStyle name="40% - Accent1 2 2 2 3 4" xfId="7024" xr:uid="{00000000-0005-0000-0000-0000934D0000}"/>
    <cellStyle name="40% - Accent1 2 2 2 3 4 2" xfId="18325" xr:uid="{00000000-0005-0000-0000-0000944D0000}"/>
    <cellStyle name="40% - Accent1 2 2 2 3 4 2 2" xfId="40927" xr:uid="{00000000-0005-0000-0000-0000954D0000}"/>
    <cellStyle name="40% - Accent1 2 2 2 3 4 3" xfId="29626" xr:uid="{00000000-0005-0000-0000-0000964D0000}"/>
    <cellStyle name="40% - Accent1 2 2 2 3 5" xfId="12675" xr:uid="{00000000-0005-0000-0000-0000974D0000}"/>
    <cellStyle name="40% - Accent1 2 2 2 3 5 2" xfId="35277" xr:uid="{00000000-0005-0000-0000-0000984D0000}"/>
    <cellStyle name="40% - Accent1 2 2 2 3 6" xfId="23976" xr:uid="{00000000-0005-0000-0000-0000994D0000}"/>
    <cellStyle name="40% - Accent1 2 2 2 4" xfId="1810" xr:uid="{00000000-0005-0000-0000-00009A4D0000}"/>
    <cellStyle name="40% - Accent1 2 2 2 4 2" xfId="3703" xr:uid="{00000000-0005-0000-0000-00009B4D0000}"/>
    <cellStyle name="40% - Accent1 2 2 2 4 2 2" xfId="9414" xr:uid="{00000000-0005-0000-0000-00009C4D0000}"/>
    <cellStyle name="40% - Accent1 2 2 2 4 2 2 2" xfId="20715" xr:uid="{00000000-0005-0000-0000-00009D4D0000}"/>
    <cellStyle name="40% - Accent1 2 2 2 4 2 2 2 2" xfId="43317" xr:uid="{00000000-0005-0000-0000-00009E4D0000}"/>
    <cellStyle name="40% - Accent1 2 2 2 4 2 2 3" xfId="32016" xr:uid="{00000000-0005-0000-0000-00009F4D0000}"/>
    <cellStyle name="40% - Accent1 2 2 2 4 2 3" xfId="15065" xr:uid="{00000000-0005-0000-0000-0000A04D0000}"/>
    <cellStyle name="40% - Accent1 2 2 2 4 2 3 2" xfId="37667" xr:uid="{00000000-0005-0000-0000-0000A14D0000}"/>
    <cellStyle name="40% - Accent1 2 2 2 4 2 4" xfId="26366" xr:uid="{00000000-0005-0000-0000-0000A24D0000}"/>
    <cellStyle name="40% - Accent1 2 2 2 4 3" xfId="5447" xr:uid="{00000000-0005-0000-0000-0000A34D0000}"/>
    <cellStyle name="40% - Accent1 2 2 2 4 3 2" xfId="11097" xr:uid="{00000000-0005-0000-0000-0000A44D0000}"/>
    <cellStyle name="40% - Accent1 2 2 2 4 3 2 2" xfId="22398" xr:uid="{00000000-0005-0000-0000-0000A54D0000}"/>
    <cellStyle name="40% - Accent1 2 2 2 4 3 2 2 2" xfId="45000" xr:uid="{00000000-0005-0000-0000-0000A64D0000}"/>
    <cellStyle name="40% - Accent1 2 2 2 4 3 2 3" xfId="33699" xr:uid="{00000000-0005-0000-0000-0000A74D0000}"/>
    <cellStyle name="40% - Accent1 2 2 2 4 3 3" xfId="16748" xr:uid="{00000000-0005-0000-0000-0000A84D0000}"/>
    <cellStyle name="40% - Accent1 2 2 2 4 3 3 2" xfId="39350" xr:uid="{00000000-0005-0000-0000-0000A94D0000}"/>
    <cellStyle name="40% - Accent1 2 2 2 4 3 4" xfId="28049" xr:uid="{00000000-0005-0000-0000-0000AA4D0000}"/>
    <cellStyle name="40% - Accent1 2 2 2 4 4" xfId="7666" xr:uid="{00000000-0005-0000-0000-0000AB4D0000}"/>
    <cellStyle name="40% - Accent1 2 2 2 4 4 2" xfId="18967" xr:uid="{00000000-0005-0000-0000-0000AC4D0000}"/>
    <cellStyle name="40% - Accent1 2 2 2 4 4 2 2" xfId="41569" xr:uid="{00000000-0005-0000-0000-0000AD4D0000}"/>
    <cellStyle name="40% - Accent1 2 2 2 4 4 3" xfId="30268" xr:uid="{00000000-0005-0000-0000-0000AE4D0000}"/>
    <cellStyle name="40% - Accent1 2 2 2 4 5" xfId="13317" xr:uid="{00000000-0005-0000-0000-0000AF4D0000}"/>
    <cellStyle name="40% - Accent1 2 2 2 4 5 2" xfId="35919" xr:uid="{00000000-0005-0000-0000-0000B04D0000}"/>
    <cellStyle name="40% - Accent1 2 2 2 4 6" xfId="24618" xr:uid="{00000000-0005-0000-0000-0000B14D0000}"/>
    <cellStyle name="40% - Accent1 2 2 2 5" xfId="2428" xr:uid="{00000000-0005-0000-0000-0000B24D0000}"/>
    <cellStyle name="40% - Accent1 2 2 2 5 2" xfId="8264" xr:uid="{00000000-0005-0000-0000-0000B34D0000}"/>
    <cellStyle name="40% - Accent1 2 2 2 5 2 2" xfId="19565" xr:uid="{00000000-0005-0000-0000-0000B44D0000}"/>
    <cellStyle name="40% - Accent1 2 2 2 5 2 2 2" xfId="42167" xr:uid="{00000000-0005-0000-0000-0000B54D0000}"/>
    <cellStyle name="40% - Accent1 2 2 2 5 2 3" xfId="30866" xr:uid="{00000000-0005-0000-0000-0000B64D0000}"/>
    <cellStyle name="40% - Accent1 2 2 2 5 3" xfId="13915" xr:uid="{00000000-0005-0000-0000-0000B74D0000}"/>
    <cellStyle name="40% - Accent1 2 2 2 5 3 2" xfId="36517" xr:uid="{00000000-0005-0000-0000-0000B84D0000}"/>
    <cellStyle name="40% - Accent1 2 2 2 5 4" xfId="25216" xr:uid="{00000000-0005-0000-0000-0000B94D0000}"/>
    <cellStyle name="40% - Accent1 2 2 2 6" xfId="4213" xr:uid="{00000000-0005-0000-0000-0000BA4D0000}"/>
    <cellStyle name="40% - Accent1 2 2 2 6 2" xfId="9863" xr:uid="{00000000-0005-0000-0000-0000BB4D0000}"/>
    <cellStyle name="40% - Accent1 2 2 2 6 2 2" xfId="21164" xr:uid="{00000000-0005-0000-0000-0000BC4D0000}"/>
    <cellStyle name="40% - Accent1 2 2 2 6 2 2 2" xfId="43766" xr:uid="{00000000-0005-0000-0000-0000BD4D0000}"/>
    <cellStyle name="40% - Accent1 2 2 2 6 2 3" xfId="32465" xr:uid="{00000000-0005-0000-0000-0000BE4D0000}"/>
    <cellStyle name="40% - Accent1 2 2 2 6 3" xfId="15514" xr:uid="{00000000-0005-0000-0000-0000BF4D0000}"/>
    <cellStyle name="40% - Accent1 2 2 2 6 3 2" xfId="38116" xr:uid="{00000000-0005-0000-0000-0000C04D0000}"/>
    <cellStyle name="40% - Accent1 2 2 2 6 4" xfId="26815" xr:uid="{00000000-0005-0000-0000-0000C14D0000}"/>
    <cellStyle name="40% - Accent1 2 2 2 7" xfId="6693" xr:uid="{00000000-0005-0000-0000-0000C24D0000}"/>
    <cellStyle name="40% - Accent1 2 2 2 7 2" xfId="17994" xr:uid="{00000000-0005-0000-0000-0000C34D0000}"/>
    <cellStyle name="40% - Accent1 2 2 2 7 2 2" xfId="40596" xr:uid="{00000000-0005-0000-0000-0000C44D0000}"/>
    <cellStyle name="40% - Accent1 2 2 2 7 3" xfId="29295" xr:uid="{00000000-0005-0000-0000-0000C54D0000}"/>
    <cellStyle name="40% - Accent1 2 2 2 8" xfId="12344" xr:uid="{00000000-0005-0000-0000-0000C64D0000}"/>
    <cellStyle name="40% - Accent1 2 2 2 8 2" xfId="34946" xr:uid="{00000000-0005-0000-0000-0000C74D0000}"/>
    <cellStyle name="40% - Accent1 2 2 2 9" xfId="23645" xr:uid="{00000000-0005-0000-0000-0000C84D0000}"/>
    <cellStyle name="40% - Accent1 2 2 3" xfId="1200" xr:uid="{00000000-0005-0000-0000-0000C94D0000}"/>
    <cellStyle name="40% - Accent1 2 2 3 2" xfId="1812" xr:uid="{00000000-0005-0000-0000-0000CA4D0000}"/>
    <cellStyle name="40% - Accent1 2 2 3 2 2" xfId="3268" xr:uid="{00000000-0005-0000-0000-0000CB4D0000}"/>
    <cellStyle name="40% - Accent1 2 2 3 2 2 2" xfId="6240" xr:uid="{00000000-0005-0000-0000-0000CC4D0000}"/>
    <cellStyle name="40% - Accent1 2 2 3 2 2 2 2" xfId="11890" xr:uid="{00000000-0005-0000-0000-0000CD4D0000}"/>
    <cellStyle name="40% - Accent1 2 2 3 2 2 2 2 2" xfId="23191" xr:uid="{00000000-0005-0000-0000-0000CE4D0000}"/>
    <cellStyle name="40% - Accent1 2 2 3 2 2 2 2 2 2" xfId="45793" xr:uid="{00000000-0005-0000-0000-0000CF4D0000}"/>
    <cellStyle name="40% - Accent1 2 2 3 2 2 2 2 3" xfId="34492" xr:uid="{00000000-0005-0000-0000-0000D04D0000}"/>
    <cellStyle name="40% - Accent1 2 2 3 2 2 2 3" xfId="17541" xr:uid="{00000000-0005-0000-0000-0000D14D0000}"/>
    <cellStyle name="40% - Accent1 2 2 3 2 2 2 3 2" xfId="40143" xr:uid="{00000000-0005-0000-0000-0000D24D0000}"/>
    <cellStyle name="40% - Accent1 2 2 3 2 2 2 4" xfId="28842" xr:uid="{00000000-0005-0000-0000-0000D34D0000}"/>
    <cellStyle name="40% - Accent1 2 2 3 2 2 3" xfId="9058" xr:uid="{00000000-0005-0000-0000-0000D44D0000}"/>
    <cellStyle name="40% - Accent1 2 2 3 2 2 3 2" xfId="20359" xr:uid="{00000000-0005-0000-0000-0000D54D0000}"/>
    <cellStyle name="40% - Accent1 2 2 3 2 2 3 2 2" xfId="42961" xr:uid="{00000000-0005-0000-0000-0000D64D0000}"/>
    <cellStyle name="40% - Accent1 2 2 3 2 2 3 3" xfId="31660" xr:uid="{00000000-0005-0000-0000-0000D74D0000}"/>
    <cellStyle name="40% - Accent1 2 2 3 2 2 4" xfId="14709" xr:uid="{00000000-0005-0000-0000-0000D84D0000}"/>
    <cellStyle name="40% - Accent1 2 2 3 2 2 4 2" xfId="37311" xr:uid="{00000000-0005-0000-0000-0000D94D0000}"/>
    <cellStyle name="40% - Accent1 2 2 3 2 2 5" xfId="26010" xr:uid="{00000000-0005-0000-0000-0000DA4D0000}"/>
    <cellStyle name="40% - Accent1 2 2 3 2 3" xfId="5006" xr:uid="{00000000-0005-0000-0000-0000DB4D0000}"/>
    <cellStyle name="40% - Accent1 2 2 3 2 3 2" xfId="10656" xr:uid="{00000000-0005-0000-0000-0000DC4D0000}"/>
    <cellStyle name="40% - Accent1 2 2 3 2 3 2 2" xfId="21957" xr:uid="{00000000-0005-0000-0000-0000DD4D0000}"/>
    <cellStyle name="40% - Accent1 2 2 3 2 3 2 2 2" xfId="44559" xr:uid="{00000000-0005-0000-0000-0000DE4D0000}"/>
    <cellStyle name="40% - Accent1 2 2 3 2 3 2 3" xfId="33258" xr:uid="{00000000-0005-0000-0000-0000DF4D0000}"/>
    <cellStyle name="40% - Accent1 2 2 3 2 3 3" xfId="16307" xr:uid="{00000000-0005-0000-0000-0000E04D0000}"/>
    <cellStyle name="40% - Accent1 2 2 3 2 3 3 2" xfId="38909" xr:uid="{00000000-0005-0000-0000-0000E14D0000}"/>
    <cellStyle name="40% - Accent1 2 2 3 2 3 4" xfId="27608" xr:uid="{00000000-0005-0000-0000-0000E24D0000}"/>
    <cellStyle name="40% - Accent1 2 2 3 2 4" xfId="7668" xr:uid="{00000000-0005-0000-0000-0000E34D0000}"/>
    <cellStyle name="40% - Accent1 2 2 3 2 4 2" xfId="18969" xr:uid="{00000000-0005-0000-0000-0000E44D0000}"/>
    <cellStyle name="40% - Accent1 2 2 3 2 4 2 2" xfId="41571" xr:uid="{00000000-0005-0000-0000-0000E54D0000}"/>
    <cellStyle name="40% - Accent1 2 2 3 2 4 3" xfId="30270" xr:uid="{00000000-0005-0000-0000-0000E64D0000}"/>
    <cellStyle name="40% - Accent1 2 2 3 2 5" xfId="13319" xr:uid="{00000000-0005-0000-0000-0000E74D0000}"/>
    <cellStyle name="40% - Accent1 2 2 3 2 5 2" xfId="35921" xr:uid="{00000000-0005-0000-0000-0000E84D0000}"/>
    <cellStyle name="40% - Accent1 2 2 3 2 6" xfId="24620" xr:uid="{00000000-0005-0000-0000-0000E94D0000}"/>
    <cellStyle name="40% - Accent1 2 2 3 3" xfId="2597" xr:uid="{00000000-0005-0000-0000-0000EA4D0000}"/>
    <cellStyle name="40% - Accent1 2 2 3 3 2" xfId="5616" xr:uid="{00000000-0005-0000-0000-0000EB4D0000}"/>
    <cellStyle name="40% - Accent1 2 2 3 3 2 2" xfId="11266" xr:uid="{00000000-0005-0000-0000-0000EC4D0000}"/>
    <cellStyle name="40% - Accent1 2 2 3 3 2 2 2" xfId="22567" xr:uid="{00000000-0005-0000-0000-0000ED4D0000}"/>
    <cellStyle name="40% - Accent1 2 2 3 3 2 2 2 2" xfId="45169" xr:uid="{00000000-0005-0000-0000-0000EE4D0000}"/>
    <cellStyle name="40% - Accent1 2 2 3 3 2 2 3" xfId="33868" xr:uid="{00000000-0005-0000-0000-0000EF4D0000}"/>
    <cellStyle name="40% - Accent1 2 2 3 3 2 3" xfId="16917" xr:uid="{00000000-0005-0000-0000-0000F04D0000}"/>
    <cellStyle name="40% - Accent1 2 2 3 3 2 3 2" xfId="39519" xr:uid="{00000000-0005-0000-0000-0000F14D0000}"/>
    <cellStyle name="40% - Accent1 2 2 3 3 2 4" xfId="28218" xr:uid="{00000000-0005-0000-0000-0000F24D0000}"/>
    <cellStyle name="40% - Accent1 2 2 3 3 3" xfId="8433" xr:uid="{00000000-0005-0000-0000-0000F34D0000}"/>
    <cellStyle name="40% - Accent1 2 2 3 3 3 2" xfId="19734" xr:uid="{00000000-0005-0000-0000-0000F44D0000}"/>
    <cellStyle name="40% - Accent1 2 2 3 3 3 2 2" xfId="42336" xr:uid="{00000000-0005-0000-0000-0000F54D0000}"/>
    <cellStyle name="40% - Accent1 2 2 3 3 3 3" xfId="31035" xr:uid="{00000000-0005-0000-0000-0000F64D0000}"/>
    <cellStyle name="40% - Accent1 2 2 3 3 4" xfId="14084" xr:uid="{00000000-0005-0000-0000-0000F74D0000}"/>
    <cellStyle name="40% - Accent1 2 2 3 3 4 2" xfId="36686" xr:uid="{00000000-0005-0000-0000-0000F84D0000}"/>
    <cellStyle name="40% - Accent1 2 2 3 3 5" xfId="25385" xr:uid="{00000000-0005-0000-0000-0000F94D0000}"/>
    <cellStyle name="40% - Accent1 2 2 3 4" xfId="4382" xr:uid="{00000000-0005-0000-0000-0000FA4D0000}"/>
    <cellStyle name="40% - Accent1 2 2 3 4 2" xfId="10032" xr:uid="{00000000-0005-0000-0000-0000FB4D0000}"/>
    <cellStyle name="40% - Accent1 2 2 3 4 2 2" xfId="21333" xr:uid="{00000000-0005-0000-0000-0000FC4D0000}"/>
    <cellStyle name="40% - Accent1 2 2 3 4 2 2 2" xfId="43935" xr:uid="{00000000-0005-0000-0000-0000FD4D0000}"/>
    <cellStyle name="40% - Accent1 2 2 3 4 2 3" xfId="32634" xr:uid="{00000000-0005-0000-0000-0000FE4D0000}"/>
    <cellStyle name="40% - Accent1 2 2 3 4 3" xfId="15683" xr:uid="{00000000-0005-0000-0000-0000FF4D0000}"/>
    <cellStyle name="40% - Accent1 2 2 3 4 3 2" xfId="38285" xr:uid="{00000000-0005-0000-0000-0000004E0000}"/>
    <cellStyle name="40% - Accent1 2 2 3 4 4" xfId="26984" xr:uid="{00000000-0005-0000-0000-0000014E0000}"/>
    <cellStyle name="40% - Accent1 2 2 3 5" xfId="7179" xr:uid="{00000000-0005-0000-0000-0000024E0000}"/>
    <cellStyle name="40% - Accent1 2 2 3 5 2" xfId="18480" xr:uid="{00000000-0005-0000-0000-0000034E0000}"/>
    <cellStyle name="40% - Accent1 2 2 3 5 2 2" xfId="41082" xr:uid="{00000000-0005-0000-0000-0000044E0000}"/>
    <cellStyle name="40% - Accent1 2 2 3 5 3" xfId="29781" xr:uid="{00000000-0005-0000-0000-0000054E0000}"/>
    <cellStyle name="40% - Accent1 2 2 3 6" xfId="12830" xr:uid="{00000000-0005-0000-0000-0000064E0000}"/>
    <cellStyle name="40% - Accent1 2 2 3 6 2" xfId="35432" xr:uid="{00000000-0005-0000-0000-0000074E0000}"/>
    <cellStyle name="40% - Accent1 2 2 3 7" xfId="24131" xr:uid="{00000000-0005-0000-0000-0000084E0000}"/>
    <cellStyle name="40% - Accent1 2 2 4" xfId="890" xr:uid="{00000000-0005-0000-0000-0000094E0000}"/>
    <cellStyle name="40% - Accent1 2 2 4 2" xfId="2961" xr:uid="{00000000-0005-0000-0000-00000A4E0000}"/>
    <cellStyle name="40% - Accent1 2 2 4 2 2" xfId="5933" xr:uid="{00000000-0005-0000-0000-00000B4E0000}"/>
    <cellStyle name="40% - Accent1 2 2 4 2 2 2" xfId="11583" xr:uid="{00000000-0005-0000-0000-00000C4E0000}"/>
    <cellStyle name="40% - Accent1 2 2 4 2 2 2 2" xfId="22884" xr:uid="{00000000-0005-0000-0000-00000D4E0000}"/>
    <cellStyle name="40% - Accent1 2 2 4 2 2 2 2 2" xfId="45486" xr:uid="{00000000-0005-0000-0000-00000E4E0000}"/>
    <cellStyle name="40% - Accent1 2 2 4 2 2 2 3" xfId="34185" xr:uid="{00000000-0005-0000-0000-00000F4E0000}"/>
    <cellStyle name="40% - Accent1 2 2 4 2 2 3" xfId="17234" xr:uid="{00000000-0005-0000-0000-0000104E0000}"/>
    <cellStyle name="40% - Accent1 2 2 4 2 2 3 2" xfId="39836" xr:uid="{00000000-0005-0000-0000-0000114E0000}"/>
    <cellStyle name="40% - Accent1 2 2 4 2 2 4" xfId="28535" xr:uid="{00000000-0005-0000-0000-0000124E0000}"/>
    <cellStyle name="40% - Accent1 2 2 4 2 3" xfId="8751" xr:uid="{00000000-0005-0000-0000-0000134E0000}"/>
    <cellStyle name="40% - Accent1 2 2 4 2 3 2" xfId="20052" xr:uid="{00000000-0005-0000-0000-0000144E0000}"/>
    <cellStyle name="40% - Accent1 2 2 4 2 3 2 2" xfId="42654" xr:uid="{00000000-0005-0000-0000-0000154E0000}"/>
    <cellStyle name="40% - Accent1 2 2 4 2 3 3" xfId="31353" xr:uid="{00000000-0005-0000-0000-0000164E0000}"/>
    <cellStyle name="40% - Accent1 2 2 4 2 4" xfId="14402" xr:uid="{00000000-0005-0000-0000-0000174E0000}"/>
    <cellStyle name="40% - Accent1 2 2 4 2 4 2" xfId="37004" xr:uid="{00000000-0005-0000-0000-0000184E0000}"/>
    <cellStyle name="40% - Accent1 2 2 4 2 5" xfId="25703" xr:uid="{00000000-0005-0000-0000-0000194E0000}"/>
    <cellStyle name="40% - Accent1 2 2 4 3" xfId="4699" xr:uid="{00000000-0005-0000-0000-00001A4E0000}"/>
    <cellStyle name="40% - Accent1 2 2 4 3 2" xfId="10349" xr:uid="{00000000-0005-0000-0000-00001B4E0000}"/>
    <cellStyle name="40% - Accent1 2 2 4 3 2 2" xfId="21650" xr:uid="{00000000-0005-0000-0000-00001C4E0000}"/>
    <cellStyle name="40% - Accent1 2 2 4 3 2 2 2" xfId="44252" xr:uid="{00000000-0005-0000-0000-00001D4E0000}"/>
    <cellStyle name="40% - Accent1 2 2 4 3 2 3" xfId="32951" xr:uid="{00000000-0005-0000-0000-00001E4E0000}"/>
    <cellStyle name="40% - Accent1 2 2 4 3 3" xfId="16000" xr:uid="{00000000-0005-0000-0000-00001F4E0000}"/>
    <cellStyle name="40% - Accent1 2 2 4 3 3 2" xfId="38602" xr:uid="{00000000-0005-0000-0000-0000204E0000}"/>
    <cellStyle name="40% - Accent1 2 2 4 3 4" xfId="27301" xr:uid="{00000000-0005-0000-0000-0000214E0000}"/>
    <cellStyle name="40% - Accent1 2 2 4 4" xfId="6886" xr:uid="{00000000-0005-0000-0000-0000224E0000}"/>
    <cellStyle name="40% - Accent1 2 2 4 4 2" xfId="18187" xr:uid="{00000000-0005-0000-0000-0000234E0000}"/>
    <cellStyle name="40% - Accent1 2 2 4 4 2 2" xfId="40789" xr:uid="{00000000-0005-0000-0000-0000244E0000}"/>
    <cellStyle name="40% - Accent1 2 2 4 4 3" xfId="29488" xr:uid="{00000000-0005-0000-0000-0000254E0000}"/>
    <cellStyle name="40% - Accent1 2 2 4 5" xfId="12537" xr:uid="{00000000-0005-0000-0000-0000264E0000}"/>
    <cellStyle name="40% - Accent1 2 2 4 5 2" xfId="35139" xr:uid="{00000000-0005-0000-0000-0000274E0000}"/>
    <cellStyle name="40% - Accent1 2 2 4 6" xfId="23838" xr:uid="{00000000-0005-0000-0000-0000284E0000}"/>
    <cellStyle name="40% - Accent1 2 2 5" xfId="1809" xr:uid="{00000000-0005-0000-0000-0000294E0000}"/>
    <cellStyle name="40% - Accent1 2 2 5 2" xfId="3702" xr:uid="{00000000-0005-0000-0000-00002A4E0000}"/>
    <cellStyle name="40% - Accent1 2 2 5 2 2" xfId="9413" xr:uid="{00000000-0005-0000-0000-00002B4E0000}"/>
    <cellStyle name="40% - Accent1 2 2 5 2 2 2" xfId="20714" xr:uid="{00000000-0005-0000-0000-00002C4E0000}"/>
    <cellStyle name="40% - Accent1 2 2 5 2 2 2 2" xfId="43316" xr:uid="{00000000-0005-0000-0000-00002D4E0000}"/>
    <cellStyle name="40% - Accent1 2 2 5 2 2 3" xfId="32015" xr:uid="{00000000-0005-0000-0000-00002E4E0000}"/>
    <cellStyle name="40% - Accent1 2 2 5 2 3" xfId="15064" xr:uid="{00000000-0005-0000-0000-00002F4E0000}"/>
    <cellStyle name="40% - Accent1 2 2 5 2 3 2" xfId="37666" xr:uid="{00000000-0005-0000-0000-0000304E0000}"/>
    <cellStyle name="40% - Accent1 2 2 5 2 4" xfId="26365" xr:uid="{00000000-0005-0000-0000-0000314E0000}"/>
    <cellStyle name="40% - Accent1 2 2 5 3" xfId="5309" xr:uid="{00000000-0005-0000-0000-0000324E0000}"/>
    <cellStyle name="40% - Accent1 2 2 5 3 2" xfId="10959" xr:uid="{00000000-0005-0000-0000-0000334E0000}"/>
    <cellStyle name="40% - Accent1 2 2 5 3 2 2" xfId="22260" xr:uid="{00000000-0005-0000-0000-0000344E0000}"/>
    <cellStyle name="40% - Accent1 2 2 5 3 2 2 2" xfId="44862" xr:uid="{00000000-0005-0000-0000-0000354E0000}"/>
    <cellStyle name="40% - Accent1 2 2 5 3 2 3" xfId="33561" xr:uid="{00000000-0005-0000-0000-0000364E0000}"/>
    <cellStyle name="40% - Accent1 2 2 5 3 3" xfId="16610" xr:uid="{00000000-0005-0000-0000-0000374E0000}"/>
    <cellStyle name="40% - Accent1 2 2 5 3 3 2" xfId="39212" xr:uid="{00000000-0005-0000-0000-0000384E0000}"/>
    <cellStyle name="40% - Accent1 2 2 5 3 4" xfId="27911" xr:uid="{00000000-0005-0000-0000-0000394E0000}"/>
    <cellStyle name="40% - Accent1 2 2 5 4" xfId="7665" xr:uid="{00000000-0005-0000-0000-00003A4E0000}"/>
    <cellStyle name="40% - Accent1 2 2 5 4 2" xfId="18966" xr:uid="{00000000-0005-0000-0000-00003B4E0000}"/>
    <cellStyle name="40% - Accent1 2 2 5 4 2 2" xfId="41568" xr:uid="{00000000-0005-0000-0000-00003C4E0000}"/>
    <cellStyle name="40% - Accent1 2 2 5 4 3" xfId="30267" xr:uid="{00000000-0005-0000-0000-00003D4E0000}"/>
    <cellStyle name="40% - Accent1 2 2 5 5" xfId="13316" xr:uid="{00000000-0005-0000-0000-00003E4E0000}"/>
    <cellStyle name="40% - Accent1 2 2 5 5 2" xfId="35918" xr:uid="{00000000-0005-0000-0000-00003F4E0000}"/>
    <cellStyle name="40% - Accent1 2 2 5 6" xfId="24617" xr:uid="{00000000-0005-0000-0000-0000404E0000}"/>
    <cellStyle name="40% - Accent1 2 2 6" xfId="2288" xr:uid="{00000000-0005-0000-0000-0000414E0000}"/>
    <cellStyle name="40% - Accent1 2 2 6 2" xfId="8124" xr:uid="{00000000-0005-0000-0000-0000424E0000}"/>
    <cellStyle name="40% - Accent1 2 2 6 2 2" xfId="19425" xr:uid="{00000000-0005-0000-0000-0000434E0000}"/>
    <cellStyle name="40% - Accent1 2 2 6 2 2 2" xfId="42027" xr:uid="{00000000-0005-0000-0000-0000444E0000}"/>
    <cellStyle name="40% - Accent1 2 2 6 2 3" xfId="30726" xr:uid="{00000000-0005-0000-0000-0000454E0000}"/>
    <cellStyle name="40% - Accent1 2 2 6 3" xfId="13775" xr:uid="{00000000-0005-0000-0000-0000464E0000}"/>
    <cellStyle name="40% - Accent1 2 2 6 3 2" xfId="36377" xr:uid="{00000000-0005-0000-0000-0000474E0000}"/>
    <cellStyle name="40% - Accent1 2 2 6 4" xfId="25076" xr:uid="{00000000-0005-0000-0000-0000484E0000}"/>
    <cellStyle name="40% - Accent1 2 2 7" xfId="4075" xr:uid="{00000000-0005-0000-0000-0000494E0000}"/>
    <cellStyle name="40% - Accent1 2 2 7 2" xfId="9725" xr:uid="{00000000-0005-0000-0000-00004A4E0000}"/>
    <cellStyle name="40% - Accent1 2 2 7 2 2" xfId="21026" xr:uid="{00000000-0005-0000-0000-00004B4E0000}"/>
    <cellStyle name="40% - Accent1 2 2 7 2 2 2" xfId="43628" xr:uid="{00000000-0005-0000-0000-00004C4E0000}"/>
    <cellStyle name="40% - Accent1 2 2 7 2 3" xfId="32327" xr:uid="{00000000-0005-0000-0000-00004D4E0000}"/>
    <cellStyle name="40% - Accent1 2 2 7 3" xfId="15376" xr:uid="{00000000-0005-0000-0000-00004E4E0000}"/>
    <cellStyle name="40% - Accent1 2 2 7 3 2" xfId="37978" xr:uid="{00000000-0005-0000-0000-00004F4E0000}"/>
    <cellStyle name="40% - Accent1 2 2 7 4" xfId="26677" xr:uid="{00000000-0005-0000-0000-0000504E0000}"/>
    <cellStyle name="40% - Accent1 2 2 8" xfId="6526" xr:uid="{00000000-0005-0000-0000-0000514E0000}"/>
    <cellStyle name="40% - Accent1 2 2 8 2" xfId="17827" xr:uid="{00000000-0005-0000-0000-0000524E0000}"/>
    <cellStyle name="40% - Accent1 2 2 8 2 2" xfId="40429" xr:uid="{00000000-0005-0000-0000-0000534E0000}"/>
    <cellStyle name="40% - Accent1 2 2 8 3" xfId="29128" xr:uid="{00000000-0005-0000-0000-0000544E0000}"/>
    <cellStyle name="40% - Accent1 2 2 9" xfId="12177" xr:uid="{00000000-0005-0000-0000-0000554E0000}"/>
    <cellStyle name="40% - Accent1 2 2 9 2" xfId="34779" xr:uid="{00000000-0005-0000-0000-0000564E0000}"/>
    <cellStyle name="40% - Accent1 2 3" xfId="2816" xr:uid="{00000000-0005-0000-0000-0000574E0000}"/>
    <cellStyle name="40% - Accent1 2 3 2" xfId="3885" xr:uid="{00000000-0005-0000-0000-0000584E0000}"/>
    <cellStyle name="40% - Accent1 2 3 2 2" xfId="5831" xr:uid="{00000000-0005-0000-0000-0000594E0000}"/>
    <cellStyle name="40% - Accent1 2 3 2 2 2" xfId="11481" xr:uid="{00000000-0005-0000-0000-00005A4E0000}"/>
    <cellStyle name="40% - Accent1 2 3 2 2 2 2" xfId="22782" xr:uid="{00000000-0005-0000-0000-00005B4E0000}"/>
    <cellStyle name="40% - Accent1 2 3 2 2 2 2 2" xfId="45384" xr:uid="{00000000-0005-0000-0000-00005C4E0000}"/>
    <cellStyle name="40% - Accent1 2 3 2 2 2 3" xfId="34083" xr:uid="{00000000-0005-0000-0000-00005D4E0000}"/>
    <cellStyle name="40% - Accent1 2 3 2 2 3" xfId="17132" xr:uid="{00000000-0005-0000-0000-00005E4E0000}"/>
    <cellStyle name="40% - Accent1 2 3 2 2 3 2" xfId="39734" xr:uid="{00000000-0005-0000-0000-00005F4E0000}"/>
    <cellStyle name="40% - Accent1 2 3 2 2 4" xfId="28433" xr:uid="{00000000-0005-0000-0000-0000604E0000}"/>
    <cellStyle name="40% - Accent1 2 3 2 3" xfId="9593" xr:uid="{00000000-0005-0000-0000-0000614E0000}"/>
    <cellStyle name="40% - Accent1 2 3 2 3 2" xfId="20894" xr:uid="{00000000-0005-0000-0000-0000624E0000}"/>
    <cellStyle name="40% - Accent1 2 3 2 3 2 2" xfId="43496" xr:uid="{00000000-0005-0000-0000-0000634E0000}"/>
    <cellStyle name="40% - Accent1 2 3 2 3 3" xfId="32195" xr:uid="{00000000-0005-0000-0000-0000644E0000}"/>
    <cellStyle name="40% - Accent1 2 3 2 4" xfId="15244" xr:uid="{00000000-0005-0000-0000-0000654E0000}"/>
    <cellStyle name="40% - Accent1 2 3 2 4 2" xfId="37846" xr:uid="{00000000-0005-0000-0000-0000664E0000}"/>
    <cellStyle name="40% - Accent1 2 3 2 5" xfId="26545" xr:uid="{00000000-0005-0000-0000-0000674E0000}"/>
    <cellStyle name="40% - Accent1 2 3 3" xfId="4597" xr:uid="{00000000-0005-0000-0000-0000684E0000}"/>
    <cellStyle name="40% - Accent1 2 3 3 2" xfId="10247" xr:uid="{00000000-0005-0000-0000-0000694E0000}"/>
    <cellStyle name="40% - Accent1 2 3 3 2 2" xfId="21548" xr:uid="{00000000-0005-0000-0000-00006A4E0000}"/>
    <cellStyle name="40% - Accent1 2 3 3 2 2 2" xfId="44150" xr:uid="{00000000-0005-0000-0000-00006B4E0000}"/>
    <cellStyle name="40% - Accent1 2 3 3 2 3" xfId="32849" xr:uid="{00000000-0005-0000-0000-00006C4E0000}"/>
    <cellStyle name="40% - Accent1 2 3 3 3" xfId="15898" xr:uid="{00000000-0005-0000-0000-00006D4E0000}"/>
    <cellStyle name="40% - Accent1 2 3 3 3 2" xfId="38500" xr:uid="{00000000-0005-0000-0000-00006E4E0000}"/>
    <cellStyle name="40% - Accent1 2 3 3 4" xfId="27199" xr:uid="{00000000-0005-0000-0000-00006F4E0000}"/>
    <cellStyle name="40% - Accent1 2 3 4" xfId="8649" xr:uid="{00000000-0005-0000-0000-0000704E0000}"/>
    <cellStyle name="40% - Accent1 2 3 4 2" xfId="19950" xr:uid="{00000000-0005-0000-0000-0000714E0000}"/>
    <cellStyle name="40% - Accent1 2 3 4 2 2" xfId="42552" xr:uid="{00000000-0005-0000-0000-0000724E0000}"/>
    <cellStyle name="40% - Accent1 2 3 4 3" xfId="31251" xr:uid="{00000000-0005-0000-0000-0000734E0000}"/>
    <cellStyle name="40% - Accent1 2 3 5" xfId="14300" xr:uid="{00000000-0005-0000-0000-0000744E0000}"/>
    <cellStyle name="40% - Accent1 2 3 5 2" xfId="36902" xr:uid="{00000000-0005-0000-0000-0000754E0000}"/>
    <cellStyle name="40% - Accent1 2 3 6" xfId="25601" xr:uid="{00000000-0005-0000-0000-0000764E0000}"/>
    <cellStyle name="40% - Accent1 2 4" xfId="2832" xr:uid="{00000000-0005-0000-0000-0000774E0000}"/>
    <cellStyle name="40% - Accent1 2 5" xfId="3812" xr:uid="{00000000-0005-0000-0000-0000784E0000}"/>
    <cellStyle name="40% - Accent1 2 5 2" xfId="9522" xr:uid="{00000000-0005-0000-0000-0000794E0000}"/>
    <cellStyle name="40% - Accent1 2 5 2 2" xfId="20823" xr:uid="{00000000-0005-0000-0000-00007A4E0000}"/>
    <cellStyle name="40% - Accent1 2 5 2 2 2" xfId="43425" xr:uid="{00000000-0005-0000-0000-00007B4E0000}"/>
    <cellStyle name="40% - Accent1 2 5 2 3" xfId="32124" xr:uid="{00000000-0005-0000-0000-00007C4E0000}"/>
    <cellStyle name="40% - Accent1 2 5 3" xfId="15173" xr:uid="{00000000-0005-0000-0000-00007D4E0000}"/>
    <cellStyle name="40% - Accent1 2 5 3 2" xfId="37775" xr:uid="{00000000-0005-0000-0000-00007E4E0000}"/>
    <cellStyle name="40% - Accent1 2 5 4" xfId="26474" xr:uid="{00000000-0005-0000-0000-00007F4E0000}"/>
    <cellStyle name="40% - Accent1 2 6" xfId="3939" xr:uid="{00000000-0005-0000-0000-0000804E0000}"/>
    <cellStyle name="40% - Accent1 2 7" xfId="152" xr:uid="{00000000-0005-0000-0000-0000814E0000}"/>
    <cellStyle name="40% - Accent1 3" xfId="208" xr:uid="{00000000-0005-0000-0000-0000824E0000}"/>
    <cellStyle name="40% - Accent1 3 2" xfId="340" xr:uid="{00000000-0005-0000-0000-0000834E0000}"/>
    <cellStyle name="40% - Accent1 3 2 10" xfId="23451" xr:uid="{00000000-0005-0000-0000-0000844E0000}"/>
    <cellStyle name="40% - Accent1 3 2 2" xfId="601" xr:uid="{00000000-0005-0000-0000-0000854E0000}"/>
    <cellStyle name="40% - Accent1 3 2 2 2" xfId="1311" xr:uid="{00000000-0005-0000-0000-0000864E0000}"/>
    <cellStyle name="40% - Accent1 3 2 2 2 2" xfId="1815" xr:uid="{00000000-0005-0000-0000-0000874E0000}"/>
    <cellStyle name="40% - Accent1 3 2 2 2 2 2" xfId="3380" xr:uid="{00000000-0005-0000-0000-0000884E0000}"/>
    <cellStyle name="40% - Accent1 3 2 2 2 2 2 2" xfId="6352" xr:uid="{00000000-0005-0000-0000-0000894E0000}"/>
    <cellStyle name="40% - Accent1 3 2 2 2 2 2 2 2" xfId="12002" xr:uid="{00000000-0005-0000-0000-00008A4E0000}"/>
    <cellStyle name="40% - Accent1 3 2 2 2 2 2 2 2 2" xfId="23303" xr:uid="{00000000-0005-0000-0000-00008B4E0000}"/>
    <cellStyle name="40% - Accent1 3 2 2 2 2 2 2 2 2 2" xfId="45905" xr:uid="{00000000-0005-0000-0000-00008C4E0000}"/>
    <cellStyle name="40% - Accent1 3 2 2 2 2 2 2 2 3" xfId="34604" xr:uid="{00000000-0005-0000-0000-00008D4E0000}"/>
    <cellStyle name="40% - Accent1 3 2 2 2 2 2 2 3" xfId="17653" xr:uid="{00000000-0005-0000-0000-00008E4E0000}"/>
    <cellStyle name="40% - Accent1 3 2 2 2 2 2 2 3 2" xfId="40255" xr:uid="{00000000-0005-0000-0000-00008F4E0000}"/>
    <cellStyle name="40% - Accent1 3 2 2 2 2 2 2 4" xfId="28954" xr:uid="{00000000-0005-0000-0000-0000904E0000}"/>
    <cellStyle name="40% - Accent1 3 2 2 2 2 2 3" xfId="9170" xr:uid="{00000000-0005-0000-0000-0000914E0000}"/>
    <cellStyle name="40% - Accent1 3 2 2 2 2 2 3 2" xfId="20471" xr:uid="{00000000-0005-0000-0000-0000924E0000}"/>
    <cellStyle name="40% - Accent1 3 2 2 2 2 2 3 2 2" xfId="43073" xr:uid="{00000000-0005-0000-0000-0000934E0000}"/>
    <cellStyle name="40% - Accent1 3 2 2 2 2 2 3 3" xfId="31772" xr:uid="{00000000-0005-0000-0000-0000944E0000}"/>
    <cellStyle name="40% - Accent1 3 2 2 2 2 2 4" xfId="14821" xr:uid="{00000000-0005-0000-0000-0000954E0000}"/>
    <cellStyle name="40% - Accent1 3 2 2 2 2 2 4 2" xfId="37423" xr:uid="{00000000-0005-0000-0000-0000964E0000}"/>
    <cellStyle name="40% - Accent1 3 2 2 2 2 2 5" xfId="26122" xr:uid="{00000000-0005-0000-0000-0000974E0000}"/>
    <cellStyle name="40% - Accent1 3 2 2 2 2 3" xfId="5118" xr:uid="{00000000-0005-0000-0000-0000984E0000}"/>
    <cellStyle name="40% - Accent1 3 2 2 2 2 3 2" xfId="10768" xr:uid="{00000000-0005-0000-0000-0000994E0000}"/>
    <cellStyle name="40% - Accent1 3 2 2 2 2 3 2 2" xfId="22069" xr:uid="{00000000-0005-0000-0000-00009A4E0000}"/>
    <cellStyle name="40% - Accent1 3 2 2 2 2 3 2 2 2" xfId="44671" xr:uid="{00000000-0005-0000-0000-00009B4E0000}"/>
    <cellStyle name="40% - Accent1 3 2 2 2 2 3 2 3" xfId="33370" xr:uid="{00000000-0005-0000-0000-00009C4E0000}"/>
    <cellStyle name="40% - Accent1 3 2 2 2 2 3 3" xfId="16419" xr:uid="{00000000-0005-0000-0000-00009D4E0000}"/>
    <cellStyle name="40% - Accent1 3 2 2 2 2 3 3 2" xfId="39021" xr:uid="{00000000-0005-0000-0000-00009E4E0000}"/>
    <cellStyle name="40% - Accent1 3 2 2 2 2 3 4" xfId="27720" xr:uid="{00000000-0005-0000-0000-00009F4E0000}"/>
    <cellStyle name="40% - Accent1 3 2 2 2 2 4" xfId="7671" xr:uid="{00000000-0005-0000-0000-0000A04E0000}"/>
    <cellStyle name="40% - Accent1 3 2 2 2 2 4 2" xfId="18972" xr:uid="{00000000-0005-0000-0000-0000A14E0000}"/>
    <cellStyle name="40% - Accent1 3 2 2 2 2 4 2 2" xfId="41574" xr:uid="{00000000-0005-0000-0000-0000A24E0000}"/>
    <cellStyle name="40% - Accent1 3 2 2 2 2 4 3" xfId="30273" xr:uid="{00000000-0005-0000-0000-0000A34E0000}"/>
    <cellStyle name="40% - Accent1 3 2 2 2 2 5" xfId="13322" xr:uid="{00000000-0005-0000-0000-0000A44E0000}"/>
    <cellStyle name="40% - Accent1 3 2 2 2 2 5 2" xfId="35924" xr:uid="{00000000-0005-0000-0000-0000A54E0000}"/>
    <cellStyle name="40% - Accent1 3 2 2 2 2 6" xfId="24623" xr:uid="{00000000-0005-0000-0000-0000A64E0000}"/>
    <cellStyle name="40% - Accent1 3 2 2 2 3" xfId="2709" xr:uid="{00000000-0005-0000-0000-0000A74E0000}"/>
    <cellStyle name="40% - Accent1 3 2 2 2 3 2" xfId="5728" xr:uid="{00000000-0005-0000-0000-0000A84E0000}"/>
    <cellStyle name="40% - Accent1 3 2 2 2 3 2 2" xfId="11378" xr:uid="{00000000-0005-0000-0000-0000A94E0000}"/>
    <cellStyle name="40% - Accent1 3 2 2 2 3 2 2 2" xfId="22679" xr:uid="{00000000-0005-0000-0000-0000AA4E0000}"/>
    <cellStyle name="40% - Accent1 3 2 2 2 3 2 2 2 2" xfId="45281" xr:uid="{00000000-0005-0000-0000-0000AB4E0000}"/>
    <cellStyle name="40% - Accent1 3 2 2 2 3 2 2 3" xfId="33980" xr:uid="{00000000-0005-0000-0000-0000AC4E0000}"/>
    <cellStyle name="40% - Accent1 3 2 2 2 3 2 3" xfId="17029" xr:uid="{00000000-0005-0000-0000-0000AD4E0000}"/>
    <cellStyle name="40% - Accent1 3 2 2 2 3 2 3 2" xfId="39631" xr:uid="{00000000-0005-0000-0000-0000AE4E0000}"/>
    <cellStyle name="40% - Accent1 3 2 2 2 3 2 4" xfId="28330" xr:uid="{00000000-0005-0000-0000-0000AF4E0000}"/>
    <cellStyle name="40% - Accent1 3 2 2 2 3 3" xfId="8545" xr:uid="{00000000-0005-0000-0000-0000B04E0000}"/>
    <cellStyle name="40% - Accent1 3 2 2 2 3 3 2" xfId="19846" xr:uid="{00000000-0005-0000-0000-0000B14E0000}"/>
    <cellStyle name="40% - Accent1 3 2 2 2 3 3 2 2" xfId="42448" xr:uid="{00000000-0005-0000-0000-0000B24E0000}"/>
    <cellStyle name="40% - Accent1 3 2 2 2 3 3 3" xfId="31147" xr:uid="{00000000-0005-0000-0000-0000B34E0000}"/>
    <cellStyle name="40% - Accent1 3 2 2 2 3 4" xfId="14196" xr:uid="{00000000-0005-0000-0000-0000B44E0000}"/>
    <cellStyle name="40% - Accent1 3 2 2 2 3 4 2" xfId="36798" xr:uid="{00000000-0005-0000-0000-0000B54E0000}"/>
    <cellStyle name="40% - Accent1 3 2 2 2 3 5" xfId="25497" xr:uid="{00000000-0005-0000-0000-0000B64E0000}"/>
    <cellStyle name="40% - Accent1 3 2 2 2 4" xfId="4494" xr:uid="{00000000-0005-0000-0000-0000B74E0000}"/>
    <cellStyle name="40% - Accent1 3 2 2 2 4 2" xfId="10144" xr:uid="{00000000-0005-0000-0000-0000B84E0000}"/>
    <cellStyle name="40% - Accent1 3 2 2 2 4 2 2" xfId="21445" xr:uid="{00000000-0005-0000-0000-0000B94E0000}"/>
    <cellStyle name="40% - Accent1 3 2 2 2 4 2 2 2" xfId="44047" xr:uid="{00000000-0005-0000-0000-0000BA4E0000}"/>
    <cellStyle name="40% - Accent1 3 2 2 2 4 2 3" xfId="32746" xr:uid="{00000000-0005-0000-0000-0000BB4E0000}"/>
    <cellStyle name="40% - Accent1 3 2 2 2 4 3" xfId="15795" xr:uid="{00000000-0005-0000-0000-0000BC4E0000}"/>
    <cellStyle name="40% - Accent1 3 2 2 2 4 3 2" xfId="38397" xr:uid="{00000000-0005-0000-0000-0000BD4E0000}"/>
    <cellStyle name="40% - Accent1 3 2 2 2 4 4" xfId="27096" xr:uid="{00000000-0005-0000-0000-0000BE4E0000}"/>
    <cellStyle name="40% - Accent1 3 2 2 2 5" xfId="7290" xr:uid="{00000000-0005-0000-0000-0000BF4E0000}"/>
    <cellStyle name="40% - Accent1 3 2 2 2 5 2" xfId="18591" xr:uid="{00000000-0005-0000-0000-0000C04E0000}"/>
    <cellStyle name="40% - Accent1 3 2 2 2 5 2 2" xfId="41193" xr:uid="{00000000-0005-0000-0000-0000C14E0000}"/>
    <cellStyle name="40% - Accent1 3 2 2 2 5 3" xfId="29892" xr:uid="{00000000-0005-0000-0000-0000C24E0000}"/>
    <cellStyle name="40% - Accent1 3 2 2 2 6" xfId="12941" xr:uid="{00000000-0005-0000-0000-0000C34E0000}"/>
    <cellStyle name="40% - Accent1 3 2 2 2 6 2" xfId="35543" xr:uid="{00000000-0005-0000-0000-0000C44E0000}"/>
    <cellStyle name="40% - Accent1 3 2 2 2 7" xfId="24242" xr:uid="{00000000-0005-0000-0000-0000C54E0000}"/>
    <cellStyle name="40% - Accent1 3 2 2 3" xfId="1009" xr:uid="{00000000-0005-0000-0000-0000C64E0000}"/>
    <cellStyle name="40% - Accent1 3 2 2 3 2" xfId="3072" xr:uid="{00000000-0005-0000-0000-0000C74E0000}"/>
    <cellStyle name="40% - Accent1 3 2 2 3 2 2" xfId="6044" xr:uid="{00000000-0005-0000-0000-0000C84E0000}"/>
    <cellStyle name="40% - Accent1 3 2 2 3 2 2 2" xfId="11694" xr:uid="{00000000-0005-0000-0000-0000C94E0000}"/>
    <cellStyle name="40% - Accent1 3 2 2 3 2 2 2 2" xfId="22995" xr:uid="{00000000-0005-0000-0000-0000CA4E0000}"/>
    <cellStyle name="40% - Accent1 3 2 2 3 2 2 2 2 2" xfId="45597" xr:uid="{00000000-0005-0000-0000-0000CB4E0000}"/>
    <cellStyle name="40% - Accent1 3 2 2 3 2 2 2 3" xfId="34296" xr:uid="{00000000-0005-0000-0000-0000CC4E0000}"/>
    <cellStyle name="40% - Accent1 3 2 2 3 2 2 3" xfId="17345" xr:uid="{00000000-0005-0000-0000-0000CD4E0000}"/>
    <cellStyle name="40% - Accent1 3 2 2 3 2 2 3 2" xfId="39947" xr:uid="{00000000-0005-0000-0000-0000CE4E0000}"/>
    <cellStyle name="40% - Accent1 3 2 2 3 2 2 4" xfId="28646" xr:uid="{00000000-0005-0000-0000-0000CF4E0000}"/>
    <cellStyle name="40% - Accent1 3 2 2 3 2 3" xfId="8862" xr:uid="{00000000-0005-0000-0000-0000D04E0000}"/>
    <cellStyle name="40% - Accent1 3 2 2 3 2 3 2" xfId="20163" xr:uid="{00000000-0005-0000-0000-0000D14E0000}"/>
    <cellStyle name="40% - Accent1 3 2 2 3 2 3 2 2" xfId="42765" xr:uid="{00000000-0005-0000-0000-0000D24E0000}"/>
    <cellStyle name="40% - Accent1 3 2 2 3 2 3 3" xfId="31464" xr:uid="{00000000-0005-0000-0000-0000D34E0000}"/>
    <cellStyle name="40% - Accent1 3 2 2 3 2 4" xfId="14513" xr:uid="{00000000-0005-0000-0000-0000D44E0000}"/>
    <cellStyle name="40% - Accent1 3 2 2 3 2 4 2" xfId="37115" xr:uid="{00000000-0005-0000-0000-0000D54E0000}"/>
    <cellStyle name="40% - Accent1 3 2 2 3 2 5" xfId="25814" xr:uid="{00000000-0005-0000-0000-0000D64E0000}"/>
    <cellStyle name="40% - Accent1 3 2 2 3 3" xfId="4810" xr:uid="{00000000-0005-0000-0000-0000D74E0000}"/>
    <cellStyle name="40% - Accent1 3 2 2 3 3 2" xfId="10460" xr:uid="{00000000-0005-0000-0000-0000D84E0000}"/>
    <cellStyle name="40% - Accent1 3 2 2 3 3 2 2" xfId="21761" xr:uid="{00000000-0005-0000-0000-0000D94E0000}"/>
    <cellStyle name="40% - Accent1 3 2 2 3 3 2 2 2" xfId="44363" xr:uid="{00000000-0005-0000-0000-0000DA4E0000}"/>
    <cellStyle name="40% - Accent1 3 2 2 3 3 2 3" xfId="33062" xr:uid="{00000000-0005-0000-0000-0000DB4E0000}"/>
    <cellStyle name="40% - Accent1 3 2 2 3 3 3" xfId="16111" xr:uid="{00000000-0005-0000-0000-0000DC4E0000}"/>
    <cellStyle name="40% - Accent1 3 2 2 3 3 3 2" xfId="38713" xr:uid="{00000000-0005-0000-0000-0000DD4E0000}"/>
    <cellStyle name="40% - Accent1 3 2 2 3 3 4" xfId="27412" xr:uid="{00000000-0005-0000-0000-0000DE4E0000}"/>
    <cellStyle name="40% - Accent1 3 2 2 3 4" xfId="6997" xr:uid="{00000000-0005-0000-0000-0000DF4E0000}"/>
    <cellStyle name="40% - Accent1 3 2 2 3 4 2" xfId="18298" xr:uid="{00000000-0005-0000-0000-0000E04E0000}"/>
    <cellStyle name="40% - Accent1 3 2 2 3 4 2 2" xfId="40900" xr:uid="{00000000-0005-0000-0000-0000E14E0000}"/>
    <cellStyle name="40% - Accent1 3 2 2 3 4 3" xfId="29599" xr:uid="{00000000-0005-0000-0000-0000E24E0000}"/>
    <cellStyle name="40% - Accent1 3 2 2 3 5" xfId="12648" xr:uid="{00000000-0005-0000-0000-0000E34E0000}"/>
    <cellStyle name="40% - Accent1 3 2 2 3 5 2" xfId="35250" xr:uid="{00000000-0005-0000-0000-0000E44E0000}"/>
    <cellStyle name="40% - Accent1 3 2 2 3 6" xfId="23949" xr:uid="{00000000-0005-0000-0000-0000E54E0000}"/>
    <cellStyle name="40% - Accent1 3 2 2 4" xfId="1814" xr:uid="{00000000-0005-0000-0000-0000E64E0000}"/>
    <cellStyle name="40% - Accent1 3 2 2 4 2" xfId="3705" xr:uid="{00000000-0005-0000-0000-0000E74E0000}"/>
    <cellStyle name="40% - Accent1 3 2 2 4 2 2" xfId="9416" xr:uid="{00000000-0005-0000-0000-0000E84E0000}"/>
    <cellStyle name="40% - Accent1 3 2 2 4 2 2 2" xfId="20717" xr:uid="{00000000-0005-0000-0000-0000E94E0000}"/>
    <cellStyle name="40% - Accent1 3 2 2 4 2 2 2 2" xfId="43319" xr:uid="{00000000-0005-0000-0000-0000EA4E0000}"/>
    <cellStyle name="40% - Accent1 3 2 2 4 2 2 3" xfId="32018" xr:uid="{00000000-0005-0000-0000-0000EB4E0000}"/>
    <cellStyle name="40% - Accent1 3 2 2 4 2 3" xfId="15067" xr:uid="{00000000-0005-0000-0000-0000EC4E0000}"/>
    <cellStyle name="40% - Accent1 3 2 2 4 2 3 2" xfId="37669" xr:uid="{00000000-0005-0000-0000-0000ED4E0000}"/>
    <cellStyle name="40% - Accent1 3 2 2 4 2 4" xfId="26368" xr:uid="{00000000-0005-0000-0000-0000EE4E0000}"/>
    <cellStyle name="40% - Accent1 3 2 2 4 3" xfId="5420" xr:uid="{00000000-0005-0000-0000-0000EF4E0000}"/>
    <cellStyle name="40% - Accent1 3 2 2 4 3 2" xfId="11070" xr:uid="{00000000-0005-0000-0000-0000F04E0000}"/>
    <cellStyle name="40% - Accent1 3 2 2 4 3 2 2" xfId="22371" xr:uid="{00000000-0005-0000-0000-0000F14E0000}"/>
    <cellStyle name="40% - Accent1 3 2 2 4 3 2 2 2" xfId="44973" xr:uid="{00000000-0005-0000-0000-0000F24E0000}"/>
    <cellStyle name="40% - Accent1 3 2 2 4 3 2 3" xfId="33672" xr:uid="{00000000-0005-0000-0000-0000F34E0000}"/>
    <cellStyle name="40% - Accent1 3 2 2 4 3 3" xfId="16721" xr:uid="{00000000-0005-0000-0000-0000F44E0000}"/>
    <cellStyle name="40% - Accent1 3 2 2 4 3 3 2" xfId="39323" xr:uid="{00000000-0005-0000-0000-0000F54E0000}"/>
    <cellStyle name="40% - Accent1 3 2 2 4 3 4" xfId="28022" xr:uid="{00000000-0005-0000-0000-0000F64E0000}"/>
    <cellStyle name="40% - Accent1 3 2 2 4 4" xfId="7670" xr:uid="{00000000-0005-0000-0000-0000F74E0000}"/>
    <cellStyle name="40% - Accent1 3 2 2 4 4 2" xfId="18971" xr:uid="{00000000-0005-0000-0000-0000F84E0000}"/>
    <cellStyle name="40% - Accent1 3 2 2 4 4 2 2" xfId="41573" xr:uid="{00000000-0005-0000-0000-0000F94E0000}"/>
    <cellStyle name="40% - Accent1 3 2 2 4 4 3" xfId="30272" xr:uid="{00000000-0005-0000-0000-0000FA4E0000}"/>
    <cellStyle name="40% - Accent1 3 2 2 4 5" xfId="13321" xr:uid="{00000000-0005-0000-0000-0000FB4E0000}"/>
    <cellStyle name="40% - Accent1 3 2 2 4 5 2" xfId="35923" xr:uid="{00000000-0005-0000-0000-0000FC4E0000}"/>
    <cellStyle name="40% - Accent1 3 2 2 4 6" xfId="24622" xr:uid="{00000000-0005-0000-0000-0000FD4E0000}"/>
    <cellStyle name="40% - Accent1 3 2 2 5" xfId="2401" xr:uid="{00000000-0005-0000-0000-0000FE4E0000}"/>
    <cellStyle name="40% - Accent1 3 2 2 5 2" xfId="8237" xr:uid="{00000000-0005-0000-0000-0000FF4E0000}"/>
    <cellStyle name="40% - Accent1 3 2 2 5 2 2" xfId="19538" xr:uid="{00000000-0005-0000-0000-0000004F0000}"/>
    <cellStyle name="40% - Accent1 3 2 2 5 2 2 2" xfId="42140" xr:uid="{00000000-0005-0000-0000-0000014F0000}"/>
    <cellStyle name="40% - Accent1 3 2 2 5 2 3" xfId="30839" xr:uid="{00000000-0005-0000-0000-0000024F0000}"/>
    <cellStyle name="40% - Accent1 3 2 2 5 3" xfId="13888" xr:uid="{00000000-0005-0000-0000-0000034F0000}"/>
    <cellStyle name="40% - Accent1 3 2 2 5 3 2" xfId="36490" xr:uid="{00000000-0005-0000-0000-0000044F0000}"/>
    <cellStyle name="40% - Accent1 3 2 2 5 4" xfId="25189" xr:uid="{00000000-0005-0000-0000-0000054F0000}"/>
    <cellStyle name="40% - Accent1 3 2 2 6" xfId="4186" xr:uid="{00000000-0005-0000-0000-0000064F0000}"/>
    <cellStyle name="40% - Accent1 3 2 2 6 2" xfId="9836" xr:uid="{00000000-0005-0000-0000-0000074F0000}"/>
    <cellStyle name="40% - Accent1 3 2 2 6 2 2" xfId="21137" xr:uid="{00000000-0005-0000-0000-0000084F0000}"/>
    <cellStyle name="40% - Accent1 3 2 2 6 2 2 2" xfId="43739" xr:uid="{00000000-0005-0000-0000-0000094F0000}"/>
    <cellStyle name="40% - Accent1 3 2 2 6 2 3" xfId="32438" xr:uid="{00000000-0005-0000-0000-00000A4F0000}"/>
    <cellStyle name="40% - Accent1 3 2 2 6 3" xfId="15487" xr:uid="{00000000-0005-0000-0000-00000B4F0000}"/>
    <cellStyle name="40% - Accent1 3 2 2 6 3 2" xfId="38089" xr:uid="{00000000-0005-0000-0000-00000C4F0000}"/>
    <cellStyle name="40% - Accent1 3 2 2 6 4" xfId="26788" xr:uid="{00000000-0005-0000-0000-00000D4F0000}"/>
    <cellStyle name="40% - Accent1 3 2 2 7" xfId="6666" xr:uid="{00000000-0005-0000-0000-00000E4F0000}"/>
    <cellStyle name="40% - Accent1 3 2 2 7 2" xfId="17967" xr:uid="{00000000-0005-0000-0000-00000F4F0000}"/>
    <cellStyle name="40% - Accent1 3 2 2 7 2 2" xfId="40569" xr:uid="{00000000-0005-0000-0000-0000104F0000}"/>
    <cellStyle name="40% - Accent1 3 2 2 7 3" xfId="29268" xr:uid="{00000000-0005-0000-0000-0000114F0000}"/>
    <cellStyle name="40% - Accent1 3 2 2 8" xfId="12317" xr:uid="{00000000-0005-0000-0000-0000124F0000}"/>
    <cellStyle name="40% - Accent1 3 2 2 8 2" xfId="34919" xr:uid="{00000000-0005-0000-0000-0000134F0000}"/>
    <cellStyle name="40% - Accent1 3 2 2 9" xfId="23618" xr:uid="{00000000-0005-0000-0000-0000144F0000}"/>
    <cellStyle name="40% - Accent1 3 2 3" xfId="1173" xr:uid="{00000000-0005-0000-0000-0000154F0000}"/>
    <cellStyle name="40% - Accent1 3 2 3 2" xfId="1816" xr:uid="{00000000-0005-0000-0000-0000164F0000}"/>
    <cellStyle name="40% - Accent1 3 2 3 2 2" xfId="3241" xr:uid="{00000000-0005-0000-0000-0000174F0000}"/>
    <cellStyle name="40% - Accent1 3 2 3 2 2 2" xfId="6213" xr:uid="{00000000-0005-0000-0000-0000184F0000}"/>
    <cellStyle name="40% - Accent1 3 2 3 2 2 2 2" xfId="11863" xr:uid="{00000000-0005-0000-0000-0000194F0000}"/>
    <cellStyle name="40% - Accent1 3 2 3 2 2 2 2 2" xfId="23164" xr:uid="{00000000-0005-0000-0000-00001A4F0000}"/>
    <cellStyle name="40% - Accent1 3 2 3 2 2 2 2 2 2" xfId="45766" xr:uid="{00000000-0005-0000-0000-00001B4F0000}"/>
    <cellStyle name="40% - Accent1 3 2 3 2 2 2 2 3" xfId="34465" xr:uid="{00000000-0005-0000-0000-00001C4F0000}"/>
    <cellStyle name="40% - Accent1 3 2 3 2 2 2 3" xfId="17514" xr:uid="{00000000-0005-0000-0000-00001D4F0000}"/>
    <cellStyle name="40% - Accent1 3 2 3 2 2 2 3 2" xfId="40116" xr:uid="{00000000-0005-0000-0000-00001E4F0000}"/>
    <cellStyle name="40% - Accent1 3 2 3 2 2 2 4" xfId="28815" xr:uid="{00000000-0005-0000-0000-00001F4F0000}"/>
    <cellStyle name="40% - Accent1 3 2 3 2 2 3" xfId="9031" xr:uid="{00000000-0005-0000-0000-0000204F0000}"/>
    <cellStyle name="40% - Accent1 3 2 3 2 2 3 2" xfId="20332" xr:uid="{00000000-0005-0000-0000-0000214F0000}"/>
    <cellStyle name="40% - Accent1 3 2 3 2 2 3 2 2" xfId="42934" xr:uid="{00000000-0005-0000-0000-0000224F0000}"/>
    <cellStyle name="40% - Accent1 3 2 3 2 2 3 3" xfId="31633" xr:uid="{00000000-0005-0000-0000-0000234F0000}"/>
    <cellStyle name="40% - Accent1 3 2 3 2 2 4" xfId="14682" xr:uid="{00000000-0005-0000-0000-0000244F0000}"/>
    <cellStyle name="40% - Accent1 3 2 3 2 2 4 2" xfId="37284" xr:uid="{00000000-0005-0000-0000-0000254F0000}"/>
    <cellStyle name="40% - Accent1 3 2 3 2 2 5" xfId="25983" xr:uid="{00000000-0005-0000-0000-0000264F0000}"/>
    <cellStyle name="40% - Accent1 3 2 3 2 3" xfId="4979" xr:uid="{00000000-0005-0000-0000-0000274F0000}"/>
    <cellStyle name="40% - Accent1 3 2 3 2 3 2" xfId="10629" xr:uid="{00000000-0005-0000-0000-0000284F0000}"/>
    <cellStyle name="40% - Accent1 3 2 3 2 3 2 2" xfId="21930" xr:uid="{00000000-0005-0000-0000-0000294F0000}"/>
    <cellStyle name="40% - Accent1 3 2 3 2 3 2 2 2" xfId="44532" xr:uid="{00000000-0005-0000-0000-00002A4F0000}"/>
    <cellStyle name="40% - Accent1 3 2 3 2 3 2 3" xfId="33231" xr:uid="{00000000-0005-0000-0000-00002B4F0000}"/>
    <cellStyle name="40% - Accent1 3 2 3 2 3 3" xfId="16280" xr:uid="{00000000-0005-0000-0000-00002C4F0000}"/>
    <cellStyle name="40% - Accent1 3 2 3 2 3 3 2" xfId="38882" xr:uid="{00000000-0005-0000-0000-00002D4F0000}"/>
    <cellStyle name="40% - Accent1 3 2 3 2 3 4" xfId="27581" xr:uid="{00000000-0005-0000-0000-00002E4F0000}"/>
    <cellStyle name="40% - Accent1 3 2 3 2 4" xfId="7672" xr:uid="{00000000-0005-0000-0000-00002F4F0000}"/>
    <cellStyle name="40% - Accent1 3 2 3 2 4 2" xfId="18973" xr:uid="{00000000-0005-0000-0000-0000304F0000}"/>
    <cellStyle name="40% - Accent1 3 2 3 2 4 2 2" xfId="41575" xr:uid="{00000000-0005-0000-0000-0000314F0000}"/>
    <cellStyle name="40% - Accent1 3 2 3 2 4 3" xfId="30274" xr:uid="{00000000-0005-0000-0000-0000324F0000}"/>
    <cellStyle name="40% - Accent1 3 2 3 2 5" xfId="13323" xr:uid="{00000000-0005-0000-0000-0000334F0000}"/>
    <cellStyle name="40% - Accent1 3 2 3 2 5 2" xfId="35925" xr:uid="{00000000-0005-0000-0000-0000344F0000}"/>
    <cellStyle name="40% - Accent1 3 2 3 2 6" xfId="24624" xr:uid="{00000000-0005-0000-0000-0000354F0000}"/>
    <cellStyle name="40% - Accent1 3 2 3 3" xfId="2570" xr:uid="{00000000-0005-0000-0000-0000364F0000}"/>
    <cellStyle name="40% - Accent1 3 2 3 3 2" xfId="5589" xr:uid="{00000000-0005-0000-0000-0000374F0000}"/>
    <cellStyle name="40% - Accent1 3 2 3 3 2 2" xfId="11239" xr:uid="{00000000-0005-0000-0000-0000384F0000}"/>
    <cellStyle name="40% - Accent1 3 2 3 3 2 2 2" xfId="22540" xr:uid="{00000000-0005-0000-0000-0000394F0000}"/>
    <cellStyle name="40% - Accent1 3 2 3 3 2 2 2 2" xfId="45142" xr:uid="{00000000-0005-0000-0000-00003A4F0000}"/>
    <cellStyle name="40% - Accent1 3 2 3 3 2 2 3" xfId="33841" xr:uid="{00000000-0005-0000-0000-00003B4F0000}"/>
    <cellStyle name="40% - Accent1 3 2 3 3 2 3" xfId="16890" xr:uid="{00000000-0005-0000-0000-00003C4F0000}"/>
    <cellStyle name="40% - Accent1 3 2 3 3 2 3 2" xfId="39492" xr:uid="{00000000-0005-0000-0000-00003D4F0000}"/>
    <cellStyle name="40% - Accent1 3 2 3 3 2 4" xfId="28191" xr:uid="{00000000-0005-0000-0000-00003E4F0000}"/>
    <cellStyle name="40% - Accent1 3 2 3 3 3" xfId="8406" xr:uid="{00000000-0005-0000-0000-00003F4F0000}"/>
    <cellStyle name="40% - Accent1 3 2 3 3 3 2" xfId="19707" xr:uid="{00000000-0005-0000-0000-0000404F0000}"/>
    <cellStyle name="40% - Accent1 3 2 3 3 3 2 2" xfId="42309" xr:uid="{00000000-0005-0000-0000-0000414F0000}"/>
    <cellStyle name="40% - Accent1 3 2 3 3 3 3" xfId="31008" xr:uid="{00000000-0005-0000-0000-0000424F0000}"/>
    <cellStyle name="40% - Accent1 3 2 3 3 4" xfId="14057" xr:uid="{00000000-0005-0000-0000-0000434F0000}"/>
    <cellStyle name="40% - Accent1 3 2 3 3 4 2" xfId="36659" xr:uid="{00000000-0005-0000-0000-0000444F0000}"/>
    <cellStyle name="40% - Accent1 3 2 3 3 5" xfId="25358" xr:uid="{00000000-0005-0000-0000-0000454F0000}"/>
    <cellStyle name="40% - Accent1 3 2 3 4" xfId="4355" xr:uid="{00000000-0005-0000-0000-0000464F0000}"/>
    <cellStyle name="40% - Accent1 3 2 3 4 2" xfId="10005" xr:uid="{00000000-0005-0000-0000-0000474F0000}"/>
    <cellStyle name="40% - Accent1 3 2 3 4 2 2" xfId="21306" xr:uid="{00000000-0005-0000-0000-0000484F0000}"/>
    <cellStyle name="40% - Accent1 3 2 3 4 2 2 2" xfId="43908" xr:uid="{00000000-0005-0000-0000-0000494F0000}"/>
    <cellStyle name="40% - Accent1 3 2 3 4 2 3" xfId="32607" xr:uid="{00000000-0005-0000-0000-00004A4F0000}"/>
    <cellStyle name="40% - Accent1 3 2 3 4 3" xfId="15656" xr:uid="{00000000-0005-0000-0000-00004B4F0000}"/>
    <cellStyle name="40% - Accent1 3 2 3 4 3 2" xfId="38258" xr:uid="{00000000-0005-0000-0000-00004C4F0000}"/>
    <cellStyle name="40% - Accent1 3 2 3 4 4" xfId="26957" xr:uid="{00000000-0005-0000-0000-00004D4F0000}"/>
    <cellStyle name="40% - Accent1 3 2 3 5" xfId="7152" xr:uid="{00000000-0005-0000-0000-00004E4F0000}"/>
    <cellStyle name="40% - Accent1 3 2 3 5 2" xfId="18453" xr:uid="{00000000-0005-0000-0000-00004F4F0000}"/>
    <cellStyle name="40% - Accent1 3 2 3 5 2 2" xfId="41055" xr:uid="{00000000-0005-0000-0000-0000504F0000}"/>
    <cellStyle name="40% - Accent1 3 2 3 5 3" xfId="29754" xr:uid="{00000000-0005-0000-0000-0000514F0000}"/>
    <cellStyle name="40% - Accent1 3 2 3 6" xfId="12803" xr:uid="{00000000-0005-0000-0000-0000524F0000}"/>
    <cellStyle name="40% - Accent1 3 2 3 6 2" xfId="35405" xr:uid="{00000000-0005-0000-0000-0000534F0000}"/>
    <cellStyle name="40% - Accent1 3 2 3 7" xfId="24104" xr:uid="{00000000-0005-0000-0000-0000544F0000}"/>
    <cellStyle name="40% - Accent1 3 2 4" xfId="862" xr:uid="{00000000-0005-0000-0000-0000554F0000}"/>
    <cellStyle name="40% - Accent1 3 2 4 2" xfId="2934" xr:uid="{00000000-0005-0000-0000-0000564F0000}"/>
    <cellStyle name="40% - Accent1 3 2 4 2 2" xfId="5906" xr:uid="{00000000-0005-0000-0000-0000574F0000}"/>
    <cellStyle name="40% - Accent1 3 2 4 2 2 2" xfId="11556" xr:uid="{00000000-0005-0000-0000-0000584F0000}"/>
    <cellStyle name="40% - Accent1 3 2 4 2 2 2 2" xfId="22857" xr:uid="{00000000-0005-0000-0000-0000594F0000}"/>
    <cellStyle name="40% - Accent1 3 2 4 2 2 2 2 2" xfId="45459" xr:uid="{00000000-0005-0000-0000-00005A4F0000}"/>
    <cellStyle name="40% - Accent1 3 2 4 2 2 2 3" xfId="34158" xr:uid="{00000000-0005-0000-0000-00005B4F0000}"/>
    <cellStyle name="40% - Accent1 3 2 4 2 2 3" xfId="17207" xr:uid="{00000000-0005-0000-0000-00005C4F0000}"/>
    <cellStyle name="40% - Accent1 3 2 4 2 2 3 2" xfId="39809" xr:uid="{00000000-0005-0000-0000-00005D4F0000}"/>
    <cellStyle name="40% - Accent1 3 2 4 2 2 4" xfId="28508" xr:uid="{00000000-0005-0000-0000-00005E4F0000}"/>
    <cellStyle name="40% - Accent1 3 2 4 2 3" xfId="8724" xr:uid="{00000000-0005-0000-0000-00005F4F0000}"/>
    <cellStyle name="40% - Accent1 3 2 4 2 3 2" xfId="20025" xr:uid="{00000000-0005-0000-0000-0000604F0000}"/>
    <cellStyle name="40% - Accent1 3 2 4 2 3 2 2" xfId="42627" xr:uid="{00000000-0005-0000-0000-0000614F0000}"/>
    <cellStyle name="40% - Accent1 3 2 4 2 3 3" xfId="31326" xr:uid="{00000000-0005-0000-0000-0000624F0000}"/>
    <cellStyle name="40% - Accent1 3 2 4 2 4" xfId="14375" xr:uid="{00000000-0005-0000-0000-0000634F0000}"/>
    <cellStyle name="40% - Accent1 3 2 4 2 4 2" xfId="36977" xr:uid="{00000000-0005-0000-0000-0000644F0000}"/>
    <cellStyle name="40% - Accent1 3 2 4 2 5" xfId="25676" xr:uid="{00000000-0005-0000-0000-0000654F0000}"/>
    <cellStyle name="40% - Accent1 3 2 4 3" xfId="4672" xr:uid="{00000000-0005-0000-0000-0000664F0000}"/>
    <cellStyle name="40% - Accent1 3 2 4 3 2" xfId="10322" xr:uid="{00000000-0005-0000-0000-0000674F0000}"/>
    <cellStyle name="40% - Accent1 3 2 4 3 2 2" xfId="21623" xr:uid="{00000000-0005-0000-0000-0000684F0000}"/>
    <cellStyle name="40% - Accent1 3 2 4 3 2 2 2" xfId="44225" xr:uid="{00000000-0005-0000-0000-0000694F0000}"/>
    <cellStyle name="40% - Accent1 3 2 4 3 2 3" xfId="32924" xr:uid="{00000000-0005-0000-0000-00006A4F0000}"/>
    <cellStyle name="40% - Accent1 3 2 4 3 3" xfId="15973" xr:uid="{00000000-0005-0000-0000-00006B4F0000}"/>
    <cellStyle name="40% - Accent1 3 2 4 3 3 2" xfId="38575" xr:uid="{00000000-0005-0000-0000-00006C4F0000}"/>
    <cellStyle name="40% - Accent1 3 2 4 3 4" xfId="27274" xr:uid="{00000000-0005-0000-0000-00006D4F0000}"/>
    <cellStyle name="40% - Accent1 3 2 4 4" xfId="6859" xr:uid="{00000000-0005-0000-0000-00006E4F0000}"/>
    <cellStyle name="40% - Accent1 3 2 4 4 2" xfId="18160" xr:uid="{00000000-0005-0000-0000-00006F4F0000}"/>
    <cellStyle name="40% - Accent1 3 2 4 4 2 2" xfId="40762" xr:uid="{00000000-0005-0000-0000-0000704F0000}"/>
    <cellStyle name="40% - Accent1 3 2 4 4 3" xfId="29461" xr:uid="{00000000-0005-0000-0000-0000714F0000}"/>
    <cellStyle name="40% - Accent1 3 2 4 5" xfId="12510" xr:uid="{00000000-0005-0000-0000-0000724F0000}"/>
    <cellStyle name="40% - Accent1 3 2 4 5 2" xfId="35112" xr:uid="{00000000-0005-0000-0000-0000734F0000}"/>
    <cellStyle name="40% - Accent1 3 2 4 6" xfId="23811" xr:uid="{00000000-0005-0000-0000-0000744F0000}"/>
    <cellStyle name="40% - Accent1 3 2 5" xfId="1813" xr:uid="{00000000-0005-0000-0000-0000754F0000}"/>
    <cellStyle name="40% - Accent1 3 2 5 2" xfId="3704" xr:uid="{00000000-0005-0000-0000-0000764F0000}"/>
    <cellStyle name="40% - Accent1 3 2 5 2 2" xfId="9415" xr:uid="{00000000-0005-0000-0000-0000774F0000}"/>
    <cellStyle name="40% - Accent1 3 2 5 2 2 2" xfId="20716" xr:uid="{00000000-0005-0000-0000-0000784F0000}"/>
    <cellStyle name="40% - Accent1 3 2 5 2 2 2 2" xfId="43318" xr:uid="{00000000-0005-0000-0000-0000794F0000}"/>
    <cellStyle name="40% - Accent1 3 2 5 2 2 3" xfId="32017" xr:uid="{00000000-0005-0000-0000-00007A4F0000}"/>
    <cellStyle name="40% - Accent1 3 2 5 2 3" xfId="15066" xr:uid="{00000000-0005-0000-0000-00007B4F0000}"/>
    <cellStyle name="40% - Accent1 3 2 5 2 3 2" xfId="37668" xr:uid="{00000000-0005-0000-0000-00007C4F0000}"/>
    <cellStyle name="40% - Accent1 3 2 5 2 4" xfId="26367" xr:uid="{00000000-0005-0000-0000-00007D4F0000}"/>
    <cellStyle name="40% - Accent1 3 2 5 3" xfId="5282" xr:uid="{00000000-0005-0000-0000-00007E4F0000}"/>
    <cellStyle name="40% - Accent1 3 2 5 3 2" xfId="10932" xr:uid="{00000000-0005-0000-0000-00007F4F0000}"/>
    <cellStyle name="40% - Accent1 3 2 5 3 2 2" xfId="22233" xr:uid="{00000000-0005-0000-0000-0000804F0000}"/>
    <cellStyle name="40% - Accent1 3 2 5 3 2 2 2" xfId="44835" xr:uid="{00000000-0005-0000-0000-0000814F0000}"/>
    <cellStyle name="40% - Accent1 3 2 5 3 2 3" xfId="33534" xr:uid="{00000000-0005-0000-0000-0000824F0000}"/>
    <cellStyle name="40% - Accent1 3 2 5 3 3" xfId="16583" xr:uid="{00000000-0005-0000-0000-0000834F0000}"/>
    <cellStyle name="40% - Accent1 3 2 5 3 3 2" xfId="39185" xr:uid="{00000000-0005-0000-0000-0000844F0000}"/>
    <cellStyle name="40% - Accent1 3 2 5 3 4" xfId="27884" xr:uid="{00000000-0005-0000-0000-0000854F0000}"/>
    <cellStyle name="40% - Accent1 3 2 5 4" xfId="7669" xr:uid="{00000000-0005-0000-0000-0000864F0000}"/>
    <cellStyle name="40% - Accent1 3 2 5 4 2" xfId="18970" xr:uid="{00000000-0005-0000-0000-0000874F0000}"/>
    <cellStyle name="40% - Accent1 3 2 5 4 2 2" xfId="41572" xr:uid="{00000000-0005-0000-0000-0000884F0000}"/>
    <cellStyle name="40% - Accent1 3 2 5 4 3" xfId="30271" xr:uid="{00000000-0005-0000-0000-0000894F0000}"/>
    <cellStyle name="40% - Accent1 3 2 5 5" xfId="13320" xr:uid="{00000000-0005-0000-0000-00008A4F0000}"/>
    <cellStyle name="40% - Accent1 3 2 5 5 2" xfId="35922" xr:uid="{00000000-0005-0000-0000-00008B4F0000}"/>
    <cellStyle name="40% - Accent1 3 2 5 6" xfId="24621" xr:uid="{00000000-0005-0000-0000-00008C4F0000}"/>
    <cellStyle name="40% - Accent1 3 2 6" xfId="2260" xr:uid="{00000000-0005-0000-0000-00008D4F0000}"/>
    <cellStyle name="40% - Accent1 3 2 6 2" xfId="8096" xr:uid="{00000000-0005-0000-0000-00008E4F0000}"/>
    <cellStyle name="40% - Accent1 3 2 6 2 2" xfId="19397" xr:uid="{00000000-0005-0000-0000-00008F4F0000}"/>
    <cellStyle name="40% - Accent1 3 2 6 2 2 2" xfId="41999" xr:uid="{00000000-0005-0000-0000-0000904F0000}"/>
    <cellStyle name="40% - Accent1 3 2 6 2 3" xfId="30698" xr:uid="{00000000-0005-0000-0000-0000914F0000}"/>
    <cellStyle name="40% - Accent1 3 2 6 3" xfId="13747" xr:uid="{00000000-0005-0000-0000-0000924F0000}"/>
    <cellStyle name="40% - Accent1 3 2 6 3 2" xfId="36349" xr:uid="{00000000-0005-0000-0000-0000934F0000}"/>
    <cellStyle name="40% - Accent1 3 2 6 4" xfId="25048" xr:uid="{00000000-0005-0000-0000-0000944F0000}"/>
    <cellStyle name="40% - Accent1 3 2 7" xfId="4048" xr:uid="{00000000-0005-0000-0000-0000954F0000}"/>
    <cellStyle name="40% - Accent1 3 2 7 2" xfId="9698" xr:uid="{00000000-0005-0000-0000-0000964F0000}"/>
    <cellStyle name="40% - Accent1 3 2 7 2 2" xfId="20999" xr:uid="{00000000-0005-0000-0000-0000974F0000}"/>
    <cellStyle name="40% - Accent1 3 2 7 2 2 2" xfId="43601" xr:uid="{00000000-0005-0000-0000-0000984F0000}"/>
    <cellStyle name="40% - Accent1 3 2 7 2 3" xfId="32300" xr:uid="{00000000-0005-0000-0000-0000994F0000}"/>
    <cellStyle name="40% - Accent1 3 2 7 3" xfId="15349" xr:uid="{00000000-0005-0000-0000-00009A4F0000}"/>
    <cellStyle name="40% - Accent1 3 2 7 3 2" xfId="37951" xr:uid="{00000000-0005-0000-0000-00009B4F0000}"/>
    <cellStyle name="40% - Accent1 3 2 7 4" xfId="26650" xr:uid="{00000000-0005-0000-0000-00009C4F0000}"/>
    <cellStyle name="40% - Accent1 3 2 8" xfId="6499" xr:uid="{00000000-0005-0000-0000-00009D4F0000}"/>
    <cellStyle name="40% - Accent1 3 2 8 2" xfId="17800" xr:uid="{00000000-0005-0000-0000-00009E4F0000}"/>
    <cellStyle name="40% - Accent1 3 2 8 2 2" xfId="40402" xr:uid="{00000000-0005-0000-0000-00009F4F0000}"/>
    <cellStyle name="40% - Accent1 3 2 8 3" xfId="29101" xr:uid="{00000000-0005-0000-0000-0000A04F0000}"/>
    <cellStyle name="40% - Accent1 3 2 9" xfId="12150" xr:uid="{00000000-0005-0000-0000-0000A14F0000}"/>
    <cellStyle name="40% - Accent1 3 2 9 2" xfId="34752" xr:uid="{00000000-0005-0000-0000-0000A24F0000}"/>
    <cellStyle name="40% - Accent1 3 3" xfId="405" xr:uid="{00000000-0005-0000-0000-0000A34F0000}"/>
    <cellStyle name="40% - Accent1 3 3 10" xfId="23500" xr:uid="{00000000-0005-0000-0000-0000A44F0000}"/>
    <cellStyle name="40% - Accent1 3 3 2" xfId="650" xr:uid="{00000000-0005-0000-0000-0000A54F0000}"/>
    <cellStyle name="40% - Accent1 3 3 2 2" xfId="1360" xr:uid="{00000000-0005-0000-0000-0000A64F0000}"/>
    <cellStyle name="40% - Accent1 3 3 2 2 2" xfId="1819" xr:uid="{00000000-0005-0000-0000-0000A74F0000}"/>
    <cellStyle name="40% - Accent1 3 3 2 2 2 2" xfId="3429" xr:uid="{00000000-0005-0000-0000-0000A84F0000}"/>
    <cellStyle name="40% - Accent1 3 3 2 2 2 2 2" xfId="6401" xr:uid="{00000000-0005-0000-0000-0000A94F0000}"/>
    <cellStyle name="40% - Accent1 3 3 2 2 2 2 2 2" xfId="12051" xr:uid="{00000000-0005-0000-0000-0000AA4F0000}"/>
    <cellStyle name="40% - Accent1 3 3 2 2 2 2 2 2 2" xfId="23352" xr:uid="{00000000-0005-0000-0000-0000AB4F0000}"/>
    <cellStyle name="40% - Accent1 3 3 2 2 2 2 2 2 2 2" xfId="45954" xr:uid="{00000000-0005-0000-0000-0000AC4F0000}"/>
    <cellStyle name="40% - Accent1 3 3 2 2 2 2 2 2 3" xfId="34653" xr:uid="{00000000-0005-0000-0000-0000AD4F0000}"/>
    <cellStyle name="40% - Accent1 3 3 2 2 2 2 2 3" xfId="17702" xr:uid="{00000000-0005-0000-0000-0000AE4F0000}"/>
    <cellStyle name="40% - Accent1 3 3 2 2 2 2 2 3 2" xfId="40304" xr:uid="{00000000-0005-0000-0000-0000AF4F0000}"/>
    <cellStyle name="40% - Accent1 3 3 2 2 2 2 2 4" xfId="29003" xr:uid="{00000000-0005-0000-0000-0000B04F0000}"/>
    <cellStyle name="40% - Accent1 3 3 2 2 2 2 3" xfId="9219" xr:uid="{00000000-0005-0000-0000-0000B14F0000}"/>
    <cellStyle name="40% - Accent1 3 3 2 2 2 2 3 2" xfId="20520" xr:uid="{00000000-0005-0000-0000-0000B24F0000}"/>
    <cellStyle name="40% - Accent1 3 3 2 2 2 2 3 2 2" xfId="43122" xr:uid="{00000000-0005-0000-0000-0000B34F0000}"/>
    <cellStyle name="40% - Accent1 3 3 2 2 2 2 3 3" xfId="31821" xr:uid="{00000000-0005-0000-0000-0000B44F0000}"/>
    <cellStyle name="40% - Accent1 3 3 2 2 2 2 4" xfId="14870" xr:uid="{00000000-0005-0000-0000-0000B54F0000}"/>
    <cellStyle name="40% - Accent1 3 3 2 2 2 2 4 2" xfId="37472" xr:uid="{00000000-0005-0000-0000-0000B64F0000}"/>
    <cellStyle name="40% - Accent1 3 3 2 2 2 2 5" xfId="26171" xr:uid="{00000000-0005-0000-0000-0000B74F0000}"/>
    <cellStyle name="40% - Accent1 3 3 2 2 2 3" xfId="5167" xr:uid="{00000000-0005-0000-0000-0000B84F0000}"/>
    <cellStyle name="40% - Accent1 3 3 2 2 2 3 2" xfId="10817" xr:uid="{00000000-0005-0000-0000-0000B94F0000}"/>
    <cellStyle name="40% - Accent1 3 3 2 2 2 3 2 2" xfId="22118" xr:uid="{00000000-0005-0000-0000-0000BA4F0000}"/>
    <cellStyle name="40% - Accent1 3 3 2 2 2 3 2 2 2" xfId="44720" xr:uid="{00000000-0005-0000-0000-0000BB4F0000}"/>
    <cellStyle name="40% - Accent1 3 3 2 2 2 3 2 3" xfId="33419" xr:uid="{00000000-0005-0000-0000-0000BC4F0000}"/>
    <cellStyle name="40% - Accent1 3 3 2 2 2 3 3" xfId="16468" xr:uid="{00000000-0005-0000-0000-0000BD4F0000}"/>
    <cellStyle name="40% - Accent1 3 3 2 2 2 3 3 2" xfId="39070" xr:uid="{00000000-0005-0000-0000-0000BE4F0000}"/>
    <cellStyle name="40% - Accent1 3 3 2 2 2 3 4" xfId="27769" xr:uid="{00000000-0005-0000-0000-0000BF4F0000}"/>
    <cellStyle name="40% - Accent1 3 3 2 2 2 4" xfId="7675" xr:uid="{00000000-0005-0000-0000-0000C04F0000}"/>
    <cellStyle name="40% - Accent1 3 3 2 2 2 4 2" xfId="18976" xr:uid="{00000000-0005-0000-0000-0000C14F0000}"/>
    <cellStyle name="40% - Accent1 3 3 2 2 2 4 2 2" xfId="41578" xr:uid="{00000000-0005-0000-0000-0000C24F0000}"/>
    <cellStyle name="40% - Accent1 3 3 2 2 2 4 3" xfId="30277" xr:uid="{00000000-0005-0000-0000-0000C34F0000}"/>
    <cellStyle name="40% - Accent1 3 3 2 2 2 5" xfId="13326" xr:uid="{00000000-0005-0000-0000-0000C44F0000}"/>
    <cellStyle name="40% - Accent1 3 3 2 2 2 5 2" xfId="35928" xr:uid="{00000000-0005-0000-0000-0000C54F0000}"/>
    <cellStyle name="40% - Accent1 3 3 2 2 2 6" xfId="24627" xr:uid="{00000000-0005-0000-0000-0000C64F0000}"/>
    <cellStyle name="40% - Accent1 3 3 2 2 3" xfId="2758" xr:uid="{00000000-0005-0000-0000-0000C74F0000}"/>
    <cellStyle name="40% - Accent1 3 3 2 2 3 2" xfId="5777" xr:uid="{00000000-0005-0000-0000-0000C84F0000}"/>
    <cellStyle name="40% - Accent1 3 3 2 2 3 2 2" xfId="11427" xr:uid="{00000000-0005-0000-0000-0000C94F0000}"/>
    <cellStyle name="40% - Accent1 3 3 2 2 3 2 2 2" xfId="22728" xr:uid="{00000000-0005-0000-0000-0000CA4F0000}"/>
    <cellStyle name="40% - Accent1 3 3 2 2 3 2 2 2 2" xfId="45330" xr:uid="{00000000-0005-0000-0000-0000CB4F0000}"/>
    <cellStyle name="40% - Accent1 3 3 2 2 3 2 2 3" xfId="34029" xr:uid="{00000000-0005-0000-0000-0000CC4F0000}"/>
    <cellStyle name="40% - Accent1 3 3 2 2 3 2 3" xfId="17078" xr:uid="{00000000-0005-0000-0000-0000CD4F0000}"/>
    <cellStyle name="40% - Accent1 3 3 2 2 3 2 3 2" xfId="39680" xr:uid="{00000000-0005-0000-0000-0000CE4F0000}"/>
    <cellStyle name="40% - Accent1 3 3 2 2 3 2 4" xfId="28379" xr:uid="{00000000-0005-0000-0000-0000CF4F0000}"/>
    <cellStyle name="40% - Accent1 3 3 2 2 3 3" xfId="8594" xr:uid="{00000000-0005-0000-0000-0000D04F0000}"/>
    <cellStyle name="40% - Accent1 3 3 2 2 3 3 2" xfId="19895" xr:uid="{00000000-0005-0000-0000-0000D14F0000}"/>
    <cellStyle name="40% - Accent1 3 3 2 2 3 3 2 2" xfId="42497" xr:uid="{00000000-0005-0000-0000-0000D24F0000}"/>
    <cellStyle name="40% - Accent1 3 3 2 2 3 3 3" xfId="31196" xr:uid="{00000000-0005-0000-0000-0000D34F0000}"/>
    <cellStyle name="40% - Accent1 3 3 2 2 3 4" xfId="14245" xr:uid="{00000000-0005-0000-0000-0000D44F0000}"/>
    <cellStyle name="40% - Accent1 3 3 2 2 3 4 2" xfId="36847" xr:uid="{00000000-0005-0000-0000-0000D54F0000}"/>
    <cellStyle name="40% - Accent1 3 3 2 2 3 5" xfId="25546" xr:uid="{00000000-0005-0000-0000-0000D64F0000}"/>
    <cellStyle name="40% - Accent1 3 3 2 2 4" xfId="4543" xr:uid="{00000000-0005-0000-0000-0000D74F0000}"/>
    <cellStyle name="40% - Accent1 3 3 2 2 4 2" xfId="10193" xr:uid="{00000000-0005-0000-0000-0000D84F0000}"/>
    <cellStyle name="40% - Accent1 3 3 2 2 4 2 2" xfId="21494" xr:uid="{00000000-0005-0000-0000-0000D94F0000}"/>
    <cellStyle name="40% - Accent1 3 3 2 2 4 2 2 2" xfId="44096" xr:uid="{00000000-0005-0000-0000-0000DA4F0000}"/>
    <cellStyle name="40% - Accent1 3 3 2 2 4 2 3" xfId="32795" xr:uid="{00000000-0005-0000-0000-0000DB4F0000}"/>
    <cellStyle name="40% - Accent1 3 3 2 2 4 3" xfId="15844" xr:uid="{00000000-0005-0000-0000-0000DC4F0000}"/>
    <cellStyle name="40% - Accent1 3 3 2 2 4 3 2" xfId="38446" xr:uid="{00000000-0005-0000-0000-0000DD4F0000}"/>
    <cellStyle name="40% - Accent1 3 3 2 2 4 4" xfId="27145" xr:uid="{00000000-0005-0000-0000-0000DE4F0000}"/>
    <cellStyle name="40% - Accent1 3 3 2 2 5" xfId="7339" xr:uid="{00000000-0005-0000-0000-0000DF4F0000}"/>
    <cellStyle name="40% - Accent1 3 3 2 2 5 2" xfId="18640" xr:uid="{00000000-0005-0000-0000-0000E04F0000}"/>
    <cellStyle name="40% - Accent1 3 3 2 2 5 2 2" xfId="41242" xr:uid="{00000000-0005-0000-0000-0000E14F0000}"/>
    <cellStyle name="40% - Accent1 3 3 2 2 5 3" xfId="29941" xr:uid="{00000000-0005-0000-0000-0000E24F0000}"/>
    <cellStyle name="40% - Accent1 3 3 2 2 6" xfId="12990" xr:uid="{00000000-0005-0000-0000-0000E34F0000}"/>
    <cellStyle name="40% - Accent1 3 3 2 2 6 2" xfId="35592" xr:uid="{00000000-0005-0000-0000-0000E44F0000}"/>
    <cellStyle name="40% - Accent1 3 3 2 2 7" xfId="24291" xr:uid="{00000000-0005-0000-0000-0000E54F0000}"/>
    <cellStyle name="40% - Accent1 3 3 2 3" xfId="1058" xr:uid="{00000000-0005-0000-0000-0000E64F0000}"/>
    <cellStyle name="40% - Accent1 3 3 2 3 2" xfId="3121" xr:uid="{00000000-0005-0000-0000-0000E74F0000}"/>
    <cellStyle name="40% - Accent1 3 3 2 3 2 2" xfId="6093" xr:uid="{00000000-0005-0000-0000-0000E84F0000}"/>
    <cellStyle name="40% - Accent1 3 3 2 3 2 2 2" xfId="11743" xr:uid="{00000000-0005-0000-0000-0000E94F0000}"/>
    <cellStyle name="40% - Accent1 3 3 2 3 2 2 2 2" xfId="23044" xr:uid="{00000000-0005-0000-0000-0000EA4F0000}"/>
    <cellStyle name="40% - Accent1 3 3 2 3 2 2 2 2 2" xfId="45646" xr:uid="{00000000-0005-0000-0000-0000EB4F0000}"/>
    <cellStyle name="40% - Accent1 3 3 2 3 2 2 2 3" xfId="34345" xr:uid="{00000000-0005-0000-0000-0000EC4F0000}"/>
    <cellStyle name="40% - Accent1 3 3 2 3 2 2 3" xfId="17394" xr:uid="{00000000-0005-0000-0000-0000ED4F0000}"/>
    <cellStyle name="40% - Accent1 3 3 2 3 2 2 3 2" xfId="39996" xr:uid="{00000000-0005-0000-0000-0000EE4F0000}"/>
    <cellStyle name="40% - Accent1 3 3 2 3 2 2 4" xfId="28695" xr:uid="{00000000-0005-0000-0000-0000EF4F0000}"/>
    <cellStyle name="40% - Accent1 3 3 2 3 2 3" xfId="8911" xr:uid="{00000000-0005-0000-0000-0000F04F0000}"/>
    <cellStyle name="40% - Accent1 3 3 2 3 2 3 2" xfId="20212" xr:uid="{00000000-0005-0000-0000-0000F14F0000}"/>
    <cellStyle name="40% - Accent1 3 3 2 3 2 3 2 2" xfId="42814" xr:uid="{00000000-0005-0000-0000-0000F24F0000}"/>
    <cellStyle name="40% - Accent1 3 3 2 3 2 3 3" xfId="31513" xr:uid="{00000000-0005-0000-0000-0000F34F0000}"/>
    <cellStyle name="40% - Accent1 3 3 2 3 2 4" xfId="14562" xr:uid="{00000000-0005-0000-0000-0000F44F0000}"/>
    <cellStyle name="40% - Accent1 3 3 2 3 2 4 2" xfId="37164" xr:uid="{00000000-0005-0000-0000-0000F54F0000}"/>
    <cellStyle name="40% - Accent1 3 3 2 3 2 5" xfId="25863" xr:uid="{00000000-0005-0000-0000-0000F64F0000}"/>
    <cellStyle name="40% - Accent1 3 3 2 3 3" xfId="4859" xr:uid="{00000000-0005-0000-0000-0000F74F0000}"/>
    <cellStyle name="40% - Accent1 3 3 2 3 3 2" xfId="10509" xr:uid="{00000000-0005-0000-0000-0000F84F0000}"/>
    <cellStyle name="40% - Accent1 3 3 2 3 3 2 2" xfId="21810" xr:uid="{00000000-0005-0000-0000-0000F94F0000}"/>
    <cellStyle name="40% - Accent1 3 3 2 3 3 2 2 2" xfId="44412" xr:uid="{00000000-0005-0000-0000-0000FA4F0000}"/>
    <cellStyle name="40% - Accent1 3 3 2 3 3 2 3" xfId="33111" xr:uid="{00000000-0005-0000-0000-0000FB4F0000}"/>
    <cellStyle name="40% - Accent1 3 3 2 3 3 3" xfId="16160" xr:uid="{00000000-0005-0000-0000-0000FC4F0000}"/>
    <cellStyle name="40% - Accent1 3 3 2 3 3 3 2" xfId="38762" xr:uid="{00000000-0005-0000-0000-0000FD4F0000}"/>
    <cellStyle name="40% - Accent1 3 3 2 3 3 4" xfId="27461" xr:uid="{00000000-0005-0000-0000-0000FE4F0000}"/>
    <cellStyle name="40% - Accent1 3 3 2 3 4" xfId="7046" xr:uid="{00000000-0005-0000-0000-0000FF4F0000}"/>
    <cellStyle name="40% - Accent1 3 3 2 3 4 2" xfId="18347" xr:uid="{00000000-0005-0000-0000-000000500000}"/>
    <cellStyle name="40% - Accent1 3 3 2 3 4 2 2" xfId="40949" xr:uid="{00000000-0005-0000-0000-000001500000}"/>
    <cellStyle name="40% - Accent1 3 3 2 3 4 3" xfId="29648" xr:uid="{00000000-0005-0000-0000-000002500000}"/>
    <cellStyle name="40% - Accent1 3 3 2 3 5" xfId="12697" xr:uid="{00000000-0005-0000-0000-000003500000}"/>
    <cellStyle name="40% - Accent1 3 3 2 3 5 2" xfId="35299" xr:uid="{00000000-0005-0000-0000-000004500000}"/>
    <cellStyle name="40% - Accent1 3 3 2 3 6" xfId="23998" xr:uid="{00000000-0005-0000-0000-000005500000}"/>
    <cellStyle name="40% - Accent1 3 3 2 4" xfId="1818" xr:uid="{00000000-0005-0000-0000-000006500000}"/>
    <cellStyle name="40% - Accent1 3 3 2 4 2" xfId="3707" xr:uid="{00000000-0005-0000-0000-000007500000}"/>
    <cellStyle name="40% - Accent1 3 3 2 4 2 2" xfId="9418" xr:uid="{00000000-0005-0000-0000-000008500000}"/>
    <cellStyle name="40% - Accent1 3 3 2 4 2 2 2" xfId="20719" xr:uid="{00000000-0005-0000-0000-000009500000}"/>
    <cellStyle name="40% - Accent1 3 3 2 4 2 2 2 2" xfId="43321" xr:uid="{00000000-0005-0000-0000-00000A500000}"/>
    <cellStyle name="40% - Accent1 3 3 2 4 2 2 3" xfId="32020" xr:uid="{00000000-0005-0000-0000-00000B500000}"/>
    <cellStyle name="40% - Accent1 3 3 2 4 2 3" xfId="15069" xr:uid="{00000000-0005-0000-0000-00000C500000}"/>
    <cellStyle name="40% - Accent1 3 3 2 4 2 3 2" xfId="37671" xr:uid="{00000000-0005-0000-0000-00000D500000}"/>
    <cellStyle name="40% - Accent1 3 3 2 4 2 4" xfId="26370" xr:uid="{00000000-0005-0000-0000-00000E500000}"/>
    <cellStyle name="40% - Accent1 3 3 2 4 3" xfId="5469" xr:uid="{00000000-0005-0000-0000-00000F500000}"/>
    <cellStyle name="40% - Accent1 3 3 2 4 3 2" xfId="11119" xr:uid="{00000000-0005-0000-0000-000010500000}"/>
    <cellStyle name="40% - Accent1 3 3 2 4 3 2 2" xfId="22420" xr:uid="{00000000-0005-0000-0000-000011500000}"/>
    <cellStyle name="40% - Accent1 3 3 2 4 3 2 2 2" xfId="45022" xr:uid="{00000000-0005-0000-0000-000012500000}"/>
    <cellStyle name="40% - Accent1 3 3 2 4 3 2 3" xfId="33721" xr:uid="{00000000-0005-0000-0000-000013500000}"/>
    <cellStyle name="40% - Accent1 3 3 2 4 3 3" xfId="16770" xr:uid="{00000000-0005-0000-0000-000014500000}"/>
    <cellStyle name="40% - Accent1 3 3 2 4 3 3 2" xfId="39372" xr:uid="{00000000-0005-0000-0000-000015500000}"/>
    <cellStyle name="40% - Accent1 3 3 2 4 3 4" xfId="28071" xr:uid="{00000000-0005-0000-0000-000016500000}"/>
    <cellStyle name="40% - Accent1 3 3 2 4 4" xfId="7674" xr:uid="{00000000-0005-0000-0000-000017500000}"/>
    <cellStyle name="40% - Accent1 3 3 2 4 4 2" xfId="18975" xr:uid="{00000000-0005-0000-0000-000018500000}"/>
    <cellStyle name="40% - Accent1 3 3 2 4 4 2 2" xfId="41577" xr:uid="{00000000-0005-0000-0000-000019500000}"/>
    <cellStyle name="40% - Accent1 3 3 2 4 4 3" xfId="30276" xr:uid="{00000000-0005-0000-0000-00001A500000}"/>
    <cellStyle name="40% - Accent1 3 3 2 4 5" xfId="13325" xr:uid="{00000000-0005-0000-0000-00001B500000}"/>
    <cellStyle name="40% - Accent1 3 3 2 4 5 2" xfId="35927" xr:uid="{00000000-0005-0000-0000-00001C500000}"/>
    <cellStyle name="40% - Accent1 3 3 2 4 6" xfId="24626" xr:uid="{00000000-0005-0000-0000-00001D500000}"/>
    <cellStyle name="40% - Accent1 3 3 2 5" xfId="2450" xr:uid="{00000000-0005-0000-0000-00001E500000}"/>
    <cellStyle name="40% - Accent1 3 3 2 5 2" xfId="8286" xr:uid="{00000000-0005-0000-0000-00001F500000}"/>
    <cellStyle name="40% - Accent1 3 3 2 5 2 2" xfId="19587" xr:uid="{00000000-0005-0000-0000-000020500000}"/>
    <cellStyle name="40% - Accent1 3 3 2 5 2 2 2" xfId="42189" xr:uid="{00000000-0005-0000-0000-000021500000}"/>
    <cellStyle name="40% - Accent1 3 3 2 5 2 3" xfId="30888" xr:uid="{00000000-0005-0000-0000-000022500000}"/>
    <cellStyle name="40% - Accent1 3 3 2 5 3" xfId="13937" xr:uid="{00000000-0005-0000-0000-000023500000}"/>
    <cellStyle name="40% - Accent1 3 3 2 5 3 2" xfId="36539" xr:uid="{00000000-0005-0000-0000-000024500000}"/>
    <cellStyle name="40% - Accent1 3 3 2 5 4" xfId="25238" xr:uid="{00000000-0005-0000-0000-000025500000}"/>
    <cellStyle name="40% - Accent1 3 3 2 6" xfId="4235" xr:uid="{00000000-0005-0000-0000-000026500000}"/>
    <cellStyle name="40% - Accent1 3 3 2 6 2" xfId="9885" xr:uid="{00000000-0005-0000-0000-000027500000}"/>
    <cellStyle name="40% - Accent1 3 3 2 6 2 2" xfId="21186" xr:uid="{00000000-0005-0000-0000-000028500000}"/>
    <cellStyle name="40% - Accent1 3 3 2 6 2 2 2" xfId="43788" xr:uid="{00000000-0005-0000-0000-000029500000}"/>
    <cellStyle name="40% - Accent1 3 3 2 6 2 3" xfId="32487" xr:uid="{00000000-0005-0000-0000-00002A500000}"/>
    <cellStyle name="40% - Accent1 3 3 2 6 3" xfId="15536" xr:uid="{00000000-0005-0000-0000-00002B500000}"/>
    <cellStyle name="40% - Accent1 3 3 2 6 3 2" xfId="38138" xr:uid="{00000000-0005-0000-0000-00002C500000}"/>
    <cellStyle name="40% - Accent1 3 3 2 6 4" xfId="26837" xr:uid="{00000000-0005-0000-0000-00002D500000}"/>
    <cellStyle name="40% - Accent1 3 3 2 7" xfId="6715" xr:uid="{00000000-0005-0000-0000-00002E500000}"/>
    <cellStyle name="40% - Accent1 3 3 2 7 2" xfId="18016" xr:uid="{00000000-0005-0000-0000-00002F500000}"/>
    <cellStyle name="40% - Accent1 3 3 2 7 2 2" xfId="40618" xr:uid="{00000000-0005-0000-0000-000030500000}"/>
    <cellStyle name="40% - Accent1 3 3 2 7 3" xfId="29317" xr:uid="{00000000-0005-0000-0000-000031500000}"/>
    <cellStyle name="40% - Accent1 3 3 2 8" xfId="12366" xr:uid="{00000000-0005-0000-0000-000032500000}"/>
    <cellStyle name="40% - Accent1 3 3 2 8 2" xfId="34968" xr:uid="{00000000-0005-0000-0000-000033500000}"/>
    <cellStyle name="40% - Accent1 3 3 2 9" xfId="23667" xr:uid="{00000000-0005-0000-0000-000034500000}"/>
    <cellStyle name="40% - Accent1 3 3 3" xfId="1222" xr:uid="{00000000-0005-0000-0000-000035500000}"/>
    <cellStyle name="40% - Accent1 3 3 3 2" xfId="1820" xr:uid="{00000000-0005-0000-0000-000036500000}"/>
    <cellStyle name="40% - Accent1 3 3 3 2 2" xfId="3290" xr:uid="{00000000-0005-0000-0000-000037500000}"/>
    <cellStyle name="40% - Accent1 3 3 3 2 2 2" xfId="6262" xr:uid="{00000000-0005-0000-0000-000038500000}"/>
    <cellStyle name="40% - Accent1 3 3 3 2 2 2 2" xfId="11912" xr:uid="{00000000-0005-0000-0000-000039500000}"/>
    <cellStyle name="40% - Accent1 3 3 3 2 2 2 2 2" xfId="23213" xr:uid="{00000000-0005-0000-0000-00003A500000}"/>
    <cellStyle name="40% - Accent1 3 3 3 2 2 2 2 2 2" xfId="45815" xr:uid="{00000000-0005-0000-0000-00003B500000}"/>
    <cellStyle name="40% - Accent1 3 3 3 2 2 2 2 3" xfId="34514" xr:uid="{00000000-0005-0000-0000-00003C500000}"/>
    <cellStyle name="40% - Accent1 3 3 3 2 2 2 3" xfId="17563" xr:uid="{00000000-0005-0000-0000-00003D500000}"/>
    <cellStyle name="40% - Accent1 3 3 3 2 2 2 3 2" xfId="40165" xr:uid="{00000000-0005-0000-0000-00003E500000}"/>
    <cellStyle name="40% - Accent1 3 3 3 2 2 2 4" xfId="28864" xr:uid="{00000000-0005-0000-0000-00003F500000}"/>
    <cellStyle name="40% - Accent1 3 3 3 2 2 3" xfId="9080" xr:uid="{00000000-0005-0000-0000-000040500000}"/>
    <cellStyle name="40% - Accent1 3 3 3 2 2 3 2" xfId="20381" xr:uid="{00000000-0005-0000-0000-000041500000}"/>
    <cellStyle name="40% - Accent1 3 3 3 2 2 3 2 2" xfId="42983" xr:uid="{00000000-0005-0000-0000-000042500000}"/>
    <cellStyle name="40% - Accent1 3 3 3 2 2 3 3" xfId="31682" xr:uid="{00000000-0005-0000-0000-000043500000}"/>
    <cellStyle name="40% - Accent1 3 3 3 2 2 4" xfId="14731" xr:uid="{00000000-0005-0000-0000-000044500000}"/>
    <cellStyle name="40% - Accent1 3 3 3 2 2 4 2" xfId="37333" xr:uid="{00000000-0005-0000-0000-000045500000}"/>
    <cellStyle name="40% - Accent1 3 3 3 2 2 5" xfId="26032" xr:uid="{00000000-0005-0000-0000-000046500000}"/>
    <cellStyle name="40% - Accent1 3 3 3 2 3" xfId="5028" xr:uid="{00000000-0005-0000-0000-000047500000}"/>
    <cellStyle name="40% - Accent1 3 3 3 2 3 2" xfId="10678" xr:uid="{00000000-0005-0000-0000-000048500000}"/>
    <cellStyle name="40% - Accent1 3 3 3 2 3 2 2" xfId="21979" xr:uid="{00000000-0005-0000-0000-000049500000}"/>
    <cellStyle name="40% - Accent1 3 3 3 2 3 2 2 2" xfId="44581" xr:uid="{00000000-0005-0000-0000-00004A500000}"/>
    <cellStyle name="40% - Accent1 3 3 3 2 3 2 3" xfId="33280" xr:uid="{00000000-0005-0000-0000-00004B500000}"/>
    <cellStyle name="40% - Accent1 3 3 3 2 3 3" xfId="16329" xr:uid="{00000000-0005-0000-0000-00004C500000}"/>
    <cellStyle name="40% - Accent1 3 3 3 2 3 3 2" xfId="38931" xr:uid="{00000000-0005-0000-0000-00004D500000}"/>
    <cellStyle name="40% - Accent1 3 3 3 2 3 4" xfId="27630" xr:uid="{00000000-0005-0000-0000-00004E500000}"/>
    <cellStyle name="40% - Accent1 3 3 3 2 4" xfId="7676" xr:uid="{00000000-0005-0000-0000-00004F500000}"/>
    <cellStyle name="40% - Accent1 3 3 3 2 4 2" xfId="18977" xr:uid="{00000000-0005-0000-0000-000050500000}"/>
    <cellStyle name="40% - Accent1 3 3 3 2 4 2 2" xfId="41579" xr:uid="{00000000-0005-0000-0000-000051500000}"/>
    <cellStyle name="40% - Accent1 3 3 3 2 4 3" xfId="30278" xr:uid="{00000000-0005-0000-0000-000052500000}"/>
    <cellStyle name="40% - Accent1 3 3 3 2 5" xfId="13327" xr:uid="{00000000-0005-0000-0000-000053500000}"/>
    <cellStyle name="40% - Accent1 3 3 3 2 5 2" xfId="35929" xr:uid="{00000000-0005-0000-0000-000054500000}"/>
    <cellStyle name="40% - Accent1 3 3 3 2 6" xfId="24628" xr:uid="{00000000-0005-0000-0000-000055500000}"/>
    <cellStyle name="40% - Accent1 3 3 3 3" xfId="2619" xr:uid="{00000000-0005-0000-0000-000056500000}"/>
    <cellStyle name="40% - Accent1 3 3 3 3 2" xfId="5638" xr:uid="{00000000-0005-0000-0000-000057500000}"/>
    <cellStyle name="40% - Accent1 3 3 3 3 2 2" xfId="11288" xr:uid="{00000000-0005-0000-0000-000058500000}"/>
    <cellStyle name="40% - Accent1 3 3 3 3 2 2 2" xfId="22589" xr:uid="{00000000-0005-0000-0000-000059500000}"/>
    <cellStyle name="40% - Accent1 3 3 3 3 2 2 2 2" xfId="45191" xr:uid="{00000000-0005-0000-0000-00005A500000}"/>
    <cellStyle name="40% - Accent1 3 3 3 3 2 2 3" xfId="33890" xr:uid="{00000000-0005-0000-0000-00005B500000}"/>
    <cellStyle name="40% - Accent1 3 3 3 3 2 3" xfId="16939" xr:uid="{00000000-0005-0000-0000-00005C500000}"/>
    <cellStyle name="40% - Accent1 3 3 3 3 2 3 2" xfId="39541" xr:uid="{00000000-0005-0000-0000-00005D500000}"/>
    <cellStyle name="40% - Accent1 3 3 3 3 2 4" xfId="28240" xr:uid="{00000000-0005-0000-0000-00005E500000}"/>
    <cellStyle name="40% - Accent1 3 3 3 3 3" xfId="8455" xr:uid="{00000000-0005-0000-0000-00005F500000}"/>
    <cellStyle name="40% - Accent1 3 3 3 3 3 2" xfId="19756" xr:uid="{00000000-0005-0000-0000-000060500000}"/>
    <cellStyle name="40% - Accent1 3 3 3 3 3 2 2" xfId="42358" xr:uid="{00000000-0005-0000-0000-000061500000}"/>
    <cellStyle name="40% - Accent1 3 3 3 3 3 3" xfId="31057" xr:uid="{00000000-0005-0000-0000-000062500000}"/>
    <cellStyle name="40% - Accent1 3 3 3 3 4" xfId="14106" xr:uid="{00000000-0005-0000-0000-000063500000}"/>
    <cellStyle name="40% - Accent1 3 3 3 3 4 2" xfId="36708" xr:uid="{00000000-0005-0000-0000-000064500000}"/>
    <cellStyle name="40% - Accent1 3 3 3 3 5" xfId="25407" xr:uid="{00000000-0005-0000-0000-000065500000}"/>
    <cellStyle name="40% - Accent1 3 3 3 4" xfId="4404" xr:uid="{00000000-0005-0000-0000-000066500000}"/>
    <cellStyle name="40% - Accent1 3 3 3 4 2" xfId="10054" xr:uid="{00000000-0005-0000-0000-000067500000}"/>
    <cellStyle name="40% - Accent1 3 3 3 4 2 2" xfId="21355" xr:uid="{00000000-0005-0000-0000-000068500000}"/>
    <cellStyle name="40% - Accent1 3 3 3 4 2 2 2" xfId="43957" xr:uid="{00000000-0005-0000-0000-000069500000}"/>
    <cellStyle name="40% - Accent1 3 3 3 4 2 3" xfId="32656" xr:uid="{00000000-0005-0000-0000-00006A500000}"/>
    <cellStyle name="40% - Accent1 3 3 3 4 3" xfId="15705" xr:uid="{00000000-0005-0000-0000-00006B500000}"/>
    <cellStyle name="40% - Accent1 3 3 3 4 3 2" xfId="38307" xr:uid="{00000000-0005-0000-0000-00006C500000}"/>
    <cellStyle name="40% - Accent1 3 3 3 4 4" xfId="27006" xr:uid="{00000000-0005-0000-0000-00006D500000}"/>
    <cellStyle name="40% - Accent1 3 3 3 5" xfId="7201" xr:uid="{00000000-0005-0000-0000-00006E500000}"/>
    <cellStyle name="40% - Accent1 3 3 3 5 2" xfId="18502" xr:uid="{00000000-0005-0000-0000-00006F500000}"/>
    <cellStyle name="40% - Accent1 3 3 3 5 2 2" xfId="41104" xr:uid="{00000000-0005-0000-0000-000070500000}"/>
    <cellStyle name="40% - Accent1 3 3 3 5 3" xfId="29803" xr:uid="{00000000-0005-0000-0000-000071500000}"/>
    <cellStyle name="40% - Accent1 3 3 3 6" xfId="12852" xr:uid="{00000000-0005-0000-0000-000072500000}"/>
    <cellStyle name="40% - Accent1 3 3 3 6 2" xfId="35454" xr:uid="{00000000-0005-0000-0000-000073500000}"/>
    <cellStyle name="40% - Accent1 3 3 3 7" xfId="24153" xr:uid="{00000000-0005-0000-0000-000074500000}"/>
    <cellStyle name="40% - Accent1 3 3 4" xfId="913" xr:uid="{00000000-0005-0000-0000-000075500000}"/>
    <cellStyle name="40% - Accent1 3 3 4 2" xfId="2983" xr:uid="{00000000-0005-0000-0000-000076500000}"/>
    <cellStyle name="40% - Accent1 3 3 4 2 2" xfId="5955" xr:uid="{00000000-0005-0000-0000-000077500000}"/>
    <cellStyle name="40% - Accent1 3 3 4 2 2 2" xfId="11605" xr:uid="{00000000-0005-0000-0000-000078500000}"/>
    <cellStyle name="40% - Accent1 3 3 4 2 2 2 2" xfId="22906" xr:uid="{00000000-0005-0000-0000-000079500000}"/>
    <cellStyle name="40% - Accent1 3 3 4 2 2 2 2 2" xfId="45508" xr:uid="{00000000-0005-0000-0000-00007A500000}"/>
    <cellStyle name="40% - Accent1 3 3 4 2 2 2 3" xfId="34207" xr:uid="{00000000-0005-0000-0000-00007B500000}"/>
    <cellStyle name="40% - Accent1 3 3 4 2 2 3" xfId="17256" xr:uid="{00000000-0005-0000-0000-00007C500000}"/>
    <cellStyle name="40% - Accent1 3 3 4 2 2 3 2" xfId="39858" xr:uid="{00000000-0005-0000-0000-00007D500000}"/>
    <cellStyle name="40% - Accent1 3 3 4 2 2 4" xfId="28557" xr:uid="{00000000-0005-0000-0000-00007E500000}"/>
    <cellStyle name="40% - Accent1 3 3 4 2 3" xfId="8773" xr:uid="{00000000-0005-0000-0000-00007F500000}"/>
    <cellStyle name="40% - Accent1 3 3 4 2 3 2" xfId="20074" xr:uid="{00000000-0005-0000-0000-000080500000}"/>
    <cellStyle name="40% - Accent1 3 3 4 2 3 2 2" xfId="42676" xr:uid="{00000000-0005-0000-0000-000081500000}"/>
    <cellStyle name="40% - Accent1 3 3 4 2 3 3" xfId="31375" xr:uid="{00000000-0005-0000-0000-000082500000}"/>
    <cellStyle name="40% - Accent1 3 3 4 2 4" xfId="14424" xr:uid="{00000000-0005-0000-0000-000083500000}"/>
    <cellStyle name="40% - Accent1 3 3 4 2 4 2" xfId="37026" xr:uid="{00000000-0005-0000-0000-000084500000}"/>
    <cellStyle name="40% - Accent1 3 3 4 2 5" xfId="25725" xr:uid="{00000000-0005-0000-0000-000085500000}"/>
    <cellStyle name="40% - Accent1 3 3 4 3" xfId="4721" xr:uid="{00000000-0005-0000-0000-000086500000}"/>
    <cellStyle name="40% - Accent1 3 3 4 3 2" xfId="10371" xr:uid="{00000000-0005-0000-0000-000087500000}"/>
    <cellStyle name="40% - Accent1 3 3 4 3 2 2" xfId="21672" xr:uid="{00000000-0005-0000-0000-000088500000}"/>
    <cellStyle name="40% - Accent1 3 3 4 3 2 2 2" xfId="44274" xr:uid="{00000000-0005-0000-0000-000089500000}"/>
    <cellStyle name="40% - Accent1 3 3 4 3 2 3" xfId="32973" xr:uid="{00000000-0005-0000-0000-00008A500000}"/>
    <cellStyle name="40% - Accent1 3 3 4 3 3" xfId="16022" xr:uid="{00000000-0005-0000-0000-00008B500000}"/>
    <cellStyle name="40% - Accent1 3 3 4 3 3 2" xfId="38624" xr:uid="{00000000-0005-0000-0000-00008C500000}"/>
    <cellStyle name="40% - Accent1 3 3 4 3 4" xfId="27323" xr:uid="{00000000-0005-0000-0000-00008D500000}"/>
    <cellStyle name="40% - Accent1 3 3 4 4" xfId="6908" xr:uid="{00000000-0005-0000-0000-00008E500000}"/>
    <cellStyle name="40% - Accent1 3 3 4 4 2" xfId="18209" xr:uid="{00000000-0005-0000-0000-00008F500000}"/>
    <cellStyle name="40% - Accent1 3 3 4 4 2 2" xfId="40811" xr:uid="{00000000-0005-0000-0000-000090500000}"/>
    <cellStyle name="40% - Accent1 3 3 4 4 3" xfId="29510" xr:uid="{00000000-0005-0000-0000-000091500000}"/>
    <cellStyle name="40% - Accent1 3 3 4 5" xfId="12559" xr:uid="{00000000-0005-0000-0000-000092500000}"/>
    <cellStyle name="40% - Accent1 3 3 4 5 2" xfId="35161" xr:uid="{00000000-0005-0000-0000-000093500000}"/>
    <cellStyle name="40% - Accent1 3 3 4 6" xfId="23860" xr:uid="{00000000-0005-0000-0000-000094500000}"/>
    <cellStyle name="40% - Accent1 3 3 5" xfId="1817" xr:uid="{00000000-0005-0000-0000-000095500000}"/>
    <cellStyle name="40% - Accent1 3 3 5 2" xfId="3706" xr:uid="{00000000-0005-0000-0000-000096500000}"/>
    <cellStyle name="40% - Accent1 3 3 5 2 2" xfId="9417" xr:uid="{00000000-0005-0000-0000-000097500000}"/>
    <cellStyle name="40% - Accent1 3 3 5 2 2 2" xfId="20718" xr:uid="{00000000-0005-0000-0000-000098500000}"/>
    <cellStyle name="40% - Accent1 3 3 5 2 2 2 2" xfId="43320" xr:uid="{00000000-0005-0000-0000-000099500000}"/>
    <cellStyle name="40% - Accent1 3 3 5 2 2 3" xfId="32019" xr:uid="{00000000-0005-0000-0000-00009A500000}"/>
    <cellStyle name="40% - Accent1 3 3 5 2 3" xfId="15068" xr:uid="{00000000-0005-0000-0000-00009B500000}"/>
    <cellStyle name="40% - Accent1 3 3 5 2 3 2" xfId="37670" xr:uid="{00000000-0005-0000-0000-00009C500000}"/>
    <cellStyle name="40% - Accent1 3 3 5 2 4" xfId="26369" xr:uid="{00000000-0005-0000-0000-00009D500000}"/>
    <cellStyle name="40% - Accent1 3 3 5 3" xfId="5331" xr:uid="{00000000-0005-0000-0000-00009E500000}"/>
    <cellStyle name="40% - Accent1 3 3 5 3 2" xfId="10981" xr:uid="{00000000-0005-0000-0000-00009F500000}"/>
    <cellStyle name="40% - Accent1 3 3 5 3 2 2" xfId="22282" xr:uid="{00000000-0005-0000-0000-0000A0500000}"/>
    <cellStyle name="40% - Accent1 3 3 5 3 2 2 2" xfId="44884" xr:uid="{00000000-0005-0000-0000-0000A1500000}"/>
    <cellStyle name="40% - Accent1 3 3 5 3 2 3" xfId="33583" xr:uid="{00000000-0005-0000-0000-0000A2500000}"/>
    <cellStyle name="40% - Accent1 3 3 5 3 3" xfId="16632" xr:uid="{00000000-0005-0000-0000-0000A3500000}"/>
    <cellStyle name="40% - Accent1 3 3 5 3 3 2" xfId="39234" xr:uid="{00000000-0005-0000-0000-0000A4500000}"/>
    <cellStyle name="40% - Accent1 3 3 5 3 4" xfId="27933" xr:uid="{00000000-0005-0000-0000-0000A5500000}"/>
    <cellStyle name="40% - Accent1 3 3 5 4" xfId="7673" xr:uid="{00000000-0005-0000-0000-0000A6500000}"/>
    <cellStyle name="40% - Accent1 3 3 5 4 2" xfId="18974" xr:uid="{00000000-0005-0000-0000-0000A7500000}"/>
    <cellStyle name="40% - Accent1 3 3 5 4 2 2" xfId="41576" xr:uid="{00000000-0005-0000-0000-0000A8500000}"/>
    <cellStyle name="40% - Accent1 3 3 5 4 3" xfId="30275" xr:uid="{00000000-0005-0000-0000-0000A9500000}"/>
    <cellStyle name="40% - Accent1 3 3 5 5" xfId="13324" xr:uid="{00000000-0005-0000-0000-0000AA500000}"/>
    <cellStyle name="40% - Accent1 3 3 5 5 2" xfId="35926" xr:uid="{00000000-0005-0000-0000-0000AB500000}"/>
    <cellStyle name="40% - Accent1 3 3 5 6" xfId="24625" xr:uid="{00000000-0005-0000-0000-0000AC500000}"/>
    <cellStyle name="40% - Accent1 3 3 6" xfId="2310" xr:uid="{00000000-0005-0000-0000-0000AD500000}"/>
    <cellStyle name="40% - Accent1 3 3 6 2" xfId="8146" xr:uid="{00000000-0005-0000-0000-0000AE500000}"/>
    <cellStyle name="40% - Accent1 3 3 6 2 2" xfId="19447" xr:uid="{00000000-0005-0000-0000-0000AF500000}"/>
    <cellStyle name="40% - Accent1 3 3 6 2 2 2" xfId="42049" xr:uid="{00000000-0005-0000-0000-0000B0500000}"/>
    <cellStyle name="40% - Accent1 3 3 6 2 3" xfId="30748" xr:uid="{00000000-0005-0000-0000-0000B1500000}"/>
    <cellStyle name="40% - Accent1 3 3 6 3" xfId="13797" xr:uid="{00000000-0005-0000-0000-0000B2500000}"/>
    <cellStyle name="40% - Accent1 3 3 6 3 2" xfId="36399" xr:uid="{00000000-0005-0000-0000-0000B3500000}"/>
    <cellStyle name="40% - Accent1 3 3 6 4" xfId="25098" xr:uid="{00000000-0005-0000-0000-0000B4500000}"/>
    <cellStyle name="40% - Accent1 3 3 7" xfId="4097" xr:uid="{00000000-0005-0000-0000-0000B5500000}"/>
    <cellStyle name="40% - Accent1 3 3 7 2" xfId="9747" xr:uid="{00000000-0005-0000-0000-0000B6500000}"/>
    <cellStyle name="40% - Accent1 3 3 7 2 2" xfId="21048" xr:uid="{00000000-0005-0000-0000-0000B7500000}"/>
    <cellStyle name="40% - Accent1 3 3 7 2 2 2" xfId="43650" xr:uid="{00000000-0005-0000-0000-0000B8500000}"/>
    <cellStyle name="40% - Accent1 3 3 7 2 3" xfId="32349" xr:uid="{00000000-0005-0000-0000-0000B9500000}"/>
    <cellStyle name="40% - Accent1 3 3 7 3" xfId="15398" xr:uid="{00000000-0005-0000-0000-0000BA500000}"/>
    <cellStyle name="40% - Accent1 3 3 7 3 2" xfId="38000" xr:uid="{00000000-0005-0000-0000-0000BB500000}"/>
    <cellStyle name="40% - Accent1 3 3 7 4" xfId="26699" xr:uid="{00000000-0005-0000-0000-0000BC500000}"/>
    <cellStyle name="40% - Accent1 3 3 8" xfId="6548" xr:uid="{00000000-0005-0000-0000-0000BD500000}"/>
    <cellStyle name="40% - Accent1 3 3 8 2" xfId="17849" xr:uid="{00000000-0005-0000-0000-0000BE500000}"/>
    <cellStyle name="40% - Accent1 3 3 8 2 2" xfId="40451" xr:uid="{00000000-0005-0000-0000-0000BF500000}"/>
    <cellStyle name="40% - Accent1 3 3 8 3" xfId="29150" xr:uid="{00000000-0005-0000-0000-0000C0500000}"/>
    <cellStyle name="40% - Accent1 3 3 9" xfId="12199" xr:uid="{00000000-0005-0000-0000-0000C1500000}"/>
    <cellStyle name="40% - Accent1 3 3 9 2" xfId="34801" xr:uid="{00000000-0005-0000-0000-0000C2500000}"/>
    <cellStyle name="40% - Accent1 3 4" xfId="541" xr:uid="{00000000-0005-0000-0000-0000C3500000}"/>
    <cellStyle name="40% - Accent1 3 4 2" xfId="1126" xr:uid="{00000000-0005-0000-0000-0000C4500000}"/>
    <cellStyle name="40% - Accent1 3 4 2 2" xfId="1822" xr:uid="{00000000-0005-0000-0000-0000C5500000}"/>
    <cellStyle name="40% - Accent1 3 4 2 2 2" xfId="3193" xr:uid="{00000000-0005-0000-0000-0000C6500000}"/>
    <cellStyle name="40% - Accent1 3 4 2 2 2 2" xfId="6165" xr:uid="{00000000-0005-0000-0000-0000C7500000}"/>
    <cellStyle name="40% - Accent1 3 4 2 2 2 2 2" xfId="11815" xr:uid="{00000000-0005-0000-0000-0000C8500000}"/>
    <cellStyle name="40% - Accent1 3 4 2 2 2 2 2 2" xfId="23116" xr:uid="{00000000-0005-0000-0000-0000C9500000}"/>
    <cellStyle name="40% - Accent1 3 4 2 2 2 2 2 2 2" xfId="45718" xr:uid="{00000000-0005-0000-0000-0000CA500000}"/>
    <cellStyle name="40% - Accent1 3 4 2 2 2 2 2 3" xfId="34417" xr:uid="{00000000-0005-0000-0000-0000CB500000}"/>
    <cellStyle name="40% - Accent1 3 4 2 2 2 2 3" xfId="17466" xr:uid="{00000000-0005-0000-0000-0000CC500000}"/>
    <cellStyle name="40% - Accent1 3 4 2 2 2 2 3 2" xfId="40068" xr:uid="{00000000-0005-0000-0000-0000CD500000}"/>
    <cellStyle name="40% - Accent1 3 4 2 2 2 2 4" xfId="28767" xr:uid="{00000000-0005-0000-0000-0000CE500000}"/>
    <cellStyle name="40% - Accent1 3 4 2 2 2 3" xfId="8983" xr:uid="{00000000-0005-0000-0000-0000CF500000}"/>
    <cellStyle name="40% - Accent1 3 4 2 2 2 3 2" xfId="20284" xr:uid="{00000000-0005-0000-0000-0000D0500000}"/>
    <cellStyle name="40% - Accent1 3 4 2 2 2 3 2 2" xfId="42886" xr:uid="{00000000-0005-0000-0000-0000D1500000}"/>
    <cellStyle name="40% - Accent1 3 4 2 2 2 3 3" xfId="31585" xr:uid="{00000000-0005-0000-0000-0000D2500000}"/>
    <cellStyle name="40% - Accent1 3 4 2 2 2 4" xfId="14634" xr:uid="{00000000-0005-0000-0000-0000D3500000}"/>
    <cellStyle name="40% - Accent1 3 4 2 2 2 4 2" xfId="37236" xr:uid="{00000000-0005-0000-0000-0000D4500000}"/>
    <cellStyle name="40% - Accent1 3 4 2 2 2 5" xfId="25935" xr:uid="{00000000-0005-0000-0000-0000D5500000}"/>
    <cellStyle name="40% - Accent1 3 4 2 2 3" xfId="4931" xr:uid="{00000000-0005-0000-0000-0000D6500000}"/>
    <cellStyle name="40% - Accent1 3 4 2 2 3 2" xfId="10581" xr:uid="{00000000-0005-0000-0000-0000D7500000}"/>
    <cellStyle name="40% - Accent1 3 4 2 2 3 2 2" xfId="21882" xr:uid="{00000000-0005-0000-0000-0000D8500000}"/>
    <cellStyle name="40% - Accent1 3 4 2 2 3 2 2 2" xfId="44484" xr:uid="{00000000-0005-0000-0000-0000D9500000}"/>
    <cellStyle name="40% - Accent1 3 4 2 2 3 2 3" xfId="33183" xr:uid="{00000000-0005-0000-0000-0000DA500000}"/>
    <cellStyle name="40% - Accent1 3 4 2 2 3 3" xfId="16232" xr:uid="{00000000-0005-0000-0000-0000DB500000}"/>
    <cellStyle name="40% - Accent1 3 4 2 2 3 3 2" xfId="38834" xr:uid="{00000000-0005-0000-0000-0000DC500000}"/>
    <cellStyle name="40% - Accent1 3 4 2 2 3 4" xfId="27533" xr:uid="{00000000-0005-0000-0000-0000DD500000}"/>
    <cellStyle name="40% - Accent1 3 4 2 2 4" xfId="7678" xr:uid="{00000000-0005-0000-0000-0000DE500000}"/>
    <cellStyle name="40% - Accent1 3 4 2 2 4 2" xfId="18979" xr:uid="{00000000-0005-0000-0000-0000DF500000}"/>
    <cellStyle name="40% - Accent1 3 4 2 2 4 2 2" xfId="41581" xr:uid="{00000000-0005-0000-0000-0000E0500000}"/>
    <cellStyle name="40% - Accent1 3 4 2 2 4 3" xfId="30280" xr:uid="{00000000-0005-0000-0000-0000E1500000}"/>
    <cellStyle name="40% - Accent1 3 4 2 2 5" xfId="13329" xr:uid="{00000000-0005-0000-0000-0000E2500000}"/>
    <cellStyle name="40% - Accent1 3 4 2 2 5 2" xfId="35931" xr:uid="{00000000-0005-0000-0000-0000E3500000}"/>
    <cellStyle name="40% - Accent1 3 4 2 2 6" xfId="24630" xr:uid="{00000000-0005-0000-0000-0000E4500000}"/>
    <cellStyle name="40% - Accent1 3 4 2 3" xfId="2522" xr:uid="{00000000-0005-0000-0000-0000E5500000}"/>
    <cellStyle name="40% - Accent1 3 4 2 3 2" xfId="5541" xr:uid="{00000000-0005-0000-0000-0000E6500000}"/>
    <cellStyle name="40% - Accent1 3 4 2 3 2 2" xfId="11191" xr:uid="{00000000-0005-0000-0000-0000E7500000}"/>
    <cellStyle name="40% - Accent1 3 4 2 3 2 2 2" xfId="22492" xr:uid="{00000000-0005-0000-0000-0000E8500000}"/>
    <cellStyle name="40% - Accent1 3 4 2 3 2 2 2 2" xfId="45094" xr:uid="{00000000-0005-0000-0000-0000E9500000}"/>
    <cellStyle name="40% - Accent1 3 4 2 3 2 2 3" xfId="33793" xr:uid="{00000000-0005-0000-0000-0000EA500000}"/>
    <cellStyle name="40% - Accent1 3 4 2 3 2 3" xfId="16842" xr:uid="{00000000-0005-0000-0000-0000EB500000}"/>
    <cellStyle name="40% - Accent1 3 4 2 3 2 3 2" xfId="39444" xr:uid="{00000000-0005-0000-0000-0000EC500000}"/>
    <cellStyle name="40% - Accent1 3 4 2 3 2 4" xfId="28143" xr:uid="{00000000-0005-0000-0000-0000ED500000}"/>
    <cellStyle name="40% - Accent1 3 4 2 3 3" xfId="8358" xr:uid="{00000000-0005-0000-0000-0000EE500000}"/>
    <cellStyle name="40% - Accent1 3 4 2 3 3 2" xfId="19659" xr:uid="{00000000-0005-0000-0000-0000EF500000}"/>
    <cellStyle name="40% - Accent1 3 4 2 3 3 2 2" xfId="42261" xr:uid="{00000000-0005-0000-0000-0000F0500000}"/>
    <cellStyle name="40% - Accent1 3 4 2 3 3 3" xfId="30960" xr:uid="{00000000-0005-0000-0000-0000F1500000}"/>
    <cellStyle name="40% - Accent1 3 4 2 3 4" xfId="14009" xr:uid="{00000000-0005-0000-0000-0000F2500000}"/>
    <cellStyle name="40% - Accent1 3 4 2 3 4 2" xfId="36611" xr:uid="{00000000-0005-0000-0000-0000F3500000}"/>
    <cellStyle name="40% - Accent1 3 4 2 3 5" xfId="25310" xr:uid="{00000000-0005-0000-0000-0000F4500000}"/>
    <cellStyle name="40% - Accent1 3 4 2 4" xfId="4307" xr:uid="{00000000-0005-0000-0000-0000F5500000}"/>
    <cellStyle name="40% - Accent1 3 4 2 4 2" xfId="9957" xr:uid="{00000000-0005-0000-0000-0000F6500000}"/>
    <cellStyle name="40% - Accent1 3 4 2 4 2 2" xfId="21258" xr:uid="{00000000-0005-0000-0000-0000F7500000}"/>
    <cellStyle name="40% - Accent1 3 4 2 4 2 2 2" xfId="43860" xr:uid="{00000000-0005-0000-0000-0000F8500000}"/>
    <cellStyle name="40% - Accent1 3 4 2 4 2 3" xfId="32559" xr:uid="{00000000-0005-0000-0000-0000F9500000}"/>
    <cellStyle name="40% - Accent1 3 4 2 4 3" xfId="15608" xr:uid="{00000000-0005-0000-0000-0000FA500000}"/>
    <cellStyle name="40% - Accent1 3 4 2 4 3 2" xfId="38210" xr:uid="{00000000-0005-0000-0000-0000FB500000}"/>
    <cellStyle name="40% - Accent1 3 4 2 4 4" xfId="26909" xr:uid="{00000000-0005-0000-0000-0000FC500000}"/>
    <cellStyle name="40% - Accent1 3 4 2 5" xfId="7105" xr:uid="{00000000-0005-0000-0000-0000FD500000}"/>
    <cellStyle name="40% - Accent1 3 4 2 5 2" xfId="18406" xr:uid="{00000000-0005-0000-0000-0000FE500000}"/>
    <cellStyle name="40% - Accent1 3 4 2 5 2 2" xfId="41008" xr:uid="{00000000-0005-0000-0000-0000FF500000}"/>
    <cellStyle name="40% - Accent1 3 4 2 5 3" xfId="29707" xr:uid="{00000000-0005-0000-0000-000000510000}"/>
    <cellStyle name="40% - Accent1 3 4 2 6" xfId="12756" xr:uid="{00000000-0005-0000-0000-000001510000}"/>
    <cellStyle name="40% - Accent1 3 4 2 6 2" xfId="35358" xr:uid="{00000000-0005-0000-0000-000002510000}"/>
    <cellStyle name="40% - Accent1 3 4 2 7" xfId="24057" xr:uid="{00000000-0005-0000-0000-000003510000}"/>
    <cellStyle name="40% - Accent1 3 4 3" xfId="797" xr:uid="{00000000-0005-0000-0000-000004510000}"/>
    <cellStyle name="40% - Accent1 3 4 3 2" xfId="2887" xr:uid="{00000000-0005-0000-0000-000005510000}"/>
    <cellStyle name="40% - Accent1 3 4 3 2 2" xfId="5859" xr:uid="{00000000-0005-0000-0000-000006510000}"/>
    <cellStyle name="40% - Accent1 3 4 3 2 2 2" xfId="11509" xr:uid="{00000000-0005-0000-0000-000007510000}"/>
    <cellStyle name="40% - Accent1 3 4 3 2 2 2 2" xfId="22810" xr:uid="{00000000-0005-0000-0000-000008510000}"/>
    <cellStyle name="40% - Accent1 3 4 3 2 2 2 2 2" xfId="45412" xr:uid="{00000000-0005-0000-0000-000009510000}"/>
    <cellStyle name="40% - Accent1 3 4 3 2 2 2 3" xfId="34111" xr:uid="{00000000-0005-0000-0000-00000A510000}"/>
    <cellStyle name="40% - Accent1 3 4 3 2 2 3" xfId="17160" xr:uid="{00000000-0005-0000-0000-00000B510000}"/>
    <cellStyle name="40% - Accent1 3 4 3 2 2 3 2" xfId="39762" xr:uid="{00000000-0005-0000-0000-00000C510000}"/>
    <cellStyle name="40% - Accent1 3 4 3 2 2 4" xfId="28461" xr:uid="{00000000-0005-0000-0000-00000D510000}"/>
    <cellStyle name="40% - Accent1 3 4 3 2 3" xfId="8677" xr:uid="{00000000-0005-0000-0000-00000E510000}"/>
    <cellStyle name="40% - Accent1 3 4 3 2 3 2" xfId="19978" xr:uid="{00000000-0005-0000-0000-00000F510000}"/>
    <cellStyle name="40% - Accent1 3 4 3 2 3 2 2" xfId="42580" xr:uid="{00000000-0005-0000-0000-000010510000}"/>
    <cellStyle name="40% - Accent1 3 4 3 2 3 3" xfId="31279" xr:uid="{00000000-0005-0000-0000-000011510000}"/>
    <cellStyle name="40% - Accent1 3 4 3 2 4" xfId="14328" xr:uid="{00000000-0005-0000-0000-000012510000}"/>
    <cellStyle name="40% - Accent1 3 4 3 2 4 2" xfId="36930" xr:uid="{00000000-0005-0000-0000-000013510000}"/>
    <cellStyle name="40% - Accent1 3 4 3 2 5" xfId="25629" xr:uid="{00000000-0005-0000-0000-000014510000}"/>
    <cellStyle name="40% - Accent1 3 4 3 3" xfId="4625" xr:uid="{00000000-0005-0000-0000-000015510000}"/>
    <cellStyle name="40% - Accent1 3 4 3 3 2" xfId="10275" xr:uid="{00000000-0005-0000-0000-000016510000}"/>
    <cellStyle name="40% - Accent1 3 4 3 3 2 2" xfId="21576" xr:uid="{00000000-0005-0000-0000-000017510000}"/>
    <cellStyle name="40% - Accent1 3 4 3 3 2 2 2" xfId="44178" xr:uid="{00000000-0005-0000-0000-000018510000}"/>
    <cellStyle name="40% - Accent1 3 4 3 3 2 3" xfId="32877" xr:uid="{00000000-0005-0000-0000-000019510000}"/>
    <cellStyle name="40% - Accent1 3 4 3 3 3" xfId="15926" xr:uid="{00000000-0005-0000-0000-00001A510000}"/>
    <cellStyle name="40% - Accent1 3 4 3 3 3 2" xfId="38528" xr:uid="{00000000-0005-0000-0000-00001B510000}"/>
    <cellStyle name="40% - Accent1 3 4 3 3 4" xfId="27227" xr:uid="{00000000-0005-0000-0000-00001C510000}"/>
    <cellStyle name="40% - Accent1 3 4 3 4" xfId="6808" xr:uid="{00000000-0005-0000-0000-00001D510000}"/>
    <cellStyle name="40% - Accent1 3 4 3 4 2" xfId="18109" xr:uid="{00000000-0005-0000-0000-00001E510000}"/>
    <cellStyle name="40% - Accent1 3 4 3 4 2 2" xfId="40711" xr:uid="{00000000-0005-0000-0000-00001F510000}"/>
    <cellStyle name="40% - Accent1 3 4 3 4 3" xfId="29410" xr:uid="{00000000-0005-0000-0000-000020510000}"/>
    <cellStyle name="40% - Accent1 3 4 3 5" xfId="12459" xr:uid="{00000000-0005-0000-0000-000021510000}"/>
    <cellStyle name="40% - Accent1 3 4 3 5 2" xfId="35061" xr:uid="{00000000-0005-0000-0000-000022510000}"/>
    <cellStyle name="40% - Accent1 3 4 3 6" xfId="23760" xr:uid="{00000000-0005-0000-0000-000023510000}"/>
    <cellStyle name="40% - Accent1 3 4 4" xfId="1821" xr:uid="{00000000-0005-0000-0000-000024510000}"/>
    <cellStyle name="40% - Accent1 3 4 4 2" xfId="3708" xr:uid="{00000000-0005-0000-0000-000025510000}"/>
    <cellStyle name="40% - Accent1 3 4 4 2 2" xfId="9419" xr:uid="{00000000-0005-0000-0000-000026510000}"/>
    <cellStyle name="40% - Accent1 3 4 4 2 2 2" xfId="20720" xr:uid="{00000000-0005-0000-0000-000027510000}"/>
    <cellStyle name="40% - Accent1 3 4 4 2 2 2 2" xfId="43322" xr:uid="{00000000-0005-0000-0000-000028510000}"/>
    <cellStyle name="40% - Accent1 3 4 4 2 2 3" xfId="32021" xr:uid="{00000000-0005-0000-0000-000029510000}"/>
    <cellStyle name="40% - Accent1 3 4 4 2 3" xfId="15070" xr:uid="{00000000-0005-0000-0000-00002A510000}"/>
    <cellStyle name="40% - Accent1 3 4 4 2 3 2" xfId="37672" xr:uid="{00000000-0005-0000-0000-00002B510000}"/>
    <cellStyle name="40% - Accent1 3 4 4 2 4" xfId="26371" xr:uid="{00000000-0005-0000-0000-00002C510000}"/>
    <cellStyle name="40% - Accent1 3 4 4 3" xfId="5235" xr:uid="{00000000-0005-0000-0000-00002D510000}"/>
    <cellStyle name="40% - Accent1 3 4 4 3 2" xfId="10885" xr:uid="{00000000-0005-0000-0000-00002E510000}"/>
    <cellStyle name="40% - Accent1 3 4 4 3 2 2" xfId="22186" xr:uid="{00000000-0005-0000-0000-00002F510000}"/>
    <cellStyle name="40% - Accent1 3 4 4 3 2 2 2" xfId="44788" xr:uid="{00000000-0005-0000-0000-000030510000}"/>
    <cellStyle name="40% - Accent1 3 4 4 3 2 3" xfId="33487" xr:uid="{00000000-0005-0000-0000-000031510000}"/>
    <cellStyle name="40% - Accent1 3 4 4 3 3" xfId="16536" xr:uid="{00000000-0005-0000-0000-000032510000}"/>
    <cellStyle name="40% - Accent1 3 4 4 3 3 2" xfId="39138" xr:uid="{00000000-0005-0000-0000-000033510000}"/>
    <cellStyle name="40% - Accent1 3 4 4 3 4" xfId="27837" xr:uid="{00000000-0005-0000-0000-000034510000}"/>
    <cellStyle name="40% - Accent1 3 4 4 4" xfId="7677" xr:uid="{00000000-0005-0000-0000-000035510000}"/>
    <cellStyle name="40% - Accent1 3 4 4 4 2" xfId="18978" xr:uid="{00000000-0005-0000-0000-000036510000}"/>
    <cellStyle name="40% - Accent1 3 4 4 4 2 2" xfId="41580" xr:uid="{00000000-0005-0000-0000-000037510000}"/>
    <cellStyle name="40% - Accent1 3 4 4 4 3" xfId="30279" xr:uid="{00000000-0005-0000-0000-000038510000}"/>
    <cellStyle name="40% - Accent1 3 4 4 5" xfId="13328" xr:uid="{00000000-0005-0000-0000-000039510000}"/>
    <cellStyle name="40% - Accent1 3 4 4 5 2" xfId="35930" xr:uid="{00000000-0005-0000-0000-00003A510000}"/>
    <cellStyle name="40% - Accent1 3 4 4 6" xfId="24629" xr:uid="{00000000-0005-0000-0000-00003B510000}"/>
    <cellStyle name="40% - Accent1 3 4 5" xfId="2207" xr:uid="{00000000-0005-0000-0000-00003C510000}"/>
    <cellStyle name="40% - Accent1 3 4 5 2" xfId="8049" xr:uid="{00000000-0005-0000-0000-00003D510000}"/>
    <cellStyle name="40% - Accent1 3 4 5 2 2" xfId="19350" xr:uid="{00000000-0005-0000-0000-00003E510000}"/>
    <cellStyle name="40% - Accent1 3 4 5 2 2 2" xfId="41952" xr:uid="{00000000-0005-0000-0000-00003F510000}"/>
    <cellStyle name="40% - Accent1 3 4 5 2 3" xfId="30651" xr:uid="{00000000-0005-0000-0000-000040510000}"/>
    <cellStyle name="40% - Accent1 3 4 5 3" xfId="13700" xr:uid="{00000000-0005-0000-0000-000041510000}"/>
    <cellStyle name="40% - Accent1 3 4 5 3 2" xfId="36302" xr:uid="{00000000-0005-0000-0000-000042510000}"/>
    <cellStyle name="40% - Accent1 3 4 5 4" xfId="25001" xr:uid="{00000000-0005-0000-0000-000043510000}"/>
    <cellStyle name="40% - Accent1 3 4 6" xfId="4001" xr:uid="{00000000-0005-0000-0000-000044510000}"/>
    <cellStyle name="40% - Accent1 3 4 6 2" xfId="9651" xr:uid="{00000000-0005-0000-0000-000045510000}"/>
    <cellStyle name="40% - Accent1 3 4 6 2 2" xfId="20952" xr:uid="{00000000-0005-0000-0000-000046510000}"/>
    <cellStyle name="40% - Accent1 3 4 6 2 2 2" xfId="43554" xr:uid="{00000000-0005-0000-0000-000047510000}"/>
    <cellStyle name="40% - Accent1 3 4 6 2 3" xfId="32253" xr:uid="{00000000-0005-0000-0000-000048510000}"/>
    <cellStyle name="40% - Accent1 3 4 6 3" xfId="15302" xr:uid="{00000000-0005-0000-0000-000049510000}"/>
    <cellStyle name="40% - Accent1 3 4 6 3 2" xfId="37904" xr:uid="{00000000-0005-0000-0000-00004A510000}"/>
    <cellStyle name="40% - Accent1 3 4 6 4" xfId="26603" xr:uid="{00000000-0005-0000-0000-00004B510000}"/>
    <cellStyle name="40% - Accent1 3 4 7" xfId="6619" xr:uid="{00000000-0005-0000-0000-00004C510000}"/>
    <cellStyle name="40% - Accent1 3 4 7 2" xfId="17920" xr:uid="{00000000-0005-0000-0000-00004D510000}"/>
    <cellStyle name="40% - Accent1 3 4 7 2 2" xfId="40522" xr:uid="{00000000-0005-0000-0000-00004E510000}"/>
    <cellStyle name="40% - Accent1 3 4 7 3" xfId="29221" xr:uid="{00000000-0005-0000-0000-00004F510000}"/>
    <cellStyle name="40% - Accent1 3 4 8" xfId="12270" xr:uid="{00000000-0005-0000-0000-000050510000}"/>
    <cellStyle name="40% - Accent1 3 4 8 2" xfId="34872" xr:uid="{00000000-0005-0000-0000-000051510000}"/>
    <cellStyle name="40% - Accent1 3 4 9" xfId="23571" xr:uid="{00000000-0005-0000-0000-000052510000}"/>
    <cellStyle name="40% - Accent1 3 5" xfId="452" xr:uid="{00000000-0005-0000-0000-000053510000}"/>
    <cellStyle name="40% - Accent1 3 6" xfId="1465" xr:uid="{00000000-0005-0000-0000-000054510000}"/>
    <cellStyle name="40% - Accent1 3 7" xfId="6452" xr:uid="{00000000-0005-0000-0000-000055510000}"/>
    <cellStyle name="40% - Accent1 3 7 2" xfId="17753" xr:uid="{00000000-0005-0000-0000-000056510000}"/>
    <cellStyle name="40% - Accent1 3 7 2 2" xfId="40355" xr:uid="{00000000-0005-0000-0000-000057510000}"/>
    <cellStyle name="40% - Accent1 3 7 3" xfId="29054" xr:uid="{00000000-0005-0000-0000-000058510000}"/>
    <cellStyle name="40% - Accent1 3 8" xfId="12103" xr:uid="{00000000-0005-0000-0000-000059510000}"/>
    <cellStyle name="40% - Accent1 3 8 2" xfId="34705" xr:uid="{00000000-0005-0000-0000-00005A510000}"/>
    <cellStyle name="40% - Accent1 3 9" xfId="23404" xr:uid="{00000000-0005-0000-0000-00005B510000}"/>
    <cellStyle name="40% - Accent1 4" xfId="234" xr:uid="{00000000-0005-0000-0000-00005C510000}"/>
    <cellStyle name="40% - Accent1 4 10" xfId="3987" xr:uid="{00000000-0005-0000-0000-00005D510000}"/>
    <cellStyle name="40% - Accent1 4 10 2" xfId="9637" xr:uid="{00000000-0005-0000-0000-00005E510000}"/>
    <cellStyle name="40% - Accent1 4 10 2 2" xfId="20938" xr:uid="{00000000-0005-0000-0000-00005F510000}"/>
    <cellStyle name="40% - Accent1 4 10 2 2 2" xfId="43540" xr:uid="{00000000-0005-0000-0000-000060510000}"/>
    <cellStyle name="40% - Accent1 4 10 2 3" xfId="32239" xr:uid="{00000000-0005-0000-0000-000061510000}"/>
    <cellStyle name="40% - Accent1 4 10 3" xfId="15288" xr:uid="{00000000-0005-0000-0000-000062510000}"/>
    <cellStyle name="40% - Accent1 4 10 3 2" xfId="37890" xr:uid="{00000000-0005-0000-0000-000063510000}"/>
    <cellStyle name="40% - Accent1 4 10 4" xfId="26589" xr:uid="{00000000-0005-0000-0000-000064510000}"/>
    <cellStyle name="40% - Accent1 4 11" xfId="6466" xr:uid="{00000000-0005-0000-0000-000065510000}"/>
    <cellStyle name="40% - Accent1 4 11 2" xfId="17767" xr:uid="{00000000-0005-0000-0000-000066510000}"/>
    <cellStyle name="40% - Accent1 4 11 2 2" xfId="40369" xr:uid="{00000000-0005-0000-0000-000067510000}"/>
    <cellStyle name="40% - Accent1 4 11 3" xfId="29068" xr:uid="{00000000-0005-0000-0000-000068510000}"/>
    <cellStyle name="40% - Accent1 4 12" xfId="12117" xr:uid="{00000000-0005-0000-0000-000069510000}"/>
    <cellStyle name="40% - Accent1 4 12 2" xfId="34719" xr:uid="{00000000-0005-0000-0000-00006A510000}"/>
    <cellStyle name="40% - Accent1 4 13" xfId="23418" xr:uid="{00000000-0005-0000-0000-00006B510000}"/>
    <cellStyle name="40% - Accent1 4 2" xfId="357" xr:uid="{00000000-0005-0000-0000-00006C510000}"/>
    <cellStyle name="40% - Accent1 4 2 10" xfId="23465" xr:uid="{00000000-0005-0000-0000-00006D510000}"/>
    <cellStyle name="40% - Accent1 4 2 2" xfId="615" xr:uid="{00000000-0005-0000-0000-00006E510000}"/>
    <cellStyle name="40% - Accent1 4 2 2 2" xfId="1325" xr:uid="{00000000-0005-0000-0000-00006F510000}"/>
    <cellStyle name="40% - Accent1 4 2 2 2 2" xfId="1826" xr:uid="{00000000-0005-0000-0000-000070510000}"/>
    <cellStyle name="40% - Accent1 4 2 2 2 2 2" xfId="3394" xr:uid="{00000000-0005-0000-0000-000071510000}"/>
    <cellStyle name="40% - Accent1 4 2 2 2 2 2 2" xfId="6366" xr:uid="{00000000-0005-0000-0000-000072510000}"/>
    <cellStyle name="40% - Accent1 4 2 2 2 2 2 2 2" xfId="12016" xr:uid="{00000000-0005-0000-0000-000073510000}"/>
    <cellStyle name="40% - Accent1 4 2 2 2 2 2 2 2 2" xfId="23317" xr:uid="{00000000-0005-0000-0000-000074510000}"/>
    <cellStyle name="40% - Accent1 4 2 2 2 2 2 2 2 2 2" xfId="45919" xr:uid="{00000000-0005-0000-0000-000075510000}"/>
    <cellStyle name="40% - Accent1 4 2 2 2 2 2 2 2 3" xfId="34618" xr:uid="{00000000-0005-0000-0000-000076510000}"/>
    <cellStyle name="40% - Accent1 4 2 2 2 2 2 2 3" xfId="17667" xr:uid="{00000000-0005-0000-0000-000077510000}"/>
    <cellStyle name="40% - Accent1 4 2 2 2 2 2 2 3 2" xfId="40269" xr:uid="{00000000-0005-0000-0000-000078510000}"/>
    <cellStyle name="40% - Accent1 4 2 2 2 2 2 2 4" xfId="28968" xr:uid="{00000000-0005-0000-0000-000079510000}"/>
    <cellStyle name="40% - Accent1 4 2 2 2 2 2 3" xfId="9184" xr:uid="{00000000-0005-0000-0000-00007A510000}"/>
    <cellStyle name="40% - Accent1 4 2 2 2 2 2 3 2" xfId="20485" xr:uid="{00000000-0005-0000-0000-00007B510000}"/>
    <cellStyle name="40% - Accent1 4 2 2 2 2 2 3 2 2" xfId="43087" xr:uid="{00000000-0005-0000-0000-00007C510000}"/>
    <cellStyle name="40% - Accent1 4 2 2 2 2 2 3 3" xfId="31786" xr:uid="{00000000-0005-0000-0000-00007D510000}"/>
    <cellStyle name="40% - Accent1 4 2 2 2 2 2 4" xfId="14835" xr:uid="{00000000-0005-0000-0000-00007E510000}"/>
    <cellStyle name="40% - Accent1 4 2 2 2 2 2 4 2" xfId="37437" xr:uid="{00000000-0005-0000-0000-00007F510000}"/>
    <cellStyle name="40% - Accent1 4 2 2 2 2 2 5" xfId="26136" xr:uid="{00000000-0005-0000-0000-000080510000}"/>
    <cellStyle name="40% - Accent1 4 2 2 2 2 3" xfId="5132" xr:uid="{00000000-0005-0000-0000-000081510000}"/>
    <cellStyle name="40% - Accent1 4 2 2 2 2 3 2" xfId="10782" xr:uid="{00000000-0005-0000-0000-000082510000}"/>
    <cellStyle name="40% - Accent1 4 2 2 2 2 3 2 2" xfId="22083" xr:uid="{00000000-0005-0000-0000-000083510000}"/>
    <cellStyle name="40% - Accent1 4 2 2 2 2 3 2 2 2" xfId="44685" xr:uid="{00000000-0005-0000-0000-000084510000}"/>
    <cellStyle name="40% - Accent1 4 2 2 2 2 3 2 3" xfId="33384" xr:uid="{00000000-0005-0000-0000-000085510000}"/>
    <cellStyle name="40% - Accent1 4 2 2 2 2 3 3" xfId="16433" xr:uid="{00000000-0005-0000-0000-000086510000}"/>
    <cellStyle name="40% - Accent1 4 2 2 2 2 3 3 2" xfId="39035" xr:uid="{00000000-0005-0000-0000-000087510000}"/>
    <cellStyle name="40% - Accent1 4 2 2 2 2 3 4" xfId="27734" xr:uid="{00000000-0005-0000-0000-000088510000}"/>
    <cellStyle name="40% - Accent1 4 2 2 2 2 4" xfId="7682" xr:uid="{00000000-0005-0000-0000-000089510000}"/>
    <cellStyle name="40% - Accent1 4 2 2 2 2 4 2" xfId="18983" xr:uid="{00000000-0005-0000-0000-00008A510000}"/>
    <cellStyle name="40% - Accent1 4 2 2 2 2 4 2 2" xfId="41585" xr:uid="{00000000-0005-0000-0000-00008B510000}"/>
    <cellStyle name="40% - Accent1 4 2 2 2 2 4 3" xfId="30284" xr:uid="{00000000-0005-0000-0000-00008C510000}"/>
    <cellStyle name="40% - Accent1 4 2 2 2 2 5" xfId="13333" xr:uid="{00000000-0005-0000-0000-00008D510000}"/>
    <cellStyle name="40% - Accent1 4 2 2 2 2 5 2" xfId="35935" xr:uid="{00000000-0005-0000-0000-00008E510000}"/>
    <cellStyle name="40% - Accent1 4 2 2 2 2 6" xfId="24634" xr:uid="{00000000-0005-0000-0000-00008F510000}"/>
    <cellStyle name="40% - Accent1 4 2 2 2 3" xfId="2723" xr:uid="{00000000-0005-0000-0000-000090510000}"/>
    <cellStyle name="40% - Accent1 4 2 2 2 3 2" xfId="5742" xr:uid="{00000000-0005-0000-0000-000091510000}"/>
    <cellStyle name="40% - Accent1 4 2 2 2 3 2 2" xfId="11392" xr:uid="{00000000-0005-0000-0000-000092510000}"/>
    <cellStyle name="40% - Accent1 4 2 2 2 3 2 2 2" xfId="22693" xr:uid="{00000000-0005-0000-0000-000093510000}"/>
    <cellStyle name="40% - Accent1 4 2 2 2 3 2 2 2 2" xfId="45295" xr:uid="{00000000-0005-0000-0000-000094510000}"/>
    <cellStyle name="40% - Accent1 4 2 2 2 3 2 2 3" xfId="33994" xr:uid="{00000000-0005-0000-0000-000095510000}"/>
    <cellStyle name="40% - Accent1 4 2 2 2 3 2 3" xfId="17043" xr:uid="{00000000-0005-0000-0000-000096510000}"/>
    <cellStyle name="40% - Accent1 4 2 2 2 3 2 3 2" xfId="39645" xr:uid="{00000000-0005-0000-0000-000097510000}"/>
    <cellStyle name="40% - Accent1 4 2 2 2 3 2 4" xfId="28344" xr:uid="{00000000-0005-0000-0000-000098510000}"/>
    <cellStyle name="40% - Accent1 4 2 2 2 3 3" xfId="8559" xr:uid="{00000000-0005-0000-0000-000099510000}"/>
    <cellStyle name="40% - Accent1 4 2 2 2 3 3 2" xfId="19860" xr:uid="{00000000-0005-0000-0000-00009A510000}"/>
    <cellStyle name="40% - Accent1 4 2 2 2 3 3 2 2" xfId="42462" xr:uid="{00000000-0005-0000-0000-00009B510000}"/>
    <cellStyle name="40% - Accent1 4 2 2 2 3 3 3" xfId="31161" xr:uid="{00000000-0005-0000-0000-00009C510000}"/>
    <cellStyle name="40% - Accent1 4 2 2 2 3 4" xfId="14210" xr:uid="{00000000-0005-0000-0000-00009D510000}"/>
    <cellStyle name="40% - Accent1 4 2 2 2 3 4 2" xfId="36812" xr:uid="{00000000-0005-0000-0000-00009E510000}"/>
    <cellStyle name="40% - Accent1 4 2 2 2 3 5" xfId="25511" xr:uid="{00000000-0005-0000-0000-00009F510000}"/>
    <cellStyle name="40% - Accent1 4 2 2 2 4" xfId="4508" xr:uid="{00000000-0005-0000-0000-0000A0510000}"/>
    <cellStyle name="40% - Accent1 4 2 2 2 4 2" xfId="10158" xr:uid="{00000000-0005-0000-0000-0000A1510000}"/>
    <cellStyle name="40% - Accent1 4 2 2 2 4 2 2" xfId="21459" xr:uid="{00000000-0005-0000-0000-0000A2510000}"/>
    <cellStyle name="40% - Accent1 4 2 2 2 4 2 2 2" xfId="44061" xr:uid="{00000000-0005-0000-0000-0000A3510000}"/>
    <cellStyle name="40% - Accent1 4 2 2 2 4 2 3" xfId="32760" xr:uid="{00000000-0005-0000-0000-0000A4510000}"/>
    <cellStyle name="40% - Accent1 4 2 2 2 4 3" xfId="15809" xr:uid="{00000000-0005-0000-0000-0000A5510000}"/>
    <cellStyle name="40% - Accent1 4 2 2 2 4 3 2" xfId="38411" xr:uid="{00000000-0005-0000-0000-0000A6510000}"/>
    <cellStyle name="40% - Accent1 4 2 2 2 4 4" xfId="27110" xr:uid="{00000000-0005-0000-0000-0000A7510000}"/>
    <cellStyle name="40% - Accent1 4 2 2 2 5" xfId="7304" xr:uid="{00000000-0005-0000-0000-0000A8510000}"/>
    <cellStyle name="40% - Accent1 4 2 2 2 5 2" xfId="18605" xr:uid="{00000000-0005-0000-0000-0000A9510000}"/>
    <cellStyle name="40% - Accent1 4 2 2 2 5 2 2" xfId="41207" xr:uid="{00000000-0005-0000-0000-0000AA510000}"/>
    <cellStyle name="40% - Accent1 4 2 2 2 5 3" xfId="29906" xr:uid="{00000000-0005-0000-0000-0000AB510000}"/>
    <cellStyle name="40% - Accent1 4 2 2 2 6" xfId="12955" xr:uid="{00000000-0005-0000-0000-0000AC510000}"/>
    <cellStyle name="40% - Accent1 4 2 2 2 6 2" xfId="35557" xr:uid="{00000000-0005-0000-0000-0000AD510000}"/>
    <cellStyle name="40% - Accent1 4 2 2 2 7" xfId="24256" xr:uid="{00000000-0005-0000-0000-0000AE510000}"/>
    <cellStyle name="40% - Accent1 4 2 2 3" xfId="1023" xr:uid="{00000000-0005-0000-0000-0000AF510000}"/>
    <cellStyle name="40% - Accent1 4 2 2 3 2" xfId="3086" xr:uid="{00000000-0005-0000-0000-0000B0510000}"/>
    <cellStyle name="40% - Accent1 4 2 2 3 2 2" xfId="6058" xr:uid="{00000000-0005-0000-0000-0000B1510000}"/>
    <cellStyle name="40% - Accent1 4 2 2 3 2 2 2" xfId="11708" xr:uid="{00000000-0005-0000-0000-0000B2510000}"/>
    <cellStyle name="40% - Accent1 4 2 2 3 2 2 2 2" xfId="23009" xr:uid="{00000000-0005-0000-0000-0000B3510000}"/>
    <cellStyle name="40% - Accent1 4 2 2 3 2 2 2 2 2" xfId="45611" xr:uid="{00000000-0005-0000-0000-0000B4510000}"/>
    <cellStyle name="40% - Accent1 4 2 2 3 2 2 2 3" xfId="34310" xr:uid="{00000000-0005-0000-0000-0000B5510000}"/>
    <cellStyle name="40% - Accent1 4 2 2 3 2 2 3" xfId="17359" xr:uid="{00000000-0005-0000-0000-0000B6510000}"/>
    <cellStyle name="40% - Accent1 4 2 2 3 2 2 3 2" xfId="39961" xr:uid="{00000000-0005-0000-0000-0000B7510000}"/>
    <cellStyle name="40% - Accent1 4 2 2 3 2 2 4" xfId="28660" xr:uid="{00000000-0005-0000-0000-0000B8510000}"/>
    <cellStyle name="40% - Accent1 4 2 2 3 2 3" xfId="8876" xr:uid="{00000000-0005-0000-0000-0000B9510000}"/>
    <cellStyle name="40% - Accent1 4 2 2 3 2 3 2" xfId="20177" xr:uid="{00000000-0005-0000-0000-0000BA510000}"/>
    <cellStyle name="40% - Accent1 4 2 2 3 2 3 2 2" xfId="42779" xr:uid="{00000000-0005-0000-0000-0000BB510000}"/>
    <cellStyle name="40% - Accent1 4 2 2 3 2 3 3" xfId="31478" xr:uid="{00000000-0005-0000-0000-0000BC510000}"/>
    <cellStyle name="40% - Accent1 4 2 2 3 2 4" xfId="14527" xr:uid="{00000000-0005-0000-0000-0000BD510000}"/>
    <cellStyle name="40% - Accent1 4 2 2 3 2 4 2" xfId="37129" xr:uid="{00000000-0005-0000-0000-0000BE510000}"/>
    <cellStyle name="40% - Accent1 4 2 2 3 2 5" xfId="25828" xr:uid="{00000000-0005-0000-0000-0000BF510000}"/>
    <cellStyle name="40% - Accent1 4 2 2 3 3" xfId="4824" xr:uid="{00000000-0005-0000-0000-0000C0510000}"/>
    <cellStyle name="40% - Accent1 4 2 2 3 3 2" xfId="10474" xr:uid="{00000000-0005-0000-0000-0000C1510000}"/>
    <cellStyle name="40% - Accent1 4 2 2 3 3 2 2" xfId="21775" xr:uid="{00000000-0005-0000-0000-0000C2510000}"/>
    <cellStyle name="40% - Accent1 4 2 2 3 3 2 2 2" xfId="44377" xr:uid="{00000000-0005-0000-0000-0000C3510000}"/>
    <cellStyle name="40% - Accent1 4 2 2 3 3 2 3" xfId="33076" xr:uid="{00000000-0005-0000-0000-0000C4510000}"/>
    <cellStyle name="40% - Accent1 4 2 2 3 3 3" xfId="16125" xr:uid="{00000000-0005-0000-0000-0000C5510000}"/>
    <cellStyle name="40% - Accent1 4 2 2 3 3 3 2" xfId="38727" xr:uid="{00000000-0005-0000-0000-0000C6510000}"/>
    <cellStyle name="40% - Accent1 4 2 2 3 3 4" xfId="27426" xr:uid="{00000000-0005-0000-0000-0000C7510000}"/>
    <cellStyle name="40% - Accent1 4 2 2 3 4" xfId="7011" xr:uid="{00000000-0005-0000-0000-0000C8510000}"/>
    <cellStyle name="40% - Accent1 4 2 2 3 4 2" xfId="18312" xr:uid="{00000000-0005-0000-0000-0000C9510000}"/>
    <cellStyle name="40% - Accent1 4 2 2 3 4 2 2" xfId="40914" xr:uid="{00000000-0005-0000-0000-0000CA510000}"/>
    <cellStyle name="40% - Accent1 4 2 2 3 4 3" xfId="29613" xr:uid="{00000000-0005-0000-0000-0000CB510000}"/>
    <cellStyle name="40% - Accent1 4 2 2 3 5" xfId="12662" xr:uid="{00000000-0005-0000-0000-0000CC510000}"/>
    <cellStyle name="40% - Accent1 4 2 2 3 5 2" xfId="35264" xr:uid="{00000000-0005-0000-0000-0000CD510000}"/>
    <cellStyle name="40% - Accent1 4 2 2 3 6" xfId="23963" xr:uid="{00000000-0005-0000-0000-0000CE510000}"/>
    <cellStyle name="40% - Accent1 4 2 2 4" xfId="1825" xr:uid="{00000000-0005-0000-0000-0000CF510000}"/>
    <cellStyle name="40% - Accent1 4 2 2 4 2" xfId="3711" xr:uid="{00000000-0005-0000-0000-0000D0510000}"/>
    <cellStyle name="40% - Accent1 4 2 2 4 2 2" xfId="9422" xr:uid="{00000000-0005-0000-0000-0000D1510000}"/>
    <cellStyle name="40% - Accent1 4 2 2 4 2 2 2" xfId="20723" xr:uid="{00000000-0005-0000-0000-0000D2510000}"/>
    <cellStyle name="40% - Accent1 4 2 2 4 2 2 2 2" xfId="43325" xr:uid="{00000000-0005-0000-0000-0000D3510000}"/>
    <cellStyle name="40% - Accent1 4 2 2 4 2 2 3" xfId="32024" xr:uid="{00000000-0005-0000-0000-0000D4510000}"/>
    <cellStyle name="40% - Accent1 4 2 2 4 2 3" xfId="15073" xr:uid="{00000000-0005-0000-0000-0000D5510000}"/>
    <cellStyle name="40% - Accent1 4 2 2 4 2 3 2" xfId="37675" xr:uid="{00000000-0005-0000-0000-0000D6510000}"/>
    <cellStyle name="40% - Accent1 4 2 2 4 2 4" xfId="26374" xr:uid="{00000000-0005-0000-0000-0000D7510000}"/>
    <cellStyle name="40% - Accent1 4 2 2 4 3" xfId="5434" xr:uid="{00000000-0005-0000-0000-0000D8510000}"/>
    <cellStyle name="40% - Accent1 4 2 2 4 3 2" xfId="11084" xr:uid="{00000000-0005-0000-0000-0000D9510000}"/>
    <cellStyle name="40% - Accent1 4 2 2 4 3 2 2" xfId="22385" xr:uid="{00000000-0005-0000-0000-0000DA510000}"/>
    <cellStyle name="40% - Accent1 4 2 2 4 3 2 2 2" xfId="44987" xr:uid="{00000000-0005-0000-0000-0000DB510000}"/>
    <cellStyle name="40% - Accent1 4 2 2 4 3 2 3" xfId="33686" xr:uid="{00000000-0005-0000-0000-0000DC510000}"/>
    <cellStyle name="40% - Accent1 4 2 2 4 3 3" xfId="16735" xr:uid="{00000000-0005-0000-0000-0000DD510000}"/>
    <cellStyle name="40% - Accent1 4 2 2 4 3 3 2" xfId="39337" xr:uid="{00000000-0005-0000-0000-0000DE510000}"/>
    <cellStyle name="40% - Accent1 4 2 2 4 3 4" xfId="28036" xr:uid="{00000000-0005-0000-0000-0000DF510000}"/>
    <cellStyle name="40% - Accent1 4 2 2 4 4" xfId="7681" xr:uid="{00000000-0005-0000-0000-0000E0510000}"/>
    <cellStyle name="40% - Accent1 4 2 2 4 4 2" xfId="18982" xr:uid="{00000000-0005-0000-0000-0000E1510000}"/>
    <cellStyle name="40% - Accent1 4 2 2 4 4 2 2" xfId="41584" xr:uid="{00000000-0005-0000-0000-0000E2510000}"/>
    <cellStyle name="40% - Accent1 4 2 2 4 4 3" xfId="30283" xr:uid="{00000000-0005-0000-0000-0000E3510000}"/>
    <cellStyle name="40% - Accent1 4 2 2 4 5" xfId="13332" xr:uid="{00000000-0005-0000-0000-0000E4510000}"/>
    <cellStyle name="40% - Accent1 4 2 2 4 5 2" xfId="35934" xr:uid="{00000000-0005-0000-0000-0000E5510000}"/>
    <cellStyle name="40% - Accent1 4 2 2 4 6" xfId="24633" xr:uid="{00000000-0005-0000-0000-0000E6510000}"/>
    <cellStyle name="40% - Accent1 4 2 2 5" xfId="2415" xr:uid="{00000000-0005-0000-0000-0000E7510000}"/>
    <cellStyle name="40% - Accent1 4 2 2 5 2" xfId="8251" xr:uid="{00000000-0005-0000-0000-0000E8510000}"/>
    <cellStyle name="40% - Accent1 4 2 2 5 2 2" xfId="19552" xr:uid="{00000000-0005-0000-0000-0000E9510000}"/>
    <cellStyle name="40% - Accent1 4 2 2 5 2 2 2" xfId="42154" xr:uid="{00000000-0005-0000-0000-0000EA510000}"/>
    <cellStyle name="40% - Accent1 4 2 2 5 2 3" xfId="30853" xr:uid="{00000000-0005-0000-0000-0000EB510000}"/>
    <cellStyle name="40% - Accent1 4 2 2 5 3" xfId="13902" xr:uid="{00000000-0005-0000-0000-0000EC510000}"/>
    <cellStyle name="40% - Accent1 4 2 2 5 3 2" xfId="36504" xr:uid="{00000000-0005-0000-0000-0000ED510000}"/>
    <cellStyle name="40% - Accent1 4 2 2 5 4" xfId="25203" xr:uid="{00000000-0005-0000-0000-0000EE510000}"/>
    <cellStyle name="40% - Accent1 4 2 2 6" xfId="4200" xr:uid="{00000000-0005-0000-0000-0000EF510000}"/>
    <cellStyle name="40% - Accent1 4 2 2 6 2" xfId="9850" xr:uid="{00000000-0005-0000-0000-0000F0510000}"/>
    <cellStyle name="40% - Accent1 4 2 2 6 2 2" xfId="21151" xr:uid="{00000000-0005-0000-0000-0000F1510000}"/>
    <cellStyle name="40% - Accent1 4 2 2 6 2 2 2" xfId="43753" xr:uid="{00000000-0005-0000-0000-0000F2510000}"/>
    <cellStyle name="40% - Accent1 4 2 2 6 2 3" xfId="32452" xr:uid="{00000000-0005-0000-0000-0000F3510000}"/>
    <cellStyle name="40% - Accent1 4 2 2 6 3" xfId="15501" xr:uid="{00000000-0005-0000-0000-0000F4510000}"/>
    <cellStyle name="40% - Accent1 4 2 2 6 3 2" xfId="38103" xr:uid="{00000000-0005-0000-0000-0000F5510000}"/>
    <cellStyle name="40% - Accent1 4 2 2 6 4" xfId="26802" xr:uid="{00000000-0005-0000-0000-0000F6510000}"/>
    <cellStyle name="40% - Accent1 4 2 2 7" xfId="6680" xr:uid="{00000000-0005-0000-0000-0000F7510000}"/>
    <cellStyle name="40% - Accent1 4 2 2 7 2" xfId="17981" xr:uid="{00000000-0005-0000-0000-0000F8510000}"/>
    <cellStyle name="40% - Accent1 4 2 2 7 2 2" xfId="40583" xr:uid="{00000000-0005-0000-0000-0000F9510000}"/>
    <cellStyle name="40% - Accent1 4 2 2 7 3" xfId="29282" xr:uid="{00000000-0005-0000-0000-0000FA510000}"/>
    <cellStyle name="40% - Accent1 4 2 2 8" xfId="12331" xr:uid="{00000000-0005-0000-0000-0000FB510000}"/>
    <cellStyle name="40% - Accent1 4 2 2 8 2" xfId="34933" xr:uid="{00000000-0005-0000-0000-0000FC510000}"/>
    <cellStyle name="40% - Accent1 4 2 2 9" xfId="23632" xr:uid="{00000000-0005-0000-0000-0000FD510000}"/>
    <cellStyle name="40% - Accent1 4 2 3" xfId="1187" xr:uid="{00000000-0005-0000-0000-0000FE510000}"/>
    <cellStyle name="40% - Accent1 4 2 3 2" xfId="1827" xr:uid="{00000000-0005-0000-0000-0000FF510000}"/>
    <cellStyle name="40% - Accent1 4 2 3 2 2" xfId="3255" xr:uid="{00000000-0005-0000-0000-000000520000}"/>
    <cellStyle name="40% - Accent1 4 2 3 2 2 2" xfId="6227" xr:uid="{00000000-0005-0000-0000-000001520000}"/>
    <cellStyle name="40% - Accent1 4 2 3 2 2 2 2" xfId="11877" xr:uid="{00000000-0005-0000-0000-000002520000}"/>
    <cellStyle name="40% - Accent1 4 2 3 2 2 2 2 2" xfId="23178" xr:uid="{00000000-0005-0000-0000-000003520000}"/>
    <cellStyle name="40% - Accent1 4 2 3 2 2 2 2 2 2" xfId="45780" xr:uid="{00000000-0005-0000-0000-000004520000}"/>
    <cellStyle name="40% - Accent1 4 2 3 2 2 2 2 3" xfId="34479" xr:uid="{00000000-0005-0000-0000-000005520000}"/>
    <cellStyle name="40% - Accent1 4 2 3 2 2 2 3" xfId="17528" xr:uid="{00000000-0005-0000-0000-000006520000}"/>
    <cellStyle name="40% - Accent1 4 2 3 2 2 2 3 2" xfId="40130" xr:uid="{00000000-0005-0000-0000-000007520000}"/>
    <cellStyle name="40% - Accent1 4 2 3 2 2 2 4" xfId="28829" xr:uid="{00000000-0005-0000-0000-000008520000}"/>
    <cellStyle name="40% - Accent1 4 2 3 2 2 3" xfId="9045" xr:uid="{00000000-0005-0000-0000-000009520000}"/>
    <cellStyle name="40% - Accent1 4 2 3 2 2 3 2" xfId="20346" xr:uid="{00000000-0005-0000-0000-00000A520000}"/>
    <cellStyle name="40% - Accent1 4 2 3 2 2 3 2 2" xfId="42948" xr:uid="{00000000-0005-0000-0000-00000B520000}"/>
    <cellStyle name="40% - Accent1 4 2 3 2 2 3 3" xfId="31647" xr:uid="{00000000-0005-0000-0000-00000C520000}"/>
    <cellStyle name="40% - Accent1 4 2 3 2 2 4" xfId="14696" xr:uid="{00000000-0005-0000-0000-00000D520000}"/>
    <cellStyle name="40% - Accent1 4 2 3 2 2 4 2" xfId="37298" xr:uid="{00000000-0005-0000-0000-00000E520000}"/>
    <cellStyle name="40% - Accent1 4 2 3 2 2 5" xfId="25997" xr:uid="{00000000-0005-0000-0000-00000F520000}"/>
    <cellStyle name="40% - Accent1 4 2 3 2 3" xfId="4993" xr:uid="{00000000-0005-0000-0000-000010520000}"/>
    <cellStyle name="40% - Accent1 4 2 3 2 3 2" xfId="10643" xr:uid="{00000000-0005-0000-0000-000011520000}"/>
    <cellStyle name="40% - Accent1 4 2 3 2 3 2 2" xfId="21944" xr:uid="{00000000-0005-0000-0000-000012520000}"/>
    <cellStyle name="40% - Accent1 4 2 3 2 3 2 2 2" xfId="44546" xr:uid="{00000000-0005-0000-0000-000013520000}"/>
    <cellStyle name="40% - Accent1 4 2 3 2 3 2 3" xfId="33245" xr:uid="{00000000-0005-0000-0000-000014520000}"/>
    <cellStyle name="40% - Accent1 4 2 3 2 3 3" xfId="16294" xr:uid="{00000000-0005-0000-0000-000015520000}"/>
    <cellStyle name="40% - Accent1 4 2 3 2 3 3 2" xfId="38896" xr:uid="{00000000-0005-0000-0000-000016520000}"/>
    <cellStyle name="40% - Accent1 4 2 3 2 3 4" xfId="27595" xr:uid="{00000000-0005-0000-0000-000017520000}"/>
    <cellStyle name="40% - Accent1 4 2 3 2 4" xfId="7683" xr:uid="{00000000-0005-0000-0000-000018520000}"/>
    <cellStyle name="40% - Accent1 4 2 3 2 4 2" xfId="18984" xr:uid="{00000000-0005-0000-0000-000019520000}"/>
    <cellStyle name="40% - Accent1 4 2 3 2 4 2 2" xfId="41586" xr:uid="{00000000-0005-0000-0000-00001A520000}"/>
    <cellStyle name="40% - Accent1 4 2 3 2 4 3" xfId="30285" xr:uid="{00000000-0005-0000-0000-00001B520000}"/>
    <cellStyle name="40% - Accent1 4 2 3 2 5" xfId="13334" xr:uid="{00000000-0005-0000-0000-00001C520000}"/>
    <cellStyle name="40% - Accent1 4 2 3 2 5 2" xfId="35936" xr:uid="{00000000-0005-0000-0000-00001D520000}"/>
    <cellStyle name="40% - Accent1 4 2 3 2 6" xfId="24635" xr:uid="{00000000-0005-0000-0000-00001E520000}"/>
    <cellStyle name="40% - Accent1 4 2 3 3" xfId="2584" xr:uid="{00000000-0005-0000-0000-00001F520000}"/>
    <cellStyle name="40% - Accent1 4 2 3 3 2" xfId="5603" xr:uid="{00000000-0005-0000-0000-000020520000}"/>
    <cellStyle name="40% - Accent1 4 2 3 3 2 2" xfId="11253" xr:uid="{00000000-0005-0000-0000-000021520000}"/>
    <cellStyle name="40% - Accent1 4 2 3 3 2 2 2" xfId="22554" xr:uid="{00000000-0005-0000-0000-000022520000}"/>
    <cellStyle name="40% - Accent1 4 2 3 3 2 2 2 2" xfId="45156" xr:uid="{00000000-0005-0000-0000-000023520000}"/>
    <cellStyle name="40% - Accent1 4 2 3 3 2 2 3" xfId="33855" xr:uid="{00000000-0005-0000-0000-000024520000}"/>
    <cellStyle name="40% - Accent1 4 2 3 3 2 3" xfId="16904" xr:uid="{00000000-0005-0000-0000-000025520000}"/>
    <cellStyle name="40% - Accent1 4 2 3 3 2 3 2" xfId="39506" xr:uid="{00000000-0005-0000-0000-000026520000}"/>
    <cellStyle name="40% - Accent1 4 2 3 3 2 4" xfId="28205" xr:uid="{00000000-0005-0000-0000-000027520000}"/>
    <cellStyle name="40% - Accent1 4 2 3 3 3" xfId="8420" xr:uid="{00000000-0005-0000-0000-000028520000}"/>
    <cellStyle name="40% - Accent1 4 2 3 3 3 2" xfId="19721" xr:uid="{00000000-0005-0000-0000-000029520000}"/>
    <cellStyle name="40% - Accent1 4 2 3 3 3 2 2" xfId="42323" xr:uid="{00000000-0005-0000-0000-00002A520000}"/>
    <cellStyle name="40% - Accent1 4 2 3 3 3 3" xfId="31022" xr:uid="{00000000-0005-0000-0000-00002B520000}"/>
    <cellStyle name="40% - Accent1 4 2 3 3 4" xfId="14071" xr:uid="{00000000-0005-0000-0000-00002C520000}"/>
    <cellStyle name="40% - Accent1 4 2 3 3 4 2" xfId="36673" xr:uid="{00000000-0005-0000-0000-00002D520000}"/>
    <cellStyle name="40% - Accent1 4 2 3 3 5" xfId="25372" xr:uid="{00000000-0005-0000-0000-00002E520000}"/>
    <cellStyle name="40% - Accent1 4 2 3 4" xfId="4369" xr:uid="{00000000-0005-0000-0000-00002F520000}"/>
    <cellStyle name="40% - Accent1 4 2 3 4 2" xfId="10019" xr:uid="{00000000-0005-0000-0000-000030520000}"/>
    <cellStyle name="40% - Accent1 4 2 3 4 2 2" xfId="21320" xr:uid="{00000000-0005-0000-0000-000031520000}"/>
    <cellStyle name="40% - Accent1 4 2 3 4 2 2 2" xfId="43922" xr:uid="{00000000-0005-0000-0000-000032520000}"/>
    <cellStyle name="40% - Accent1 4 2 3 4 2 3" xfId="32621" xr:uid="{00000000-0005-0000-0000-000033520000}"/>
    <cellStyle name="40% - Accent1 4 2 3 4 3" xfId="15670" xr:uid="{00000000-0005-0000-0000-000034520000}"/>
    <cellStyle name="40% - Accent1 4 2 3 4 3 2" xfId="38272" xr:uid="{00000000-0005-0000-0000-000035520000}"/>
    <cellStyle name="40% - Accent1 4 2 3 4 4" xfId="26971" xr:uid="{00000000-0005-0000-0000-000036520000}"/>
    <cellStyle name="40% - Accent1 4 2 3 5" xfId="7166" xr:uid="{00000000-0005-0000-0000-000037520000}"/>
    <cellStyle name="40% - Accent1 4 2 3 5 2" xfId="18467" xr:uid="{00000000-0005-0000-0000-000038520000}"/>
    <cellStyle name="40% - Accent1 4 2 3 5 2 2" xfId="41069" xr:uid="{00000000-0005-0000-0000-000039520000}"/>
    <cellStyle name="40% - Accent1 4 2 3 5 3" xfId="29768" xr:uid="{00000000-0005-0000-0000-00003A520000}"/>
    <cellStyle name="40% - Accent1 4 2 3 6" xfId="12817" xr:uid="{00000000-0005-0000-0000-00003B520000}"/>
    <cellStyle name="40% - Accent1 4 2 3 6 2" xfId="35419" xr:uid="{00000000-0005-0000-0000-00003C520000}"/>
    <cellStyle name="40% - Accent1 4 2 3 7" xfId="24118" xr:uid="{00000000-0005-0000-0000-00003D520000}"/>
    <cellStyle name="40% - Accent1 4 2 4" xfId="877" xr:uid="{00000000-0005-0000-0000-00003E520000}"/>
    <cellStyle name="40% - Accent1 4 2 4 2" xfId="2948" xr:uid="{00000000-0005-0000-0000-00003F520000}"/>
    <cellStyle name="40% - Accent1 4 2 4 2 2" xfId="5920" xr:uid="{00000000-0005-0000-0000-000040520000}"/>
    <cellStyle name="40% - Accent1 4 2 4 2 2 2" xfId="11570" xr:uid="{00000000-0005-0000-0000-000041520000}"/>
    <cellStyle name="40% - Accent1 4 2 4 2 2 2 2" xfId="22871" xr:uid="{00000000-0005-0000-0000-000042520000}"/>
    <cellStyle name="40% - Accent1 4 2 4 2 2 2 2 2" xfId="45473" xr:uid="{00000000-0005-0000-0000-000043520000}"/>
    <cellStyle name="40% - Accent1 4 2 4 2 2 2 3" xfId="34172" xr:uid="{00000000-0005-0000-0000-000044520000}"/>
    <cellStyle name="40% - Accent1 4 2 4 2 2 3" xfId="17221" xr:uid="{00000000-0005-0000-0000-000045520000}"/>
    <cellStyle name="40% - Accent1 4 2 4 2 2 3 2" xfId="39823" xr:uid="{00000000-0005-0000-0000-000046520000}"/>
    <cellStyle name="40% - Accent1 4 2 4 2 2 4" xfId="28522" xr:uid="{00000000-0005-0000-0000-000047520000}"/>
    <cellStyle name="40% - Accent1 4 2 4 2 3" xfId="8738" xr:uid="{00000000-0005-0000-0000-000048520000}"/>
    <cellStyle name="40% - Accent1 4 2 4 2 3 2" xfId="20039" xr:uid="{00000000-0005-0000-0000-000049520000}"/>
    <cellStyle name="40% - Accent1 4 2 4 2 3 2 2" xfId="42641" xr:uid="{00000000-0005-0000-0000-00004A520000}"/>
    <cellStyle name="40% - Accent1 4 2 4 2 3 3" xfId="31340" xr:uid="{00000000-0005-0000-0000-00004B520000}"/>
    <cellStyle name="40% - Accent1 4 2 4 2 4" xfId="14389" xr:uid="{00000000-0005-0000-0000-00004C520000}"/>
    <cellStyle name="40% - Accent1 4 2 4 2 4 2" xfId="36991" xr:uid="{00000000-0005-0000-0000-00004D520000}"/>
    <cellStyle name="40% - Accent1 4 2 4 2 5" xfId="25690" xr:uid="{00000000-0005-0000-0000-00004E520000}"/>
    <cellStyle name="40% - Accent1 4 2 4 3" xfId="4686" xr:uid="{00000000-0005-0000-0000-00004F520000}"/>
    <cellStyle name="40% - Accent1 4 2 4 3 2" xfId="10336" xr:uid="{00000000-0005-0000-0000-000050520000}"/>
    <cellStyle name="40% - Accent1 4 2 4 3 2 2" xfId="21637" xr:uid="{00000000-0005-0000-0000-000051520000}"/>
    <cellStyle name="40% - Accent1 4 2 4 3 2 2 2" xfId="44239" xr:uid="{00000000-0005-0000-0000-000052520000}"/>
    <cellStyle name="40% - Accent1 4 2 4 3 2 3" xfId="32938" xr:uid="{00000000-0005-0000-0000-000053520000}"/>
    <cellStyle name="40% - Accent1 4 2 4 3 3" xfId="15987" xr:uid="{00000000-0005-0000-0000-000054520000}"/>
    <cellStyle name="40% - Accent1 4 2 4 3 3 2" xfId="38589" xr:uid="{00000000-0005-0000-0000-000055520000}"/>
    <cellStyle name="40% - Accent1 4 2 4 3 4" xfId="27288" xr:uid="{00000000-0005-0000-0000-000056520000}"/>
    <cellStyle name="40% - Accent1 4 2 4 4" xfId="6873" xr:uid="{00000000-0005-0000-0000-000057520000}"/>
    <cellStyle name="40% - Accent1 4 2 4 4 2" xfId="18174" xr:uid="{00000000-0005-0000-0000-000058520000}"/>
    <cellStyle name="40% - Accent1 4 2 4 4 2 2" xfId="40776" xr:uid="{00000000-0005-0000-0000-000059520000}"/>
    <cellStyle name="40% - Accent1 4 2 4 4 3" xfId="29475" xr:uid="{00000000-0005-0000-0000-00005A520000}"/>
    <cellStyle name="40% - Accent1 4 2 4 5" xfId="12524" xr:uid="{00000000-0005-0000-0000-00005B520000}"/>
    <cellStyle name="40% - Accent1 4 2 4 5 2" xfId="35126" xr:uid="{00000000-0005-0000-0000-00005C520000}"/>
    <cellStyle name="40% - Accent1 4 2 4 6" xfId="23825" xr:uid="{00000000-0005-0000-0000-00005D520000}"/>
    <cellStyle name="40% - Accent1 4 2 5" xfId="1824" xr:uid="{00000000-0005-0000-0000-00005E520000}"/>
    <cellStyle name="40% - Accent1 4 2 5 2" xfId="3710" xr:uid="{00000000-0005-0000-0000-00005F520000}"/>
    <cellStyle name="40% - Accent1 4 2 5 2 2" xfId="9421" xr:uid="{00000000-0005-0000-0000-000060520000}"/>
    <cellStyle name="40% - Accent1 4 2 5 2 2 2" xfId="20722" xr:uid="{00000000-0005-0000-0000-000061520000}"/>
    <cellStyle name="40% - Accent1 4 2 5 2 2 2 2" xfId="43324" xr:uid="{00000000-0005-0000-0000-000062520000}"/>
    <cellStyle name="40% - Accent1 4 2 5 2 2 3" xfId="32023" xr:uid="{00000000-0005-0000-0000-000063520000}"/>
    <cellStyle name="40% - Accent1 4 2 5 2 3" xfId="15072" xr:uid="{00000000-0005-0000-0000-000064520000}"/>
    <cellStyle name="40% - Accent1 4 2 5 2 3 2" xfId="37674" xr:uid="{00000000-0005-0000-0000-000065520000}"/>
    <cellStyle name="40% - Accent1 4 2 5 2 4" xfId="26373" xr:uid="{00000000-0005-0000-0000-000066520000}"/>
    <cellStyle name="40% - Accent1 4 2 5 3" xfId="5296" xr:uid="{00000000-0005-0000-0000-000067520000}"/>
    <cellStyle name="40% - Accent1 4 2 5 3 2" xfId="10946" xr:uid="{00000000-0005-0000-0000-000068520000}"/>
    <cellStyle name="40% - Accent1 4 2 5 3 2 2" xfId="22247" xr:uid="{00000000-0005-0000-0000-000069520000}"/>
    <cellStyle name="40% - Accent1 4 2 5 3 2 2 2" xfId="44849" xr:uid="{00000000-0005-0000-0000-00006A520000}"/>
    <cellStyle name="40% - Accent1 4 2 5 3 2 3" xfId="33548" xr:uid="{00000000-0005-0000-0000-00006B520000}"/>
    <cellStyle name="40% - Accent1 4 2 5 3 3" xfId="16597" xr:uid="{00000000-0005-0000-0000-00006C520000}"/>
    <cellStyle name="40% - Accent1 4 2 5 3 3 2" xfId="39199" xr:uid="{00000000-0005-0000-0000-00006D520000}"/>
    <cellStyle name="40% - Accent1 4 2 5 3 4" xfId="27898" xr:uid="{00000000-0005-0000-0000-00006E520000}"/>
    <cellStyle name="40% - Accent1 4 2 5 4" xfId="7680" xr:uid="{00000000-0005-0000-0000-00006F520000}"/>
    <cellStyle name="40% - Accent1 4 2 5 4 2" xfId="18981" xr:uid="{00000000-0005-0000-0000-000070520000}"/>
    <cellStyle name="40% - Accent1 4 2 5 4 2 2" xfId="41583" xr:uid="{00000000-0005-0000-0000-000071520000}"/>
    <cellStyle name="40% - Accent1 4 2 5 4 3" xfId="30282" xr:uid="{00000000-0005-0000-0000-000072520000}"/>
    <cellStyle name="40% - Accent1 4 2 5 5" xfId="13331" xr:uid="{00000000-0005-0000-0000-000073520000}"/>
    <cellStyle name="40% - Accent1 4 2 5 5 2" xfId="35933" xr:uid="{00000000-0005-0000-0000-000074520000}"/>
    <cellStyle name="40% - Accent1 4 2 5 6" xfId="24632" xr:uid="{00000000-0005-0000-0000-000075520000}"/>
    <cellStyle name="40% - Accent1 4 2 6" xfId="2275" xr:uid="{00000000-0005-0000-0000-000076520000}"/>
    <cellStyle name="40% - Accent1 4 2 6 2" xfId="8111" xr:uid="{00000000-0005-0000-0000-000077520000}"/>
    <cellStyle name="40% - Accent1 4 2 6 2 2" xfId="19412" xr:uid="{00000000-0005-0000-0000-000078520000}"/>
    <cellStyle name="40% - Accent1 4 2 6 2 2 2" xfId="42014" xr:uid="{00000000-0005-0000-0000-000079520000}"/>
    <cellStyle name="40% - Accent1 4 2 6 2 3" xfId="30713" xr:uid="{00000000-0005-0000-0000-00007A520000}"/>
    <cellStyle name="40% - Accent1 4 2 6 3" xfId="13762" xr:uid="{00000000-0005-0000-0000-00007B520000}"/>
    <cellStyle name="40% - Accent1 4 2 6 3 2" xfId="36364" xr:uid="{00000000-0005-0000-0000-00007C520000}"/>
    <cellStyle name="40% - Accent1 4 2 6 4" xfId="25063" xr:uid="{00000000-0005-0000-0000-00007D520000}"/>
    <cellStyle name="40% - Accent1 4 2 7" xfId="4062" xr:uid="{00000000-0005-0000-0000-00007E520000}"/>
    <cellStyle name="40% - Accent1 4 2 7 2" xfId="9712" xr:uid="{00000000-0005-0000-0000-00007F520000}"/>
    <cellStyle name="40% - Accent1 4 2 7 2 2" xfId="21013" xr:uid="{00000000-0005-0000-0000-000080520000}"/>
    <cellStyle name="40% - Accent1 4 2 7 2 2 2" xfId="43615" xr:uid="{00000000-0005-0000-0000-000081520000}"/>
    <cellStyle name="40% - Accent1 4 2 7 2 3" xfId="32314" xr:uid="{00000000-0005-0000-0000-000082520000}"/>
    <cellStyle name="40% - Accent1 4 2 7 3" xfId="15363" xr:uid="{00000000-0005-0000-0000-000083520000}"/>
    <cellStyle name="40% - Accent1 4 2 7 3 2" xfId="37965" xr:uid="{00000000-0005-0000-0000-000084520000}"/>
    <cellStyle name="40% - Accent1 4 2 7 4" xfId="26664" xr:uid="{00000000-0005-0000-0000-000085520000}"/>
    <cellStyle name="40% - Accent1 4 2 8" xfId="6513" xr:uid="{00000000-0005-0000-0000-000086520000}"/>
    <cellStyle name="40% - Accent1 4 2 8 2" xfId="17814" xr:uid="{00000000-0005-0000-0000-000087520000}"/>
    <cellStyle name="40% - Accent1 4 2 8 2 2" xfId="40416" xr:uid="{00000000-0005-0000-0000-000088520000}"/>
    <cellStyle name="40% - Accent1 4 2 8 3" xfId="29115" xr:uid="{00000000-0005-0000-0000-000089520000}"/>
    <cellStyle name="40% - Accent1 4 2 9" xfId="12164" xr:uid="{00000000-0005-0000-0000-00008A520000}"/>
    <cellStyle name="40% - Accent1 4 2 9 2" xfId="34766" xr:uid="{00000000-0005-0000-0000-00008B520000}"/>
    <cellStyle name="40% - Accent1 4 3" xfId="419" xr:uid="{00000000-0005-0000-0000-00008C520000}"/>
    <cellStyle name="40% - Accent1 4 3 10" xfId="23514" xr:uid="{00000000-0005-0000-0000-00008D520000}"/>
    <cellStyle name="40% - Accent1 4 3 2" xfId="664" xr:uid="{00000000-0005-0000-0000-00008E520000}"/>
    <cellStyle name="40% - Accent1 4 3 2 2" xfId="1374" xr:uid="{00000000-0005-0000-0000-00008F520000}"/>
    <cellStyle name="40% - Accent1 4 3 2 2 2" xfId="1830" xr:uid="{00000000-0005-0000-0000-000090520000}"/>
    <cellStyle name="40% - Accent1 4 3 2 2 2 2" xfId="3443" xr:uid="{00000000-0005-0000-0000-000091520000}"/>
    <cellStyle name="40% - Accent1 4 3 2 2 2 2 2" xfId="6415" xr:uid="{00000000-0005-0000-0000-000092520000}"/>
    <cellStyle name="40% - Accent1 4 3 2 2 2 2 2 2" xfId="12065" xr:uid="{00000000-0005-0000-0000-000093520000}"/>
    <cellStyle name="40% - Accent1 4 3 2 2 2 2 2 2 2" xfId="23366" xr:uid="{00000000-0005-0000-0000-000094520000}"/>
    <cellStyle name="40% - Accent1 4 3 2 2 2 2 2 2 2 2" xfId="45968" xr:uid="{00000000-0005-0000-0000-000095520000}"/>
    <cellStyle name="40% - Accent1 4 3 2 2 2 2 2 2 3" xfId="34667" xr:uid="{00000000-0005-0000-0000-000096520000}"/>
    <cellStyle name="40% - Accent1 4 3 2 2 2 2 2 3" xfId="17716" xr:uid="{00000000-0005-0000-0000-000097520000}"/>
    <cellStyle name="40% - Accent1 4 3 2 2 2 2 2 3 2" xfId="40318" xr:uid="{00000000-0005-0000-0000-000098520000}"/>
    <cellStyle name="40% - Accent1 4 3 2 2 2 2 2 4" xfId="29017" xr:uid="{00000000-0005-0000-0000-000099520000}"/>
    <cellStyle name="40% - Accent1 4 3 2 2 2 2 3" xfId="9233" xr:uid="{00000000-0005-0000-0000-00009A520000}"/>
    <cellStyle name="40% - Accent1 4 3 2 2 2 2 3 2" xfId="20534" xr:uid="{00000000-0005-0000-0000-00009B520000}"/>
    <cellStyle name="40% - Accent1 4 3 2 2 2 2 3 2 2" xfId="43136" xr:uid="{00000000-0005-0000-0000-00009C520000}"/>
    <cellStyle name="40% - Accent1 4 3 2 2 2 2 3 3" xfId="31835" xr:uid="{00000000-0005-0000-0000-00009D520000}"/>
    <cellStyle name="40% - Accent1 4 3 2 2 2 2 4" xfId="14884" xr:uid="{00000000-0005-0000-0000-00009E520000}"/>
    <cellStyle name="40% - Accent1 4 3 2 2 2 2 4 2" xfId="37486" xr:uid="{00000000-0005-0000-0000-00009F520000}"/>
    <cellStyle name="40% - Accent1 4 3 2 2 2 2 5" xfId="26185" xr:uid="{00000000-0005-0000-0000-0000A0520000}"/>
    <cellStyle name="40% - Accent1 4 3 2 2 2 3" xfId="5181" xr:uid="{00000000-0005-0000-0000-0000A1520000}"/>
    <cellStyle name="40% - Accent1 4 3 2 2 2 3 2" xfId="10831" xr:uid="{00000000-0005-0000-0000-0000A2520000}"/>
    <cellStyle name="40% - Accent1 4 3 2 2 2 3 2 2" xfId="22132" xr:uid="{00000000-0005-0000-0000-0000A3520000}"/>
    <cellStyle name="40% - Accent1 4 3 2 2 2 3 2 2 2" xfId="44734" xr:uid="{00000000-0005-0000-0000-0000A4520000}"/>
    <cellStyle name="40% - Accent1 4 3 2 2 2 3 2 3" xfId="33433" xr:uid="{00000000-0005-0000-0000-0000A5520000}"/>
    <cellStyle name="40% - Accent1 4 3 2 2 2 3 3" xfId="16482" xr:uid="{00000000-0005-0000-0000-0000A6520000}"/>
    <cellStyle name="40% - Accent1 4 3 2 2 2 3 3 2" xfId="39084" xr:uid="{00000000-0005-0000-0000-0000A7520000}"/>
    <cellStyle name="40% - Accent1 4 3 2 2 2 3 4" xfId="27783" xr:uid="{00000000-0005-0000-0000-0000A8520000}"/>
    <cellStyle name="40% - Accent1 4 3 2 2 2 4" xfId="7686" xr:uid="{00000000-0005-0000-0000-0000A9520000}"/>
    <cellStyle name="40% - Accent1 4 3 2 2 2 4 2" xfId="18987" xr:uid="{00000000-0005-0000-0000-0000AA520000}"/>
    <cellStyle name="40% - Accent1 4 3 2 2 2 4 2 2" xfId="41589" xr:uid="{00000000-0005-0000-0000-0000AB520000}"/>
    <cellStyle name="40% - Accent1 4 3 2 2 2 4 3" xfId="30288" xr:uid="{00000000-0005-0000-0000-0000AC520000}"/>
    <cellStyle name="40% - Accent1 4 3 2 2 2 5" xfId="13337" xr:uid="{00000000-0005-0000-0000-0000AD520000}"/>
    <cellStyle name="40% - Accent1 4 3 2 2 2 5 2" xfId="35939" xr:uid="{00000000-0005-0000-0000-0000AE520000}"/>
    <cellStyle name="40% - Accent1 4 3 2 2 2 6" xfId="24638" xr:uid="{00000000-0005-0000-0000-0000AF520000}"/>
    <cellStyle name="40% - Accent1 4 3 2 2 3" xfId="2772" xr:uid="{00000000-0005-0000-0000-0000B0520000}"/>
    <cellStyle name="40% - Accent1 4 3 2 2 3 2" xfId="5791" xr:uid="{00000000-0005-0000-0000-0000B1520000}"/>
    <cellStyle name="40% - Accent1 4 3 2 2 3 2 2" xfId="11441" xr:uid="{00000000-0005-0000-0000-0000B2520000}"/>
    <cellStyle name="40% - Accent1 4 3 2 2 3 2 2 2" xfId="22742" xr:uid="{00000000-0005-0000-0000-0000B3520000}"/>
    <cellStyle name="40% - Accent1 4 3 2 2 3 2 2 2 2" xfId="45344" xr:uid="{00000000-0005-0000-0000-0000B4520000}"/>
    <cellStyle name="40% - Accent1 4 3 2 2 3 2 2 3" xfId="34043" xr:uid="{00000000-0005-0000-0000-0000B5520000}"/>
    <cellStyle name="40% - Accent1 4 3 2 2 3 2 3" xfId="17092" xr:uid="{00000000-0005-0000-0000-0000B6520000}"/>
    <cellStyle name="40% - Accent1 4 3 2 2 3 2 3 2" xfId="39694" xr:uid="{00000000-0005-0000-0000-0000B7520000}"/>
    <cellStyle name="40% - Accent1 4 3 2 2 3 2 4" xfId="28393" xr:uid="{00000000-0005-0000-0000-0000B8520000}"/>
    <cellStyle name="40% - Accent1 4 3 2 2 3 3" xfId="8608" xr:uid="{00000000-0005-0000-0000-0000B9520000}"/>
    <cellStyle name="40% - Accent1 4 3 2 2 3 3 2" xfId="19909" xr:uid="{00000000-0005-0000-0000-0000BA520000}"/>
    <cellStyle name="40% - Accent1 4 3 2 2 3 3 2 2" xfId="42511" xr:uid="{00000000-0005-0000-0000-0000BB520000}"/>
    <cellStyle name="40% - Accent1 4 3 2 2 3 3 3" xfId="31210" xr:uid="{00000000-0005-0000-0000-0000BC520000}"/>
    <cellStyle name="40% - Accent1 4 3 2 2 3 4" xfId="14259" xr:uid="{00000000-0005-0000-0000-0000BD520000}"/>
    <cellStyle name="40% - Accent1 4 3 2 2 3 4 2" xfId="36861" xr:uid="{00000000-0005-0000-0000-0000BE520000}"/>
    <cellStyle name="40% - Accent1 4 3 2 2 3 5" xfId="25560" xr:uid="{00000000-0005-0000-0000-0000BF520000}"/>
    <cellStyle name="40% - Accent1 4 3 2 2 4" xfId="4557" xr:uid="{00000000-0005-0000-0000-0000C0520000}"/>
    <cellStyle name="40% - Accent1 4 3 2 2 4 2" xfId="10207" xr:uid="{00000000-0005-0000-0000-0000C1520000}"/>
    <cellStyle name="40% - Accent1 4 3 2 2 4 2 2" xfId="21508" xr:uid="{00000000-0005-0000-0000-0000C2520000}"/>
    <cellStyle name="40% - Accent1 4 3 2 2 4 2 2 2" xfId="44110" xr:uid="{00000000-0005-0000-0000-0000C3520000}"/>
    <cellStyle name="40% - Accent1 4 3 2 2 4 2 3" xfId="32809" xr:uid="{00000000-0005-0000-0000-0000C4520000}"/>
    <cellStyle name="40% - Accent1 4 3 2 2 4 3" xfId="15858" xr:uid="{00000000-0005-0000-0000-0000C5520000}"/>
    <cellStyle name="40% - Accent1 4 3 2 2 4 3 2" xfId="38460" xr:uid="{00000000-0005-0000-0000-0000C6520000}"/>
    <cellStyle name="40% - Accent1 4 3 2 2 4 4" xfId="27159" xr:uid="{00000000-0005-0000-0000-0000C7520000}"/>
    <cellStyle name="40% - Accent1 4 3 2 2 5" xfId="7353" xr:uid="{00000000-0005-0000-0000-0000C8520000}"/>
    <cellStyle name="40% - Accent1 4 3 2 2 5 2" xfId="18654" xr:uid="{00000000-0005-0000-0000-0000C9520000}"/>
    <cellStyle name="40% - Accent1 4 3 2 2 5 2 2" xfId="41256" xr:uid="{00000000-0005-0000-0000-0000CA520000}"/>
    <cellStyle name="40% - Accent1 4 3 2 2 5 3" xfId="29955" xr:uid="{00000000-0005-0000-0000-0000CB520000}"/>
    <cellStyle name="40% - Accent1 4 3 2 2 6" xfId="13004" xr:uid="{00000000-0005-0000-0000-0000CC520000}"/>
    <cellStyle name="40% - Accent1 4 3 2 2 6 2" xfId="35606" xr:uid="{00000000-0005-0000-0000-0000CD520000}"/>
    <cellStyle name="40% - Accent1 4 3 2 2 7" xfId="24305" xr:uid="{00000000-0005-0000-0000-0000CE520000}"/>
    <cellStyle name="40% - Accent1 4 3 2 3" xfId="1072" xr:uid="{00000000-0005-0000-0000-0000CF520000}"/>
    <cellStyle name="40% - Accent1 4 3 2 3 2" xfId="3135" xr:uid="{00000000-0005-0000-0000-0000D0520000}"/>
    <cellStyle name="40% - Accent1 4 3 2 3 2 2" xfId="6107" xr:uid="{00000000-0005-0000-0000-0000D1520000}"/>
    <cellStyle name="40% - Accent1 4 3 2 3 2 2 2" xfId="11757" xr:uid="{00000000-0005-0000-0000-0000D2520000}"/>
    <cellStyle name="40% - Accent1 4 3 2 3 2 2 2 2" xfId="23058" xr:uid="{00000000-0005-0000-0000-0000D3520000}"/>
    <cellStyle name="40% - Accent1 4 3 2 3 2 2 2 2 2" xfId="45660" xr:uid="{00000000-0005-0000-0000-0000D4520000}"/>
    <cellStyle name="40% - Accent1 4 3 2 3 2 2 2 3" xfId="34359" xr:uid="{00000000-0005-0000-0000-0000D5520000}"/>
    <cellStyle name="40% - Accent1 4 3 2 3 2 2 3" xfId="17408" xr:uid="{00000000-0005-0000-0000-0000D6520000}"/>
    <cellStyle name="40% - Accent1 4 3 2 3 2 2 3 2" xfId="40010" xr:uid="{00000000-0005-0000-0000-0000D7520000}"/>
    <cellStyle name="40% - Accent1 4 3 2 3 2 2 4" xfId="28709" xr:uid="{00000000-0005-0000-0000-0000D8520000}"/>
    <cellStyle name="40% - Accent1 4 3 2 3 2 3" xfId="8925" xr:uid="{00000000-0005-0000-0000-0000D9520000}"/>
    <cellStyle name="40% - Accent1 4 3 2 3 2 3 2" xfId="20226" xr:uid="{00000000-0005-0000-0000-0000DA520000}"/>
    <cellStyle name="40% - Accent1 4 3 2 3 2 3 2 2" xfId="42828" xr:uid="{00000000-0005-0000-0000-0000DB520000}"/>
    <cellStyle name="40% - Accent1 4 3 2 3 2 3 3" xfId="31527" xr:uid="{00000000-0005-0000-0000-0000DC520000}"/>
    <cellStyle name="40% - Accent1 4 3 2 3 2 4" xfId="14576" xr:uid="{00000000-0005-0000-0000-0000DD520000}"/>
    <cellStyle name="40% - Accent1 4 3 2 3 2 4 2" xfId="37178" xr:uid="{00000000-0005-0000-0000-0000DE520000}"/>
    <cellStyle name="40% - Accent1 4 3 2 3 2 5" xfId="25877" xr:uid="{00000000-0005-0000-0000-0000DF520000}"/>
    <cellStyle name="40% - Accent1 4 3 2 3 3" xfId="4873" xr:uid="{00000000-0005-0000-0000-0000E0520000}"/>
    <cellStyle name="40% - Accent1 4 3 2 3 3 2" xfId="10523" xr:uid="{00000000-0005-0000-0000-0000E1520000}"/>
    <cellStyle name="40% - Accent1 4 3 2 3 3 2 2" xfId="21824" xr:uid="{00000000-0005-0000-0000-0000E2520000}"/>
    <cellStyle name="40% - Accent1 4 3 2 3 3 2 2 2" xfId="44426" xr:uid="{00000000-0005-0000-0000-0000E3520000}"/>
    <cellStyle name="40% - Accent1 4 3 2 3 3 2 3" xfId="33125" xr:uid="{00000000-0005-0000-0000-0000E4520000}"/>
    <cellStyle name="40% - Accent1 4 3 2 3 3 3" xfId="16174" xr:uid="{00000000-0005-0000-0000-0000E5520000}"/>
    <cellStyle name="40% - Accent1 4 3 2 3 3 3 2" xfId="38776" xr:uid="{00000000-0005-0000-0000-0000E6520000}"/>
    <cellStyle name="40% - Accent1 4 3 2 3 3 4" xfId="27475" xr:uid="{00000000-0005-0000-0000-0000E7520000}"/>
    <cellStyle name="40% - Accent1 4 3 2 3 4" xfId="7060" xr:uid="{00000000-0005-0000-0000-0000E8520000}"/>
    <cellStyle name="40% - Accent1 4 3 2 3 4 2" xfId="18361" xr:uid="{00000000-0005-0000-0000-0000E9520000}"/>
    <cellStyle name="40% - Accent1 4 3 2 3 4 2 2" xfId="40963" xr:uid="{00000000-0005-0000-0000-0000EA520000}"/>
    <cellStyle name="40% - Accent1 4 3 2 3 4 3" xfId="29662" xr:uid="{00000000-0005-0000-0000-0000EB520000}"/>
    <cellStyle name="40% - Accent1 4 3 2 3 5" xfId="12711" xr:uid="{00000000-0005-0000-0000-0000EC520000}"/>
    <cellStyle name="40% - Accent1 4 3 2 3 5 2" xfId="35313" xr:uid="{00000000-0005-0000-0000-0000ED520000}"/>
    <cellStyle name="40% - Accent1 4 3 2 3 6" xfId="24012" xr:uid="{00000000-0005-0000-0000-0000EE520000}"/>
    <cellStyle name="40% - Accent1 4 3 2 4" xfId="1829" xr:uid="{00000000-0005-0000-0000-0000EF520000}"/>
    <cellStyle name="40% - Accent1 4 3 2 4 2" xfId="3713" xr:uid="{00000000-0005-0000-0000-0000F0520000}"/>
    <cellStyle name="40% - Accent1 4 3 2 4 2 2" xfId="9424" xr:uid="{00000000-0005-0000-0000-0000F1520000}"/>
    <cellStyle name="40% - Accent1 4 3 2 4 2 2 2" xfId="20725" xr:uid="{00000000-0005-0000-0000-0000F2520000}"/>
    <cellStyle name="40% - Accent1 4 3 2 4 2 2 2 2" xfId="43327" xr:uid="{00000000-0005-0000-0000-0000F3520000}"/>
    <cellStyle name="40% - Accent1 4 3 2 4 2 2 3" xfId="32026" xr:uid="{00000000-0005-0000-0000-0000F4520000}"/>
    <cellStyle name="40% - Accent1 4 3 2 4 2 3" xfId="15075" xr:uid="{00000000-0005-0000-0000-0000F5520000}"/>
    <cellStyle name="40% - Accent1 4 3 2 4 2 3 2" xfId="37677" xr:uid="{00000000-0005-0000-0000-0000F6520000}"/>
    <cellStyle name="40% - Accent1 4 3 2 4 2 4" xfId="26376" xr:uid="{00000000-0005-0000-0000-0000F7520000}"/>
    <cellStyle name="40% - Accent1 4 3 2 4 3" xfId="5483" xr:uid="{00000000-0005-0000-0000-0000F8520000}"/>
    <cellStyle name="40% - Accent1 4 3 2 4 3 2" xfId="11133" xr:uid="{00000000-0005-0000-0000-0000F9520000}"/>
    <cellStyle name="40% - Accent1 4 3 2 4 3 2 2" xfId="22434" xr:uid="{00000000-0005-0000-0000-0000FA520000}"/>
    <cellStyle name="40% - Accent1 4 3 2 4 3 2 2 2" xfId="45036" xr:uid="{00000000-0005-0000-0000-0000FB520000}"/>
    <cellStyle name="40% - Accent1 4 3 2 4 3 2 3" xfId="33735" xr:uid="{00000000-0005-0000-0000-0000FC520000}"/>
    <cellStyle name="40% - Accent1 4 3 2 4 3 3" xfId="16784" xr:uid="{00000000-0005-0000-0000-0000FD520000}"/>
    <cellStyle name="40% - Accent1 4 3 2 4 3 3 2" xfId="39386" xr:uid="{00000000-0005-0000-0000-0000FE520000}"/>
    <cellStyle name="40% - Accent1 4 3 2 4 3 4" xfId="28085" xr:uid="{00000000-0005-0000-0000-0000FF520000}"/>
    <cellStyle name="40% - Accent1 4 3 2 4 4" xfId="7685" xr:uid="{00000000-0005-0000-0000-000000530000}"/>
    <cellStyle name="40% - Accent1 4 3 2 4 4 2" xfId="18986" xr:uid="{00000000-0005-0000-0000-000001530000}"/>
    <cellStyle name="40% - Accent1 4 3 2 4 4 2 2" xfId="41588" xr:uid="{00000000-0005-0000-0000-000002530000}"/>
    <cellStyle name="40% - Accent1 4 3 2 4 4 3" xfId="30287" xr:uid="{00000000-0005-0000-0000-000003530000}"/>
    <cellStyle name="40% - Accent1 4 3 2 4 5" xfId="13336" xr:uid="{00000000-0005-0000-0000-000004530000}"/>
    <cellStyle name="40% - Accent1 4 3 2 4 5 2" xfId="35938" xr:uid="{00000000-0005-0000-0000-000005530000}"/>
    <cellStyle name="40% - Accent1 4 3 2 4 6" xfId="24637" xr:uid="{00000000-0005-0000-0000-000006530000}"/>
    <cellStyle name="40% - Accent1 4 3 2 5" xfId="2464" xr:uid="{00000000-0005-0000-0000-000007530000}"/>
    <cellStyle name="40% - Accent1 4 3 2 5 2" xfId="8300" xr:uid="{00000000-0005-0000-0000-000008530000}"/>
    <cellStyle name="40% - Accent1 4 3 2 5 2 2" xfId="19601" xr:uid="{00000000-0005-0000-0000-000009530000}"/>
    <cellStyle name="40% - Accent1 4 3 2 5 2 2 2" xfId="42203" xr:uid="{00000000-0005-0000-0000-00000A530000}"/>
    <cellStyle name="40% - Accent1 4 3 2 5 2 3" xfId="30902" xr:uid="{00000000-0005-0000-0000-00000B530000}"/>
    <cellStyle name="40% - Accent1 4 3 2 5 3" xfId="13951" xr:uid="{00000000-0005-0000-0000-00000C530000}"/>
    <cellStyle name="40% - Accent1 4 3 2 5 3 2" xfId="36553" xr:uid="{00000000-0005-0000-0000-00000D530000}"/>
    <cellStyle name="40% - Accent1 4 3 2 5 4" xfId="25252" xr:uid="{00000000-0005-0000-0000-00000E530000}"/>
    <cellStyle name="40% - Accent1 4 3 2 6" xfId="4249" xr:uid="{00000000-0005-0000-0000-00000F530000}"/>
    <cellStyle name="40% - Accent1 4 3 2 6 2" xfId="9899" xr:uid="{00000000-0005-0000-0000-000010530000}"/>
    <cellStyle name="40% - Accent1 4 3 2 6 2 2" xfId="21200" xr:uid="{00000000-0005-0000-0000-000011530000}"/>
    <cellStyle name="40% - Accent1 4 3 2 6 2 2 2" xfId="43802" xr:uid="{00000000-0005-0000-0000-000012530000}"/>
    <cellStyle name="40% - Accent1 4 3 2 6 2 3" xfId="32501" xr:uid="{00000000-0005-0000-0000-000013530000}"/>
    <cellStyle name="40% - Accent1 4 3 2 6 3" xfId="15550" xr:uid="{00000000-0005-0000-0000-000014530000}"/>
    <cellStyle name="40% - Accent1 4 3 2 6 3 2" xfId="38152" xr:uid="{00000000-0005-0000-0000-000015530000}"/>
    <cellStyle name="40% - Accent1 4 3 2 6 4" xfId="26851" xr:uid="{00000000-0005-0000-0000-000016530000}"/>
    <cellStyle name="40% - Accent1 4 3 2 7" xfId="6729" xr:uid="{00000000-0005-0000-0000-000017530000}"/>
    <cellStyle name="40% - Accent1 4 3 2 7 2" xfId="18030" xr:uid="{00000000-0005-0000-0000-000018530000}"/>
    <cellStyle name="40% - Accent1 4 3 2 7 2 2" xfId="40632" xr:uid="{00000000-0005-0000-0000-000019530000}"/>
    <cellStyle name="40% - Accent1 4 3 2 7 3" xfId="29331" xr:uid="{00000000-0005-0000-0000-00001A530000}"/>
    <cellStyle name="40% - Accent1 4 3 2 8" xfId="12380" xr:uid="{00000000-0005-0000-0000-00001B530000}"/>
    <cellStyle name="40% - Accent1 4 3 2 8 2" xfId="34982" xr:uid="{00000000-0005-0000-0000-00001C530000}"/>
    <cellStyle name="40% - Accent1 4 3 2 9" xfId="23681" xr:uid="{00000000-0005-0000-0000-00001D530000}"/>
    <cellStyle name="40% - Accent1 4 3 3" xfId="1236" xr:uid="{00000000-0005-0000-0000-00001E530000}"/>
    <cellStyle name="40% - Accent1 4 3 3 2" xfId="1831" xr:uid="{00000000-0005-0000-0000-00001F530000}"/>
    <cellStyle name="40% - Accent1 4 3 3 2 2" xfId="3304" xr:uid="{00000000-0005-0000-0000-000020530000}"/>
    <cellStyle name="40% - Accent1 4 3 3 2 2 2" xfId="6276" xr:uid="{00000000-0005-0000-0000-000021530000}"/>
    <cellStyle name="40% - Accent1 4 3 3 2 2 2 2" xfId="11926" xr:uid="{00000000-0005-0000-0000-000022530000}"/>
    <cellStyle name="40% - Accent1 4 3 3 2 2 2 2 2" xfId="23227" xr:uid="{00000000-0005-0000-0000-000023530000}"/>
    <cellStyle name="40% - Accent1 4 3 3 2 2 2 2 2 2" xfId="45829" xr:uid="{00000000-0005-0000-0000-000024530000}"/>
    <cellStyle name="40% - Accent1 4 3 3 2 2 2 2 3" xfId="34528" xr:uid="{00000000-0005-0000-0000-000025530000}"/>
    <cellStyle name="40% - Accent1 4 3 3 2 2 2 3" xfId="17577" xr:uid="{00000000-0005-0000-0000-000026530000}"/>
    <cellStyle name="40% - Accent1 4 3 3 2 2 2 3 2" xfId="40179" xr:uid="{00000000-0005-0000-0000-000027530000}"/>
    <cellStyle name="40% - Accent1 4 3 3 2 2 2 4" xfId="28878" xr:uid="{00000000-0005-0000-0000-000028530000}"/>
    <cellStyle name="40% - Accent1 4 3 3 2 2 3" xfId="9094" xr:uid="{00000000-0005-0000-0000-000029530000}"/>
    <cellStyle name="40% - Accent1 4 3 3 2 2 3 2" xfId="20395" xr:uid="{00000000-0005-0000-0000-00002A530000}"/>
    <cellStyle name="40% - Accent1 4 3 3 2 2 3 2 2" xfId="42997" xr:uid="{00000000-0005-0000-0000-00002B530000}"/>
    <cellStyle name="40% - Accent1 4 3 3 2 2 3 3" xfId="31696" xr:uid="{00000000-0005-0000-0000-00002C530000}"/>
    <cellStyle name="40% - Accent1 4 3 3 2 2 4" xfId="14745" xr:uid="{00000000-0005-0000-0000-00002D530000}"/>
    <cellStyle name="40% - Accent1 4 3 3 2 2 4 2" xfId="37347" xr:uid="{00000000-0005-0000-0000-00002E530000}"/>
    <cellStyle name="40% - Accent1 4 3 3 2 2 5" xfId="26046" xr:uid="{00000000-0005-0000-0000-00002F530000}"/>
    <cellStyle name="40% - Accent1 4 3 3 2 3" xfId="5042" xr:uid="{00000000-0005-0000-0000-000030530000}"/>
    <cellStyle name="40% - Accent1 4 3 3 2 3 2" xfId="10692" xr:uid="{00000000-0005-0000-0000-000031530000}"/>
    <cellStyle name="40% - Accent1 4 3 3 2 3 2 2" xfId="21993" xr:uid="{00000000-0005-0000-0000-000032530000}"/>
    <cellStyle name="40% - Accent1 4 3 3 2 3 2 2 2" xfId="44595" xr:uid="{00000000-0005-0000-0000-000033530000}"/>
    <cellStyle name="40% - Accent1 4 3 3 2 3 2 3" xfId="33294" xr:uid="{00000000-0005-0000-0000-000034530000}"/>
    <cellStyle name="40% - Accent1 4 3 3 2 3 3" xfId="16343" xr:uid="{00000000-0005-0000-0000-000035530000}"/>
    <cellStyle name="40% - Accent1 4 3 3 2 3 3 2" xfId="38945" xr:uid="{00000000-0005-0000-0000-000036530000}"/>
    <cellStyle name="40% - Accent1 4 3 3 2 3 4" xfId="27644" xr:uid="{00000000-0005-0000-0000-000037530000}"/>
    <cellStyle name="40% - Accent1 4 3 3 2 4" xfId="7687" xr:uid="{00000000-0005-0000-0000-000038530000}"/>
    <cellStyle name="40% - Accent1 4 3 3 2 4 2" xfId="18988" xr:uid="{00000000-0005-0000-0000-000039530000}"/>
    <cellStyle name="40% - Accent1 4 3 3 2 4 2 2" xfId="41590" xr:uid="{00000000-0005-0000-0000-00003A530000}"/>
    <cellStyle name="40% - Accent1 4 3 3 2 4 3" xfId="30289" xr:uid="{00000000-0005-0000-0000-00003B530000}"/>
    <cellStyle name="40% - Accent1 4 3 3 2 5" xfId="13338" xr:uid="{00000000-0005-0000-0000-00003C530000}"/>
    <cellStyle name="40% - Accent1 4 3 3 2 5 2" xfId="35940" xr:uid="{00000000-0005-0000-0000-00003D530000}"/>
    <cellStyle name="40% - Accent1 4 3 3 2 6" xfId="24639" xr:uid="{00000000-0005-0000-0000-00003E530000}"/>
    <cellStyle name="40% - Accent1 4 3 3 3" xfId="2633" xr:uid="{00000000-0005-0000-0000-00003F530000}"/>
    <cellStyle name="40% - Accent1 4 3 3 3 2" xfId="5652" xr:uid="{00000000-0005-0000-0000-000040530000}"/>
    <cellStyle name="40% - Accent1 4 3 3 3 2 2" xfId="11302" xr:uid="{00000000-0005-0000-0000-000041530000}"/>
    <cellStyle name="40% - Accent1 4 3 3 3 2 2 2" xfId="22603" xr:uid="{00000000-0005-0000-0000-000042530000}"/>
    <cellStyle name="40% - Accent1 4 3 3 3 2 2 2 2" xfId="45205" xr:uid="{00000000-0005-0000-0000-000043530000}"/>
    <cellStyle name="40% - Accent1 4 3 3 3 2 2 3" xfId="33904" xr:uid="{00000000-0005-0000-0000-000044530000}"/>
    <cellStyle name="40% - Accent1 4 3 3 3 2 3" xfId="16953" xr:uid="{00000000-0005-0000-0000-000045530000}"/>
    <cellStyle name="40% - Accent1 4 3 3 3 2 3 2" xfId="39555" xr:uid="{00000000-0005-0000-0000-000046530000}"/>
    <cellStyle name="40% - Accent1 4 3 3 3 2 4" xfId="28254" xr:uid="{00000000-0005-0000-0000-000047530000}"/>
    <cellStyle name="40% - Accent1 4 3 3 3 3" xfId="8469" xr:uid="{00000000-0005-0000-0000-000048530000}"/>
    <cellStyle name="40% - Accent1 4 3 3 3 3 2" xfId="19770" xr:uid="{00000000-0005-0000-0000-000049530000}"/>
    <cellStyle name="40% - Accent1 4 3 3 3 3 2 2" xfId="42372" xr:uid="{00000000-0005-0000-0000-00004A530000}"/>
    <cellStyle name="40% - Accent1 4 3 3 3 3 3" xfId="31071" xr:uid="{00000000-0005-0000-0000-00004B530000}"/>
    <cellStyle name="40% - Accent1 4 3 3 3 4" xfId="14120" xr:uid="{00000000-0005-0000-0000-00004C530000}"/>
    <cellStyle name="40% - Accent1 4 3 3 3 4 2" xfId="36722" xr:uid="{00000000-0005-0000-0000-00004D530000}"/>
    <cellStyle name="40% - Accent1 4 3 3 3 5" xfId="25421" xr:uid="{00000000-0005-0000-0000-00004E530000}"/>
    <cellStyle name="40% - Accent1 4 3 3 4" xfId="4418" xr:uid="{00000000-0005-0000-0000-00004F530000}"/>
    <cellStyle name="40% - Accent1 4 3 3 4 2" xfId="10068" xr:uid="{00000000-0005-0000-0000-000050530000}"/>
    <cellStyle name="40% - Accent1 4 3 3 4 2 2" xfId="21369" xr:uid="{00000000-0005-0000-0000-000051530000}"/>
    <cellStyle name="40% - Accent1 4 3 3 4 2 2 2" xfId="43971" xr:uid="{00000000-0005-0000-0000-000052530000}"/>
    <cellStyle name="40% - Accent1 4 3 3 4 2 3" xfId="32670" xr:uid="{00000000-0005-0000-0000-000053530000}"/>
    <cellStyle name="40% - Accent1 4 3 3 4 3" xfId="15719" xr:uid="{00000000-0005-0000-0000-000054530000}"/>
    <cellStyle name="40% - Accent1 4 3 3 4 3 2" xfId="38321" xr:uid="{00000000-0005-0000-0000-000055530000}"/>
    <cellStyle name="40% - Accent1 4 3 3 4 4" xfId="27020" xr:uid="{00000000-0005-0000-0000-000056530000}"/>
    <cellStyle name="40% - Accent1 4 3 3 5" xfId="7215" xr:uid="{00000000-0005-0000-0000-000057530000}"/>
    <cellStyle name="40% - Accent1 4 3 3 5 2" xfId="18516" xr:uid="{00000000-0005-0000-0000-000058530000}"/>
    <cellStyle name="40% - Accent1 4 3 3 5 2 2" xfId="41118" xr:uid="{00000000-0005-0000-0000-000059530000}"/>
    <cellStyle name="40% - Accent1 4 3 3 5 3" xfId="29817" xr:uid="{00000000-0005-0000-0000-00005A530000}"/>
    <cellStyle name="40% - Accent1 4 3 3 6" xfId="12866" xr:uid="{00000000-0005-0000-0000-00005B530000}"/>
    <cellStyle name="40% - Accent1 4 3 3 6 2" xfId="35468" xr:uid="{00000000-0005-0000-0000-00005C530000}"/>
    <cellStyle name="40% - Accent1 4 3 3 7" xfId="24167" xr:uid="{00000000-0005-0000-0000-00005D530000}"/>
    <cellStyle name="40% - Accent1 4 3 4" xfId="927" xr:uid="{00000000-0005-0000-0000-00005E530000}"/>
    <cellStyle name="40% - Accent1 4 3 4 2" xfId="2997" xr:uid="{00000000-0005-0000-0000-00005F530000}"/>
    <cellStyle name="40% - Accent1 4 3 4 2 2" xfId="5969" xr:uid="{00000000-0005-0000-0000-000060530000}"/>
    <cellStyle name="40% - Accent1 4 3 4 2 2 2" xfId="11619" xr:uid="{00000000-0005-0000-0000-000061530000}"/>
    <cellStyle name="40% - Accent1 4 3 4 2 2 2 2" xfId="22920" xr:uid="{00000000-0005-0000-0000-000062530000}"/>
    <cellStyle name="40% - Accent1 4 3 4 2 2 2 2 2" xfId="45522" xr:uid="{00000000-0005-0000-0000-000063530000}"/>
    <cellStyle name="40% - Accent1 4 3 4 2 2 2 3" xfId="34221" xr:uid="{00000000-0005-0000-0000-000064530000}"/>
    <cellStyle name="40% - Accent1 4 3 4 2 2 3" xfId="17270" xr:uid="{00000000-0005-0000-0000-000065530000}"/>
    <cellStyle name="40% - Accent1 4 3 4 2 2 3 2" xfId="39872" xr:uid="{00000000-0005-0000-0000-000066530000}"/>
    <cellStyle name="40% - Accent1 4 3 4 2 2 4" xfId="28571" xr:uid="{00000000-0005-0000-0000-000067530000}"/>
    <cellStyle name="40% - Accent1 4 3 4 2 3" xfId="8787" xr:uid="{00000000-0005-0000-0000-000068530000}"/>
    <cellStyle name="40% - Accent1 4 3 4 2 3 2" xfId="20088" xr:uid="{00000000-0005-0000-0000-000069530000}"/>
    <cellStyle name="40% - Accent1 4 3 4 2 3 2 2" xfId="42690" xr:uid="{00000000-0005-0000-0000-00006A530000}"/>
    <cellStyle name="40% - Accent1 4 3 4 2 3 3" xfId="31389" xr:uid="{00000000-0005-0000-0000-00006B530000}"/>
    <cellStyle name="40% - Accent1 4 3 4 2 4" xfId="14438" xr:uid="{00000000-0005-0000-0000-00006C530000}"/>
    <cellStyle name="40% - Accent1 4 3 4 2 4 2" xfId="37040" xr:uid="{00000000-0005-0000-0000-00006D530000}"/>
    <cellStyle name="40% - Accent1 4 3 4 2 5" xfId="25739" xr:uid="{00000000-0005-0000-0000-00006E530000}"/>
    <cellStyle name="40% - Accent1 4 3 4 3" xfId="4735" xr:uid="{00000000-0005-0000-0000-00006F530000}"/>
    <cellStyle name="40% - Accent1 4 3 4 3 2" xfId="10385" xr:uid="{00000000-0005-0000-0000-000070530000}"/>
    <cellStyle name="40% - Accent1 4 3 4 3 2 2" xfId="21686" xr:uid="{00000000-0005-0000-0000-000071530000}"/>
    <cellStyle name="40% - Accent1 4 3 4 3 2 2 2" xfId="44288" xr:uid="{00000000-0005-0000-0000-000072530000}"/>
    <cellStyle name="40% - Accent1 4 3 4 3 2 3" xfId="32987" xr:uid="{00000000-0005-0000-0000-000073530000}"/>
    <cellStyle name="40% - Accent1 4 3 4 3 3" xfId="16036" xr:uid="{00000000-0005-0000-0000-000074530000}"/>
    <cellStyle name="40% - Accent1 4 3 4 3 3 2" xfId="38638" xr:uid="{00000000-0005-0000-0000-000075530000}"/>
    <cellStyle name="40% - Accent1 4 3 4 3 4" xfId="27337" xr:uid="{00000000-0005-0000-0000-000076530000}"/>
    <cellStyle name="40% - Accent1 4 3 4 4" xfId="6922" xr:uid="{00000000-0005-0000-0000-000077530000}"/>
    <cellStyle name="40% - Accent1 4 3 4 4 2" xfId="18223" xr:uid="{00000000-0005-0000-0000-000078530000}"/>
    <cellStyle name="40% - Accent1 4 3 4 4 2 2" xfId="40825" xr:uid="{00000000-0005-0000-0000-000079530000}"/>
    <cellStyle name="40% - Accent1 4 3 4 4 3" xfId="29524" xr:uid="{00000000-0005-0000-0000-00007A530000}"/>
    <cellStyle name="40% - Accent1 4 3 4 5" xfId="12573" xr:uid="{00000000-0005-0000-0000-00007B530000}"/>
    <cellStyle name="40% - Accent1 4 3 4 5 2" xfId="35175" xr:uid="{00000000-0005-0000-0000-00007C530000}"/>
    <cellStyle name="40% - Accent1 4 3 4 6" xfId="23874" xr:uid="{00000000-0005-0000-0000-00007D530000}"/>
    <cellStyle name="40% - Accent1 4 3 5" xfId="1828" xr:uid="{00000000-0005-0000-0000-00007E530000}"/>
    <cellStyle name="40% - Accent1 4 3 5 2" xfId="3712" xr:uid="{00000000-0005-0000-0000-00007F530000}"/>
    <cellStyle name="40% - Accent1 4 3 5 2 2" xfId="9423" xr:uid="{00000000-0005-0000-0000-000080530000}"/>
    <cellStyle name="40% - Accent1 4 3 5 2 2 2" xfId="20724" xr:uid="{00000000-0005-0000-0000-000081530000}"/>
    <cellStyle name="40% - Accent1 4 3 5 2 2 2 2" xfId="43326" xr:uid="{00000000-0005-0000-0000-000082530000}"/>
    <cellStyle name="40% - Accent1 4 3 5 2 2 3" xfId="32025" xr:uid="{00000000-0005-0000-0000-000083530000}"/>
    <cellStyle name="40% - Accent1 4 3 5 2 3" xfId="15074" xr:uid="{00000000-0005-0000-0000-000084530000}"/>
    <cellStyle name="40% - Accent1 4 3 5 2 3 2" xfId="37676" xr:uid="{00000000-0005-0000-0000-000085530000}"/>
    <cellStyle name="40% - Accent1 4 3 5 2 4" xfId="26375" xr:uid="{00000000-0005-0000-0000-000086530000}"/>
    <cellStyle name="40% - Accent1 4 3 5 3" xfId="5345" xr:uid="{00000000-0005-0000-0000-000087530000}"/>
    <cellStyle name="40% - Accent1 4 3 5 3 2" xfId="10995" xr:uid="{00000000-0005-0000-0000-000088530000}"/>
    <cellStyle name="40% - Accent1 4 3 5 3 2 2" xfId="22296" xr:uid="{00000000-0005-0000-0000-000089530000}"/>
    <cellStyle name="40% - Accent1 4 3 5 3 2 2 2" xfId="44898" xr:uid="{00000000-0005-0000-0000-00008A530000}"/>
    <cellStyle name="40% - Accent1 4 3 5 3 2 3" xfId="33597" xr:uid="{00000000-0005-0000-0000-00008B530000}"/>
    <cellStyle name="40% - Accent1 4 3 5 3 3" xfId="16646" xr:uid="{00000000-0005-0000-0000-00008C530000}"/>
    <cellStyle name="40% - Accent1 4 3 5 3 3 2" xfId="39248" xr:uid="{00000000-0005-0000-0000-00008D530000}"/>
    <cellStyle name="40% - Accent1 4 3 5 3 4" xfId="27947" xr:uid="{00000000-0005-0000-0000-00008E530000}"/>
    <cellStyle name="40% - Accent1 4 3 5 4" xfId="7684" xr:uid="{00000000-0005-0000-0000-00008F530000}"/>
    <cellStyle name="40% - Accent1 4 3 5 4 2" xfId="18985" xr:uid="{00000000-0005-0000-0000-000090530000}"/>
    <cellStyle name="40% - Accent1 4 3 5 4 2 2" xfId="41587" xr:uid="{00000000-0005-0000-0000-000091530000}"/>
    <cellStyle name="40% - Accent1 4 3 5 4 3" xfId="30286" xr:uid="{00000000-0005-0000-0000-000092530000}"/>
    <cellStyle name="40% - Accent1 4 3 5 5" xfId="13335" xr:uid="{00000000-0005-0000-0000-000093530000}"/>
    <cellStyle name="40% - Accent1 4 3 5 5 2" xfId="35937" xr:uid="{00000000-0005-0000-0000-000094530000}"/>
    <cellStyle name="40% - Accent1 4 3 5 6" xfId="24636" xr:uid="{00000000-0005-0000-0000-000095530000}"/>
    <cellStyle name="40% - Accent1 4 3 6" xfId="2324" xr:uid="{00000000-0005-0000-0000-000096530000}"/>
    <cellStyle name="40% - Accent1 4 3 6 2" xfId="8160" xr:uid="{00000000-0005-0000-0000-000097530000}"/>
    <cellStyle name="40% - Accent1 4 3 6 2 2" xfId="19461" xr:uid="{00000000-0005-0000-0000-000098530000}"/>
    <cellStyle name="40% - Accent1 4 3 6 2 2 2" xfId="42063" xr:uid="{00000000-0005-0000-0000-000099530000}"/>
    <cellStyle name="40% - Accent1 4 3 6 2 3" xfId="30762" xr:uid="{00000000-0005-0000-0000-00009A530000}"/>
    <cellStyle name="40% - Accent1 4 3 6 3" xfId="13811" xr:uid="{00000000-0005-0000-0000-00009B530000}"/>
    <cellStyle name="40% - Accent1 4 3 6 3 2" xfId="36413" xr:uid="{00000000-0005-0000-0000-00009C530000}"/>
    <cellStyle name="40% - Accent1 4 3 6 4" xfId="25112" xr:uid="{00000000-0005-0000-0000-00009D530000}"/>
    <cellStyle name="40% - Accent1 4 3 7" xfId="4111" xr:uid="{00000000-0005-0000-0000-00009E530000}"/>
    <cellStyle name="40% - Accent1 4 3 7 2" xfId="9761" xr:uid="{00000000-0005-0000-0000-00009F530000}"/>
    <cellStyle name="40% - Accent1 4 3 7 2 2" xfId="21062" xr:uid="{00000000-0005-0000-0000-0000A0530000}"/>
    <cellStyle name="40% - Accent1 4 3 7 2 2 2" xfId="43664" xr:uid="{00000000-0005-0000-0000-0000A1530000}"/>
    <cellStyle name="40% - Accent1 4 3 7 2 3" xfId="32363" xr:uid="{00000000-0005-0000-0000-0000A2530000}"/>
    <cellStyle name="40% - Accent1 4 3 7 3" xfId="15412" xr:uid="{00000000-0005-0000-0000-0000A3530000}"/>
    <cellStyle name="40% - Accent1 4 3 7 3 2" xfId="38014" xr:uid="{00000000-0005-0000-0000-0000A4530000}"/>
    <cellStyle name="40% - Accent1 4 3 7 4" xfId="26713" xr:uid="{00000000-0005-0000-0000-0000A5530000}"/>
    <cellStyle name="40% - Accent1 4 3 8" xfId="6562" xr:uid="{00000000-0005-0000-0000-0000A6530000}"/>
    <cellStyle name="40% - Accent1 4 3 8 2" xfId="17863" xr:uid="{00000000-0005-0000-0000-0000A7530000}"/>
    <cellStyle name="40% - Accent1 4 3 8 2 2" xfId="40465" xr:uid="{00000000-0005-0000-0000-0000A8530000}"/>
    <cellStyle name="40% - Accent1 4 3 8 3" xfId="29164" xr:uid="{00000000-0005-0000-0000-0000A9530000}"/>
    <cellStyle name="40% - Accent1 4 3 9" xfId="12213" xr:uid="{00000000-0005-0000-0000-0000AA530000}"/>
    <cellStyle name="40% - Accent1 4 3 9 2" xfId="34815" xr:uid="{00000000-0005-0000-0000-0000AB530000}"/>
    <cellStyle name="40% - Accent1 4 4" xfId="566" xr:uid="{00000000-0005-0000-0000-0000AC530000}"/>
    <cellStyle name="40% - Accent1 4 4 2" xfId="1140" xr:uid="{00000000-0005-0000-0000-0000AD530000}"/>
    <cellStyle name="40% - Accent1 4 4 2 2" xfId="1833" xr:uid="{00000000-0005-0000-0000-0000AE530000}"/>
    <cellStyle name="40% - Accent1 4 4 2 2 2" xfId="3208" xr:uid="{00000000-0005-0000-0000-0000AF530000}"/>
    <cellStyle name="40% - Accent1 4 4 2 2 2 2" xfId="6180" xr:uid="{00000000-0005-0000-0000-0000B0530000}"/>
    <cellStyle name="40% - Accent1 4 4 2 2 2 2 2" xfId="11830" xr:uid="{00000000-0005-0000-0000-0000B1530000}"/>
    <cellStyle name="40% - Accent1 4 4 2 2 2 2 2 2" xfId="23131" xr:uid="{00000000-0005-0000-0000-0000B2530000}"/>
    <cellStyle name="40% - Accent1 4 4 2 2 2 2 2 2 2" xfId="45733" xr:uid="{00000000-0005-0000-0000-0000B3530000}"/>
    <cellStyle name="40% - Accent1 4 4 2 2 2 2 2 3" xfId="34432" xr:uid="{00000000-0005-0000-0000-0000B4530000}"/>
    <cellStyle name="40% - Accent1 4 4 2 2 2 2 3" xfId="17481" xr:uid="{00000000-0005-0000-0000-0000B5530000}"/>
    <cellStyle name="40% - Accent1 4 4 2 2 2 2 3 2" xfId="40083" xr:uid="{00000000-0005-0000-0000-0000B6530000}"/>
    <cellStyle name="40% - Accent1 4 4 2 2 2 2 4" xfId="28782" xr:uid="{00000000-0005-0000-0000-0000B7530000}"/>
    <cellStyle name="40% - Accent1 4 4 2 2 2 3" xfId="8998" xr:uid="{00000000-0005-0000-0000-0000B8530000}"/>
    <cellStyle name="40% - Accent1 4 4 2 2 2 3 2" xfId="20299" xr:uid="{00000000-0005-0000-0000-0000B9530000}"/>
    <cellStyle name="40% - Accent1 4 4 2 2 2 3 2 2" xfId="42901" xr:uid="{00000000-0005-0000-0000-0000BA530000}"/>
    <cellStyle name="40% - Accent1 4 4 2 2 2 3 3" xfId="31600" xr:uid="{00000000-0005-0000-0000-0000BB530000}"/>
    <cellStyle name="40% - Accent1 4 4 2 2 2 4" xfId="14649" xr:uid="{00000000-0005-0000-0000-0000BC530000}"/>
    <cellStyle name="40% - Accent1 4 4 2 2 2 4 2" xfId="37251" xr:uid="{00000000-0005-0000-0000-0000BD530000}"/>
    <cellStyle name="40% - Accent1 4 4 2 2 2 5" xfId="25950" xr:uid="{00000000-0005-0000-0000-0000BE530000}"/>
    <cellStyle name="40% - Accent1 4 4 2 2 3" xfId="4946" xr:uid="{00000000-0005-0000-0000-0000BF530000}"/>
    <cellStyle name="40% - Accent1 4 4 2 2 3 2" xfId="10596" xr:uid="{00000000-0005-0000-0000-0000C0530000}"/>
    <cellStyle name="40% - Accent1 4 4 2 2 3 2 2" xfId="21897" xr:uid="{00000000-0005-0000-0000-0000C1530000}"/>
    <cellStyle name="40% - Accent1 4 4 2 2 3 2 2 2" xfId="44499" xr:uid="{00000000-0005-0000-0000-0000C2530000}"/>
    <cellStyle name="40% - Accent1 4 4 2 2 3 2 3" xfId="33198" xr:uid="{00000000-0005-0000-0000-0000C3530000}"/>
    <cellStyle name="40% - Accent1 4 4 2 2 3 3" xfId="16247" xr:uid="{00000000-0005-0000-0000-0000C4530000}"/>
    <cellStyle name="40% - Accent1 4 4 2 2 3 3 2" xfId="38849" xr:uid="{00000000-0005-0000-0000-0000C5530000}"/>
    <cellStyle name="40% - Accent1 4 4 2 2 3 4" xfId="27548" xr:uid="{00000000-0005-0000-0000-0000C6530000}"/>
    <cellStyle name="40% - Accent1 4 4 2 2 4" xfId="7689" xr:uid="{00000000-0005-0000-0000-0000C7530000}"/>
    <cellStyle name="40% - Accent1 4 4 2 2 4 2" xfId="18990" xr:uid="{00000000-0005-0000-0000-0000C8530000}"/>
    <cellStyle name="40% - Accent1 4 4 2 2 4 2 2" xfId="41592" xr:uid="{00000000-0005-0000-0000-0000C9530000}"/>
    <cellStyle name="40% - Accent1 4 4 2 2 4 3" xfId="30291" xr:uid="{00000000-0005-0000-0000-0000CA530000}"/>
    <cellStyle name="40% - Accent1 4 4 2 2 5" xfId="13340" xr:uid="{00000000-0005-0000-0000-0000CB530000}"/>
    <cellStyle name="40% - Accent1 4 4 2 2 5 2" xfId="35942" xr:uid="{00000000-0005-0000-0000-0000CC530000}"/>
    <cellStyle name="40% - Accent1 4 4 2 2 6" xfId="24641" xr:uid="{00000000-0005-0000-0000-0000CD530000}"/>
    <cellStyle name="40% - Accent1 4 4 2 3" xfId="2537" xr:uid="{00000000-0005-0000-0000-0000CE530000}"/>
    <cellStyle name="40% - Accent1 4 4 2 3 2" xfId="5556" xr:uid="{00000000-0005-0000-0000-0000CF530000}"/>
    <cellStyle name="40% - Accent1 4 4 2 3 2 2" xfId="11206" xr:uid="{00000000-0005-0000-0000-0000D0530000}"/>
    <cellStyle name="40% - Accent1 4 4 2 3 2 2 2" xfId="22507" xr:uid="{00000000-0005-0000-0000-0000D1530000}"/>
    <cellStyle name="40% - Accent1 4 4 2 3 2 2 2 2" xfId="45109" xr:uid="{00000000-0005-0000-0000-0000D2530000}"/>
    <cellStyle name="40% - Accent1 4 4 2 3 2 2 3" xfId="33808" xr:uid="{00000000-0005-0000-0000-0000D3530000}"/>
    <cellStyle name="40% - Accent1 4 4 2 3 2 3" xfId="16857" xr:uid="{00000000-0005-0000-0000-0000D4530000}"/>
    <cellStyle name="40% - Accent1 4 4 2 3 2 3 2" xfId="39459" xr:uid="{00000000-0005-0000-0000-0000D5530000}"/>
    <cellStyle name="40% - Accent1 4 4 2 3 2 4" xfId="28158" xr:uid="{00000000-0005-0000-0000-0000D6530000}"/>
    <cellStyle name="40% - Accent1 4 4 2 3 3" xfId="8373" xr:uid="{00000000-0005-0000-0000-0000D7530000}"/>
    <cellStyle name="40% - Accent1 4 4 2 3 3 2" xfId="19674" xr:uid="{00000000-0005-0000-0000-0000D8530000}"/>
    <cellStyle name="40% - Accent1 4 4 2 3 3 2 2" xfId="42276" xr:uid="{00000000-0005-0000-0000-0000D9530000}"/>
    <cellStyle name="40% - Accent1 4 4 2 3 3 3" xfId="30975" xr:uid="{00000000-0005-0000-0000-0000DA530000}"/>
    <cellStyle name="40% - Accent1 4 4 2 3 4" xfId="14024" xr:uid="{00000000-0005-0000-0000-0000DB530000}"/>
    <cellStyle name="40% - Accent1 4 4 2 3 4 2" xfId="36626" xr:uid="{00000000-0005-0000-0000-0000DC530000}"/>
    <cellStyle name="40% - Accent1 4 4 2 3 5" xfId="25325" xr:uid="{00000000-0005-0000-0000-0000DD530000}"/>
    <cellStyle name="40% - Accent1 4 4 2 4" xfId="4322" xr:uid="{00000000-0005-0000-0000-0000DE530000}"/>
    <cellStyle name="40% - Accent1 4 4 2 4 2" xfId="9972" xr:uid="{00000000-0005-0000-0000-0000DF530000}"/>
    <cellStyle name="40% - Accent1 4 4 2 4 2 2" xfId="21273" xr:uid="{00000000-0005-0000-0000-0000E0530000}"/>
    <cellStyle name="40% - Accent1 4 4 2 4 2 2 2" xfId="43875" xr:uid="{00000000-0005-0000-0000-0000E1530000}"/>
    <cellStyle name="40% - Accent1 4 4 2 4 2 3" xfId="32574" xr:uid="{00000000-0005-0000-0000-0000E2530000}"/>
    <cellStyle name="40% - Accent1 4 4 2 4 3" xfId="15623" xr:uid="{00000000-0005-0000-0000-0000E3530000}"/>
    <cellStyle name="40% - Accent1 4 4 2 4 3 2" xfId="38225" xr:uid="{00000000-0005-0000-0000-0000E4530000}"/>
    <cellStyle name="40% - Accent1 4 4 2 4 4" xfId="26924" xr:uid="{00000000-0005-0000-0000-0000E5530000}"/>
    <cellStyle name="40% - Accent1 4 4 2 5" xfId="7119" xr:uid="{00000000-0005-0000-0000-0000E6530000}"/>
    <cellStyle name="40% - Accent1 4 4 2 5 2" xfId="18420" xr:uid="{00000000-0005-0000-0000-0000E7530000}"/>
    <cellStyle name="40% - Accent1 4 4 2 5 2 2" xfId="41022" xr:uid="{00000000-0005-0000-0000-0000E8530000}"/>
    <cellStyle name="40% - Accent1 4 4 2 5 3" xfId="29721" xr:uid="{00000000-0005-0000-0000-0000E9530000}"/>
    <cellStyle name="40% - Accent1 4 4 2 6" xfId="12770" xr:uid="{00000000-0005-0000-0000-0000EA530000}"/>
    <cellStyle name="40% - Accent1 4 4 2 6 2" xfId="35372" xr:uid="{00000000-0005-0000-0000-0000EB530000}"/>
    <cellStyle name="40% - Accent1 4 4 2 7" xfId="24071" xr:uid="{00000000-0005-0000-0000-0000EC530000}"/>
    <cellStyle name="40% - Accent1 4 4 3" xfId="814" xr:uid="{00000000-0005-0000-0000-0000ED530000}"/>
    <cellStyle name="40% - Accent1 4 4 3 2" xfId="2901" xr:uid="{00000000-0005-0000-0000-0000EE530000}"/>
    <cellStyle name="40% - Accent1 4 4 3 2 2" xfId="5873" xr:uid="{00000000-0005-0000-0000-0000EF530000}"/>
    <cellStyle name="40% - Accent1 4 4 3 2 2 2" xfId="11523" xr:uid="{00000000-0005-0000-0000-0000F0530000}"/>
    <cellStyle name="40% - Accent1 4 4 3 2 2 2 2" xfId="22824" xr:uid="{00000000-0005-0000-0000-0000F1530000}"/>
    <cellStyle name="40% - Accent1 4 4 3 2 2 2 2 2" xfId="45426" xr:uid="{00000000-0005-0000-0000-0000F2530000}"/>
    <cellStyle name="40% - Accent1 4 4 3 2 2 2 3" xfId="34125" xr:uid="{00000000-0005-0000-0000-0000F3530000}"/>
    <cellStyle name="40% - Accent1 4 4 3 2 2 3" xfId="17174" xr:uid="{00000000-0005-0000-0000-0000F4530000}"/>
    <cellStyle name="40% - Accent1 4 4 3 2 2 3 2" xfId="39776" xr:uid="{00000000-0005-0000-0000-0000F5530000}"/>
    <cellStyle name="40% - Accent1 4 4 3 2 2 4" xfId="28475" xr:uid="{00000000-0005-0000-0000-0000F6530000}"/>
    <cellStyle name="40% - Accent1 4 4 3 2 3" xfId="8691" xr:uid="{00000000-0005-0000-0000-0000F7530000}"/>
    <cellStyle name="40% - Accent1 4 4 3 2 3 2" xfId="19992" xr:uid="{00000000-0005-0000-0000-0000F8530000}"/>
    <cellStyle name="40% - Accent1 4 4 3 2 3 2 2" xfId="42594" xr:uid="{00000000-0005-0000-0000-0000F9530000}"/>
    <cellStyle name="40% - Accent1 4 4 3 2 3 3" xfId="31293" xr:uid="{00000000-0005-0000-0000-0000FA530000}"/>
    <cellStyle name="40% - Accent1 4 4 3 2 4" xfId="14342" xr:uid="{00000000-0005-0000-0000-0000FB530000}"/>
    <cellStyle name="40% - Accent1 4 4 3 2 4 2" xfId="36944" xr:uid="{00000000-0005-0000-0000-0000FC530000}"/>
    <cellStyle name="40% - Accent1 4 4 3 2 5" xfId="25643" xr:uid="{00000000-0005-0000-0000-0000FD530000}"/>
    <cellStyle name="40% - Accent1 4 4 3 3" xfId="4639" xr:uid="{00000000-0005-0000-0000-0000FE530000}"/>
    <cellStyle name="40% - Accent1 4 4 3 3 2" xfId="10289" xr:uid="{00000000-0005-0000-0000-0000FF530000}"/>
    <cellStyle name="40% - Accent1 4 4 3 3 2 2" xfId="21590" xr:uid="{00000000-0005-0000-0000-000000540000}"/>
    <cellStyle name="40% - Accent1 4 4 3 3 2 2 2" xfId="44192" xr:uid="{00000000-0005-0000-0000-000001540000}"/>
    <cellStyle name="40% - Accent1 4 4 3 3 2 3" xfId="32891" xr:uid="{00000000-0005-0000-0000-000002540000}"/>
    <cellStyle name="40% - Accent1 4 4 3 3 3" xfId="15940" xr:uid="{00000000-0005-0000-0000-000003540000}"/>
    <cellStyle name="40% - Accent1 4 4 3 3 3 2" xfId="38542" xr:uid="{00000000-0005-0000-0000-000004540000}"/>
    <cellStyle name="40% - Accent1 4 4 3 3 4" xfId="27241" xr:uid="{00000000-0005-0000-0000-000005540000}"/>
    <cellStyle name="40% - Accent1 4 4 3 4" xfId="6822" xr:uid="{00000000-0005-0000-0000-000006540000}"/>
    <cellStyle name="40% - Accent1 4 4 3 4 2" xfId="18123" xr:uid="{00000000-0005-0000-0000-000007540000}"/>
    <cellStyle name="40% - Accent1 4 4 3 4 2 2" xfId="40725" xr:uid="{00000000-0005-0000-0000-000008540000}"/>
    <cellStyle name="40% - Accent1 4 4 3 4 3" xfId="29424" xr:uid="{00000000-0005-0000-0000-000009540000}"/>
    <cellStyle name="40% - Accent1 4 4 3 5" xfId="12473" xr:uid="{00000000-0005-0000-0000-00000A540000}"/>
    <cellStyle name="40% - Accent1 4 4 3 5 2" xfId="35075" xr:uid="{00000000-0005-0000-0000-00000B540000}"/>
    <cellStyle name="40% - Accent1 4 4 3 6" xfId="23774" xr:uid="{00000000-0005-0000-0000-00000C540000}"/>
    <cellStyle name="40% - Accent1 4 4 4" xfId="1832" xr:uid="{00000000-0005-0000-0000-00000D540000}"/>
    <cellStyle name="40% - Accent1 4 4 4 2" xfId="3714" xr:uid="{00000000-0005-0000-0000-00000E540000}"/>
    <cellStyle name="40% - Accent1 4 4 4 2 2" xfId="9425" xr:uid="{00000000-0005-0000-0000-00000F540000}"/>
    <cellStyle name="40% - Accent1 4 4 4 2 2 2" xfId="20726" xr:uid="{00000000-0005-0000-0000-000010540000}"/>
    <cellStyle name="40% - Accent1 4 4 4 2 2 2 2" xfId="43328" xr:uid="{00000000-0005-0000-0000-000011540000}"/>
    <cellStyle name="40% - Accent1 4 4 4 2 2 3" xfId="32027" xr:uid="{00000000-0005-0000-0000-000012540000}"/>
    <cellStyle name="40% - Accent1 4 4 4 2 3" xfId="15076" xr:uid="{00000000-0005-0000-0000-000013540000}"/>
    <cellStyle name="40% - Accent1 4 4 4 2 3 2" xfId="37678" xr:uid="{00000000-0005-0000-0000-000014540000}"/>
    <cellStyle name="40% - Accent1 4 4 4 2 4" xfId="26377" xr:uid="{00000000-0005-0000-0000-000015540000}"/>
    <cellStyle name="40% - Accent1 4 4 4 3" xfId="5249" xr:uid="{00000000-0005-0000-0000-000016540000}"/>
    <cellStyle name="40% - Accent1 4 4 4 3 2" xfId="10899" xr:uid="{00000000-0005-0000-0000-000017540000}"/>
    <cellStyle name="40% - Accent1 4 4 4 3 2 2" xfId="22200" xr:uid="{00000000-0005-0000-0000-000018540000}"/>
    <cellStyle name="40% - Accent1 4 4 4 3 2 2 2" xfId="44802" xr:uid="{00000000-0005-0000-0000-000019540000}"/>
    <cellStyle name="40% - Accent1 4 4 4 3 2 3" xfId="33501" xr:uid="{00000000-0005-0000-0000-00001A540000}"/>
    <cellStyle name="40% - Accent1 4 4 4 3 3" xfId="16550" xr:uid="{00000000-0005-0000-0000-00001B540000}"/>
    <cellStyle name="40% - Accent1 4 4 4 3 3 2" xfId="39152" xr:uid="{00000000-0005-0000-0000-00001C540000}"/>
    <cellStyle name="40% - Accent1 4 4 4 3 4" xfId="27851" xr:uid="{00000000-0005-0000-0000-00001D540000}"/>
    <cellStyle name="40% - Accent1 4 4 4 4" xfId="7688" xr:uid="{00000000-0005-0000-0000-00001E540000}"/>
    <cellStyle name="40% - Accent1 4 4 4 4 2" xfId="18989" xr:uid="{00000000-0005-0000-0000-00001F540000}"/>
    <cellStyle name="40% - Accent1 4 4 4 4 2 2" xfId="41591" xr:uid="{00000000-0005-0000-0000-000020540000}"/>
    <cellStyle name="40% - Accent1 4 4 4 4 3" xfId="30290" xr:uid="{00000000-0005-0000-0000-000021540000}"/>
    <cellStyle name="40% - Accent1 4 4 4 5" xfId="13339" xr:uid="{00000000-0005-0000-0000-000022540000}"/>
    <cellStyle name="40% - Accent1 4 4 4 5 2" xfId="35941" xr:uid="{00000000-0005-0000-0000-000023540000}"/>
    <cellStyle name="40% - Accent1 4 4 4 6" xfId="24640" xr:uid="{00000000-0005-0000-0000-000024540000}"/>
    <cellStyle name="40% - Accent1 4 4 5" xfId="2221" xr:uid="{00000000-0005-0000-0000-000025540000}"/>
    <cellStyle name="40% - Accent1 4 4 5 2" xfId="8063" xr:uid="{00000000-0005-0000-0000-000026540000}"/>
    <cellStyle name="40% - Accent1 4 4 5 2 2" xfId="19364" xr:uid="{00000000-0005-0000-0000-000027540000}"/>
    <cellStyle name="40% - Accent1 4 4 5 2 2 2" xfId="41966" xr:uid="{00000000-0005-0000-0000-000028540000}"/>
    <cellStyle name="40% - Accent1 4 4 5 2 3" xfId="30665" xr:uid="{00000000-0005-0000-0000-000029540000}"/>
    <cellStyle name="40% - Accent1 4 4 5 3" xfId="13714" xr:uid="{00000000-0005-0000-0000-00002A540000}"/>
    <cellStyle name="40% - Accent1 4 4 5 3 2" xfId="36316" xr:uid="{00000000-0005-0000-0000-00002B540000}"/>
    <cellStyle name="40% - Accent1 4 4 5 4" xfId="25015" xr:uid="{00000000-0005-0000-0000-00002C540000}"/>
    <cellStyle name="40% - Accent1 4 4 6" xfId="4015" xr:uid="{00000000-0005-0000-0000-00002D540000}"/>
    <cellStyle name="40% - Accent1 4 4 6 2" xfId="9665" xr:uid="{00000000-0005-0000-0000-00002E540000}"/>
    <cellStyle name="40% - Accent1 4 4 6 2 2" xfId="20966" xr:uid="{00000000-0005-0000-0000-00002F540000}"/>
    <cellStyle name="40% - Accent1 4 4 6 2 2 2" xfId="43568" xr:uid="{00000000-0005-0000-0000-000030540000}"/>
    <cellStyle name="40% - Accent1 4 4 6 2 3" xfId="32267" xr:uid="{00000000-0005-0000-0000-000031540000}"/>
    <cellStyle name="40% - Accent1 4 4 6 3" xfId="15316" xr:uid="{00000000-0005-0000-0000-000032540000}"/>
    <cellStyle name="40% - Accent1 4 4 6 3 2" xfId="37918" xr:uid="{00000000-0005-0000-0000-000033540000}"/>
    <cellStyle name="40% - Accent1 4 4 6 4" xfId="26617" xr:uid="{00000000-0005-0000-0000-000034540000}"/>
    <cellStyle name="40% - Accent1 4 4 7" xfId="6633" xr:uid="{00000000-0005-0000-0000-000035540000}"/>
    <cellStyle name="40% - Accent1 4 4 7 2" xfId="17934" xr:uid="{00000000-0005-0000-0000-000036540000}"/>
    <cellStyle name="40% - Accent1 4 4 7 2 2" xfId="40536" xr:uid="{00000000-0005-0000-0000-000037540000}"/>
    <cellStyle name="40% - Accent1 4 4 7 3" xfId="29235" xr:uid="{00000000-0005-0000-0000-000038540000}"/>
    <cellStyle name="40% - Accent1 4 4 8" xfId="12284" xr:uid="{00000000-0005-0000-0000-000039540000}"/>
    <cellStyle name="40% - Accent1 4 4 8 2" xfId="34886" xr:uid="{00000000-0005-0000-0000-00003A540000}"/>
    <cellStyle name="40% - Accent1 4 4 9" xfId="23585" xr:uid="{00000000-0005-0000-0000-00003B540000}"/>
    <cellStyle name="40% - Accent1 4 5" xfId="510" xr:uid="{00000000-0005-0000-0000-00003C540000}"/>
    <cellStyle name="40% - Accent1 4 5 2" xfId="1279" xr:uid="{00000000-0005-0000-0000-00003D540000}"/>
    <cellStyle name="40% - Accent1 4 5 2 2" xfId="1835" xr:uid="{00000000-0005-0000-0000-00003E540000}"/>
    <cellStyle name="40% - Accent1 4 5 2 2 2" xfId="3348" xr:uid="{00000000-0005-0000-0000-00003F540000}"/>
    <cellStyle name="40% - Accent1 4 5 2 2 2 2" xfId="6320" xr:uid="{00000000-0005-0000-0000-000040540000}"/>
    <cellStyle name="40% - Accent1 4 5 2 2 2 2 2" xfId="11970" xr:uid="{00000000-0005-0000-0000-000041540000}"/>
    <cellStyle name="40% - Accent1 4 5 2 2 2 2 2 2" xfId="23271" xr:uid="{00000000-0005-0000-0000-000042540000}"/>
    <cellStyle name="40% - Accent1 4 5 2 2 2 2 2 2 2" xfId="45873" xr:uid="{00000000-0005-0000-0000-000043540000}"/>
    <cellStyle name="40% - Accent1 4 5 2 2 2 2 2 3" xfId="34572" xr:uid="{00000000-0005-0000-0000-000044540000}"/>
    <cellStyle name="40% - Accent1 4 5 2 2 2 2 3" xfId="17621" xr:uid="{00000000-0005-0000-0000-000045540000}"/>
    <cellStyle name="40% - Accent1 4 5 2 2 2 2 3 2" xfId="40223" xr:uid="{00000000-0005-0000-0000-000046540000}"/>
    <cellStyle name="40% - Accent1 4 5 2 2 2 2 4" xfId="28922" xr:uid="{00000000-0005-0000-0000-000047540000}"/>
    <cellStyle name="40% - Accent1 4 5 2 2 2 3" xfId="9138" xr:uid="{00000000-0005-0000-0000-000048540000}"/>
    <cellStyle name="40% - Accent1 4 5 2 2 2 3 2" xfId="20439" xr:uid="{00000000-0005-0000-0000-000049540000}"/>
    <cellStyle name="40% - Accent1 4 5 2 2 2 3 2 2" xfId="43041" xr:uid="{00000000-0005-0000-0000-00004A540000}"/>
    <cellStyle name="40% - Accent1 4 5 2 2 2 3 3" xfId="31740" xr:uid="{00000000-0005-0000-0000-00004B540000}"/>
    <cellStyle name="40% - Accent1 4 5 2 2 2 4" xfId="14789" xr:uid="{00000000-0005-0000-0000-00004C540000}"/>
    <cellStyle name="40% - Accent1 4 5 2 2 2 4 2" xfId="37391" xr:uid="{00000000-0005-0000-0000-00004D540000}"/>
    <cellStyle name="40% - Accent1 4 5 2 2 2 5" xfId="26090" xr:uid="{00000000-0005-0000-0000-00004E540000}"/>
    <cellStyle name="40% - Accent1 4 5 2 2 3" xfId="5086" xr:uid="{00000000-0005-0000-0000-00004F540000}"/>
    <cellStyle name="40% - Accent1 4 5 2 2 3 2" xfId="10736" xr:uid="{00000000-0005-0000-0000-000050540000}"/>
    <cellStyle name="40% - Accent1 4 5 2 2 3 2 2" xfId="22037" xr:uid="{00000000-0005-0000-0000-000051540000}"/>
    <cellStyle name="40% - Accent1 4 5 2 2 3 2 2 2" xfId="44639" xr:uid="{00000000-0005-0000-0000-000052540000}"/>
    <cellStyle name="40% - Accent1 4 5 2 2 3 2 3" xfId="33338" xr:uid="{00000000-0005-0000-0000-000053540000}"/>
    <cellStyle name="40% - Accent1 4 5 2 2 3 3" xfId="16387" xr:uid="{00000000-0005-0000-0000-000054540000}"/>
    <cellStyle name="40% - Accent1 4 5 2 2 3 3 2" xfId="38989" xr:uid="{00000000-0005-0000-0000-000055540000}"/>
    <cellStyle name="40% - Accent1 4 5 2 2 3 4" xfId="27688" xr:uid="{00000000-0005-0000-0000-000056540000}"/>
    <cellStyle name="40% - Accent1 4 5 2 2 4" xfId="7691" xr:uid="{00000000-0005-0000-0000-000057540000}"/>
    <cellStyle name="40% - Accent1 4 5 2 2 4 2" xfId="18992" xr:uid="{00000000-0005-0000-0000-000058540000}"/>
    <cellStyle name="40% - Accent1 4 5 2 2 4 2 2" xfId="41594" xr:uid="{00000000-0005-0000-0000-000059540000}"/>
    <cellStyle name="40% - Accent1 4 5 2 2 4 3" xfId="30293" xr:uid="{00000000-0005-0000-0000-00005A540000}"/>
    <cellStyle name="40% - Accent1 4 5 2 2 5" xfId="13342" xr:uid="{00000000-0005-0000-0000-00005B540000}"/>
    <cellStyle name="40% - Accent1 4 5 2 2 5 2" xfId="35944" xr:uid="{00000000-0005-0000-0000-00005C540000}"/>
    <cellStyle name="40% - Accent1 4 5 2 2 6" xfId="24643" xr:uid="{00000000-0005-0000-0000-00005D540000}"/>
    <cellStyle name="40% - Accent1 4 5 2 3" xfId="2677" xr:uid="{00000000-0005-0000-0000-00005E540000}"/>
    <cellStyle name="40% - Accent1 4 5 2 3 2" xfId="5696" xr:uid="{00000000-0005-0000-0000-00005F540000}"/>
    <cellStyle name="40% - Accent1 4 5 2 3 2 2" xfId="11346" xr:uid="{00000000-0005-0000-0000-000060540000}"/>
    <cellStyle name="40% - Accent1 4 5 2 3 2 2 2" xfId="22647" xr:uid="{00000000-0005-0000-0000-000061540000}"/>
    <cellStyle name="40% - Accent1 4 5 2 3 2 2 2 2" xfId="45249" xr:uid="{00000000-0005-0000-0000-000062540000}"/>
    <cellStyle name="40% - Accent1 4 5 2 3 2 2 3" xfId="33948" xr:uid="{00000000-0005-0000-0000-000063540000}"/>
    <cellStyle name="40% - Accent1 4 5 2 3 2 3" xfId="16997" xr:uid="{00000000-0005-0000-0000-000064540000}"/>
    <cellStyle name="40% - Accent1 4 5 2 3 2 3 2" xfId="39599" xr:uid="{00000000-0005-0000-0000-000065540000}"/>
    <cellStyle name="40% - Accent1 4 5 2 3 2 4" xfId="28298" xr:uid="{00000000-0005-0000-0000-000066540000}"/>
    <cellStyle name="40% - Accent1 4 5 2 3 3" xfId="8513" xr:uid="{00000000-0005-0000-0000-000067540000}"/>
    <cellStyle name="40% - Accent1 4 5 2 3 3 2" xfId="19814" xr:uid="{00000000-0005-0000-0000-000068540000}"/>
    <cellStyle name="40% - Accent1 4 5 2 3 3 2 2" xfId="42416" xr:uid="{00000000-0005-0000-0000-000069540000}"/>
    <cellStyle name="40% - Accent1 4 5 2 3 3 3" xfId="31115" xr:uid="{00000000-0005-0000-0000-00006A540000}"/>
    <cellStyle name="40% - Accent1 4 5 2 3 4" xfId="14164" xr:uid="{00000000-0005-0000-0000-00006B540000}"/>
    <cellStyle name="40% - Accent1 4 5 2 3 4 2" xfId="36766" xr:uid="{00000000-0005-0000-0000-00006C540000}"/>
    <cellStyle name="40% - Accent1 4 5 2 3 5" xfId="25465" xr:uid="{00000000-0005-0000-0000-00006D540000}"/>
    <cellStyle name="40% - Accent1 4 5 2 4" xfId="4462" xr:uid="{00000000-0005-0000-0000-00006E540000}"/>
    <cellStyle name="40% - Accent1 4 5 2 4 2" xfId="10112" xr:uid="{00000000-0005-0000-0000-00006F540000}"/>
    <cellStyle name="40% - Accent1 4 5 2 4 2 2" xfId="21413" xr:uid="{00000000-0005-0000-0000-000070540000}"/>
    <cellStyle name="40% - Accent1 4 5 2 4 2 2 2" xfId="44015" xr:uid="{00000000-0005-0000-0000-000071540000}"/>
    <cellStyle name="40% - Accent1 4 5 2 4 2 3" xfId="32714" xr:uid="{00000000-0005-0000-0000-000072540000}"/>
    <cellStyle name="40% - Accent1 4 5 2 4 3" xfId="15763" xr:uid="{00000000-0005-0000-0000-000073540000}"/>
    <cellStyle name="40% - Accent1 4 5 2 4 3 2" xfId="38365" xr:uid="{00000000-0005-0000-0000-000074540000}"/>
    <cellStyle name="40% - Accent1 4 5 2 4 4" xfId="27064" xr:uid="{00000000-0005-0000-0000-000075540000}"/>
    <cellStyle name="40% - Accent1 4 5 2 5" xfId="7258" xr:uid="{00000000-0005-0000-0000-000076540000}"/>
    <cellStyle name="40% - Accent1 4 5 2 5 2" xfId="18559" xr:uid="{00000000-0005-0000-0000-000077540000}"/>
    <cellStyle name="40% - Accent1 4 5 2 5 2 2" xfId="41161" xr:uid="{00000000-0005-0000-0000-000078540000}"/>
    <cellStyle name="40% - Accent1 4 5 2 5 3" xfId="29860" xr:uid="{00000000-0005-0000-0000-000079540000}"/>
    <cellStyle name="40% - Accent1 4 5 2 6" xfId="12909" xr:uid="{00000000-0005-0000-0000-00007A540000}"/>
    <cellStyle name="40% - Accent1 4 5 2 6 2" xfId="35511" xr:uid="{00000000-0005-0000-0000-00007B540000}"/>
    <cellStyle name="40% - Accent1 4 5 2 7" xfId="24210" xr:uid="{00000000-0005-0000-0000-00007C540000}"/>
    <cellStyle name="40% - Accent1 4 5 3" xfId="977" xr:uid="{00000000-0005-0000-0000-00007D540000}"/>
    <cellStyle name="40% - Accent1 4 5 3 2" xfId="3040" xr:uid="{00000000-0005-0000-0000-00007E540000}"/>
    <cellStyle name="40% - Accent1 4 5 3 2 2" xfId="6012" xr:uid="{00000000-0005-0000-0000-00007F540000}"/>
    <cellStyle name="40% - Accent1 4 5 3 2 2 2" xfId="11662" xr:uid="{00000000-0005-0000-0000-000080540000}"/>
    <cellStyle name="40% - Accent1 4 5 3 2 2 2 2" xfId="22963" xr:uid="{00000000-0005-0000-0000-000081540000}"/>
    <cellStyle name="40% - Accent1 4 5 3 2 2 2 2 2" xfId="45565" xr:uid="{00000000-0005-0000-0000-000082540000}"/>
    <cellStyle name="40% - Accent1 4 5 3 2 2 2 3" xfId="34264" xr:uid="{00000000-0005-0000-0000-000083540000}"/>
    <cellStyle name="40% - Accent1 4 5 3 2 2 3" xfId="17313" xr:uid="{00000000-0005-0000-0000-000084540000}"/>
    <cellStyle name="40% - Accent1 4 5 3 2 2 3 2" xfId="39915" xr:uid="{00000000-0005-0000-0000-000085540000}"/>
    <cellStyle name="40% - Accent1 4 5 3 2 2 4" xfId="28614" xr:uid="{00000000-0005-0000-0000-000086540000}"/>
    <cellStyle name="40% - Accent1 4 5 3 2 3" xfId="8830" xr:uid="{00000000-0005-0000-0000-000087540000}"/>
    <cellStyle name="40% - Accent1 4 5 3 2 3 2" xfId="20131" xr:uid="{00000000-0005-0000-0000-000088540000}"/>
    <cellStyle name="40% - Accent1 4 5 3 2 3 2 2" xfId="42733" xr:uid="{00000000-0005-0000-0000-000089540000}"/>
    <cellStyle name="40% - Accent1 4 5 3 2 3 3" xfId="31432" xr:uid="{00000000-0005-0000-0000-00008A540000}"/>
    <cellStyle name="40% - Accent1 4 5 3 2 4" xfId="14481" xr:uid="{00000000-0005-0000-0000-00008B540000}"/>
    <cellStyle name="40% - Accent1 4 5 3 2 4 2" xfId="37083" xr:uid="{00000000-0005-0000-0000-00008C540000}"/>
    <cellStyle name="40% - Accent1 4 5 3 2 5" xfId="25782" xr:uid="{00000000-0005-0000-0000-00008D540000}"/>
    <cellStyle name="40% - Accent1 4 5 3 3" xfId="4778" xr:uid="{00000000-0005-0000-0000-00008E540000}"/>
    <cellStyle name="40% - Accent1 4 5 3 3 2" xfId="10428" xr:uid="{00000000-0005-0000-0000-00008F540000}"/>
    <cellStyle name="40% - Accent1 4 5 3 3 2 2" xfId="21729" xr:uid="{00000000-0005-0000-0000-000090540000}"/>
    <cellStyle name="40% - Accent1 4 5 3 3 2 2 2" xfId="44331" xr:uid="{00000000-0005-0000-0000-000091540000}"/>
    <cellStyle name="40% - Accent1 4 5 3 3 2 3" xfId="33030" xr:uid="{00000000-0005-0000-0000-000092540000}"/>
    <cellStyle name="40% - Accent1 4 5 3 3 3" xfId="16079" xr:uid="{00000000-0005-0000-0000-000093540000}"/>
    <cellStyle name="40% - Accent1 4 5 3 3 3 2" xfId="38681" xr:uid="{00000000-0005-0000-0000-000094540000}"/>
    <cellStyle name="40% - Accent1 4 5 3 3 4" xfId="27380" xr:uid="{00000000-0005-0000-0000-000095540000}"/>
    <cellStyle name="40% - Accent1 4 5 3 4" xfId="6965" xr:uid="{00000000-0005-0000-0000-000096540000}"/>
    <cellStyle name="40% - Accent1 4 5 3 4 2" xfId="18266" xr:uid="{00000000-0005-0000-0000-000097540000}"/>
    <cellStyle name="40% - Accent1 4 5 3 4 2 2" xfId="40868" xr:uid="{00000000-0005-0000-0000-000098540000}"/>
    <cellStyle name="40% - Accent1 4 5 3 4 3" xfId="29567" xr:uid="{00000000-0005-0000-0000-000099540000}"/>
    <cellStyle name="40% - Accent1 4 5 3 5" xfId="12616" xr:uid="{00000000-0005-0000-0000-00009A540000}"/>
    <cellStyle name="40% - Accent1 4 5 3 5 2" xfId="35218" xr:uid="{00000000-0005-0000-0000-00009B540000}"/>
    <cellStyle name="40% - Accent1 4 5 3 6" xfId="23917" xr:uid="{00000000-0005-0000-0000-00009C540000}"/>
    <cellStyle name="40% - Accent1 4 5 4" xfId="1834" xr:uid="{00000000-0005-0000-0000-00009D540000}"/>
    <cellStyle name="40% - Accent1 4 5 4 2" xfId="3715" xr:uid="{00000000-0005-0000-0000-00009E540000}"/>
    <cellStyle name="40% - Accent1 4 5 4 2 2" xfId="9426" xr:uid="{00000000-0005-0000-0000-00009F540000}"/>
    <cellStyle name="40% - Accent1 4 5 4 2 2 2" xfId="20727" xr:uid="{00000000-0005-0000-0000-0000A0540000}"/>
    <cellStyle name="40% - Accent1 4 5 4 2 2 2 2" xfId="43329" xr:uid="{00000000-0005-0000-0000-0000A1540000}"/>
    <cellStyle name="40% - Accent1 4 5 4 2 2 3" xfId="32028" xr:uid="{00000000-0005-0000-0000-0000A2540000}"/>
    <cellStyle name="40% - Accent1 4 5 4 2 3" xfId="15077" xr:uid="{00000000-0005-0000-0000-0000A3540000}"/>
    <cellStyle name="40% - Accent1 4 5 4 2 3 2" xfId="37679" xr:uid="{00000000-0005-0000-0000-0000A4540000}"/>
    <cellStyle name="40% - Accent1 4 5 4 2 4" xfId="26378" xr:uid="{00000000-0005-0000-0000-0000A5540000}"/>
    <cellStyle name="40% - Accent1 4 5 4 3" xfId="5388" xr:uid="{00000000-0005-0000-0000-0000A6540000}"/>
    <cellStyle name="40% - Accent1 4 5 4 3 2" xfId="11038" xr:uid="{00000000-0005-0000-0000-0000A7540000}"/>
    <cellStyle name="40% - Accent1 4 5 4 3 2 2" xfId="22339" xr:uid="{00000000-0005-0000-0000-0000A8540000}"/>
    <cellStyle name="40% - Accent1 4 5 4 3 2 2 2" xfId="44941" xr:uid="{00000000-0005-0000-0000-0000A9540000}"/>
    <cellStyle name="40% - Accent1 4 5 4 3 2 3" xfId="33640" xr:uid="{00000000-0005-0000-0000-0000AA540000}"/>
    <cellStyle name="40% - Accent1 4 5 4 3 3" xfId="16689" xr:uid="{00000000-0005-0000-0000-0000AB540000}"/>
    <cellStyle name="40% - Accent1 4 5 4 3 3 2" xfId="39291" xr:uid="{00000000-0005-0000-0000-0000AC540000}"/>
    <cellStyle name="40% - Accent1 4 5 4 3 4" xfId="27990" xr:uid="{00000000-0005-0000-0000-0000AD540000}"/>
    <cellStyle name="40% - Accent1 4 5 4 4" xfId="7690" xr:uid="{00000000-0005-0000-0000-0000AE540000}"/>
    <cellStyle name="40% - Accent1 4 5 4 4 2" xfId="18991" xr:uid="{00000000-0005-0000-0000-0000AF540000}"/>
    <cellStyle name="40% - Accent1 4 5 4 4 2 2" xfId="41593" xr:uid="{00000000-0005-0000-0000-0000B0540000}"/>
    <cellStyle name="40% - Accent1 4 5 4 4 3" xfId="30292" xr:uid="{00000000-0005-0000-0000-0000B1540000}"/>
    <cellStyle name="40% - Accent1 4 5 4 5" xfId="13341" xr:uid="{00000000-0005-0000-0000-0000B2540000}"/>
    <cellStyle name="40% - Accent1 4 5 4 5 2" xfId="35943" xr:uid="{00000000-0005-0000-0000-0000B3540000}"/>
    <cellStyle name="40% - Accent1 4 5 4 6" xfId="24642" xr:uid="{00000000-0005-0000-0000-0000B4540000}"/>
    <cellStyle name="40% - Accent1 4 5 5" xfId="2369" xr:uid="{00000000-0005-0000-0000-0000B5540000}"/>
    <cellStyle name="40% - Accent1 4 5 5 2" xfId="8205" xr:uid="{00000000-0005-0000-0000-0000B6540000}"/>
    <cellStyle name="40% - Accent1 4 5 5 2 2" xfId="19506" xr:uid="{00000000-0005-0000-0000-0000B7540000}"/>
    <cellStyle name="40% - Accent1 4 5 5 2 2 2" xfId="42108" xr:uid="{00000000-0005-0000-0000-0000B8540000}"/>
    <cellStyle name="40% - Accent1 4 5 5 2 3" xfId="30807" xr:uid="{00000000-0005-0000-0000-0000B9540000}"/>
    <cellStyle name="40% - Accent1 4 5 5 3" xfId="13856" xr:uid="{00000000-0005-0000-0000-0000BA540000}"/>
    <cellStyle name="40% - Accent1 4 5 5 3 2" xfId="36458" xr:uid="{00000000-0005-0000-0000-0000BB540000}"/>
    <cellStyle name="40% - Accent1 4 5 5 4" xfId="25157" xr:uid="{00000000-0005-0000-0000-0000BC540000}"/>
    <cellStyle name="40% - Accent1 4 5 6" xfId="4154" xr:uid="{00000000-0005-0000-0000-0000BD540000}"/>
    <cellStyle name="40% - Accent1 4 5 6 2" xfId="9804" xr:uid="{00000000-0005-0000-0000-0000BE540000}"/>
    <cellStyle name="40% - Accent1 4 5 6 2 2" xfId="21105" xr:uid="{00000000-0005-0000-0000-0000BF540000}"/>
    <cellStyle name="40% - Accent1 4 5 6 2 2 2" xfId="43707" xr:uid="{00000000-0005-0000-0000-0000C0540000}"/>
    <cellStyle name="40% - Accent1 4 5 6 2 3" xfId="32406" xr:uid="{00000000-0005-0000-0000-0000C1540000}"/>
    <cellStyle name="40% - Accent1 4 5 6 3" xfId="15455" xr:uid="{00000000-0005-0000-0000-0000C2540000}"/>
    <cellStyle name="40% - Accent1 4 5 6 3 2" xfId="38057" xr:uid="{00000000-0005-0000-0000-0000C3540000}"/>
    <cellStyle name="40% - Accent1 4 5 6 4" xfId="26756" xr:uid="{00000000-0005-0000-0000-0000C4540000}"/>
    <cellStyle name="40% - Accent1 4 5 7" xfId="6605" xr:uid="{00000000-0005-0000-0000-0000C5540000}"/>
    <cellStyle name="40% - Accent1 4 5 7 2" xfId="17906" xr:uid="{00000000-0005-0000-0000-0000C6540000}"/>
    <cellStyle name="40% - Accent1 4 5 7 2 2" xfId="40508" xr:uid="{00000000-0005-0000-0000-0000C7540000}"/>
    <cellStyle name="40% - Accent1 4 5 7 3" xfId="29207" xr:uid="{00000000-0005-0000-0000-0000C8540000}"/>
    <cellStyle name="40% - Accent1 4 5 8" xfId="12256" xr:uid="{00000000-0005-0000-0000-0000C9540000}"/>
    <cellStyle name="40% - Accent1 4 5 8 2" xfId="34858" xr:uid="{00000000-0005-0000-0000-0000CA540000}"/>
    <cellStyle name="40% - Accent1 4 5 9" xfId="23557" xr:uid="{00000000-0005-0000-0000-0000CB540000}"/>
    <cellStyle name="40% - Accent1 4 6" xfId="1112" xr:uid="{00000000-0005-0000-0000-0000CC540000}"/>
    <cellStyle name="40% - Accent1 4 6 2" xfId="1836" xr:uid="{00000000-0005-0000-0000-0000CD540000}"/>
    <cellStyle name="40% - Accent1 4 6 2 2" xfId="3179" xr:uid="{00000000-0005-0000-0000-0000CE540000}"/>
    <cellStyle name="40% - Accent1 4 6 2 2 2" xfId="6151" xr:uid="{00000000-0005-0000-0000-0000CF540000}"/>
    <cellStyle name="40% - Accent1 4 6 2 2 2 2" xfId="11801" xr:uid="{00000000-0005-0000-0000-0000D0540000}"/>
    <cellStyle name="40% - Accent1 4 6 2 2 2 2 2" xfId="23102" xr:uid="{00000000-0005-0000-0000-0000D1540000}"/>
    <cellStyle name="40% - Accent1 4 6 2 2 2 2 2 2" xfId="45704" xr:uid="{00000000-0005-0000-0000-0000D2540000}"/>
    <cellStyle name="40% - Accent1 4 6 2 2 2 2 3" xfId="34403" xr:uid="{00000000-0005-0000-0000-0000D3540000}"/>
    <cellStyle name="40% - Accent1 4 6 2 2 2 3" xfId="17452" xr:uid="{00000000-0005-0000-0000-0000D4540000}"/>
    <cellStyle name="40% - Accent1 4 6 2 2 2 3 2" xfId="40054" xr:uid="{00000000-0005-0000-0000-0000D5540000}"/>
    <cellStyle name="40% - Accent1 4 6 2 2 2 4" xfId="28753" xr:uid="{00000000-0005-0000-0000-0000D6540000}"/>
    <cellStyle name="40% - Accent1 4 6 2 2 3" xfId="8969" xr:uid="{00000000-0005-0000-0000-0000D7540000}"/>
    <cellStyle name="40% - Accent1 4 6 2 2 3 2" xfId="20270" xr:uid="{00000000-0005-0000-0000-0000D8540000}"/>
    <cellStyle name="40% - Accent1 4 6 2 2 3 2 2" xfId="42872" xr:uid="{00000000-0005-0000-0000-0000D9540000}"/>
    <cellStyle name="40% - Accent1 4 6 2 2 3 3" xfId="31571" xr:uid="{00000000-0005-0000-0000-0000DA540000}"/>
    <cellStyle name="40% - Accent1 4 6 2 2 4" xfId="14620" xr:uid="{00000000-0005-0000-0000-0000DB540000}"/>
    <cellStyle name="40% - Accent1 4 6 2 2 4 2" xfId="37222" xr:uid="{00000000-0005-0000-0000-0000DC540000}"/>
    <cellStyle name="40% - Accent1 4 6 2 2 5" xfId="25921" xr:uid="{00000000-0005-0000-0000-0000DD540000}"/>
    <cellStyle name="40% - Accent1 4 6 2 3" xfId="4917" xr:uid="{00000000-0005-0000-0000-0000DE540000}"/>
    <cellStyle name="40% - Accent1 4 6 2 3 2" xfId="10567" xr:uid="{00000000-0005-0000-0000-0000DF540000}"/>
    <cellStyle name="40% - Accent1 4 6 2 3 2 2" xfId="21868" xr:uid="{00000000-0005-0000-0000-0000E0540000}"/>
    <cellStyle name="40% - Accent1 4 6 2 3 2 2 2" xfId="44470" xr:uid="{00000000-0005-0000-0000-0000E1540000}"/>
    <cellStyle name="40% - Accent1 4 6 2 3 2 3" xfId="33169" xr:uid="{00000000-0005-0000-0000-0000E2540000}"/>
    <cellStyle name="40% - Accent1 4 6 2 3 3" xfId="16218" xr:uid="{00000000-0005-0000-0000-0000E3540000}"/>
    <cellStyle name="40% - Accent1 4 6 2 3 3 2" xfId="38820" xr:uid="{00000000-0005-0000-0000-0000E4540000}"/>
    <cellStyle name="40% - Accent1 4 6 2 3 4" xfId="27519" xr:uid="{00000000-0005-0000-0000-0000E5540000}"/>
    <cellStyle name="40% - Accent1 4 6 2 4" xfId="7692" xr:uid="{00000000-0005-0000-0000-0000E6540000}"/>
    <cellStyle name="40% - Accent1 4 6 2 4 2" xfId="18993" xr:uid="{00000000-0005-0000-0000-0000E7540000}"/>
    <cellStyle name="40% - Accent1 4 6 2 4 2 2" xfId="41595" xr:uid="{00000000-0005-0000-0000-0000E8540000}"/>
    <cellStyle name="40% - Accent1 4 6 2 4 3" xfId="30294" xr:uid="{00000000-0005-0000-0000-0000E9540000}"/>
    <cellStyle name="40% - Accent1 4 6 2 5" xfId="13343" xr:uid="{00000000-0005-0000-0000-0000EA540000}"/>
    <cellStyle name="40% - Accent1 4 6 2 5 2" xfId="35945" xr:uid="{00000000-0005-0000-0000-0000EB540000}"/>
    <cellStyle name="40% - Accent1 4 6 2 6" xfId="24644" xr:uid="{00000000-0005-0000-0000-0000EC540000}"/>
    <cellStyle name="40% - Accent1 4 6 3" xfId="2508" xr:uid="{00000000-0005-0000-0000-0000ED540000}"/>
    <cellStyle name="40% - Accent1 4 6 3 2" xfId="5527" xr:uid="{00000000-0005-0000-0000-0000EE540000}"/>
    <cellStyle name="40% - Accent1 4 6 3 2 2" xfId="11177" xr:uid="{00000000-0005-0000-0000-0000EF540000}"/>
    <cellStyle name="40% - Accent1 4 6 3 2 2 2" xfId="22478" xr:uid="{00000000-0005-0000-0000-0000F0540000}"/>
    <cellStyle name="40% - Accent1 4 6 3 2 2 2 2" xfId="45080" xr:uid="{00000000-0005-0000-0000-0000F1540000}"/>
    <cellStyle name="40% - Accent1 4 6 3 2 2 3" xfId="33779" xr:uid="{00000000-0005-0000-0000-0000F2540000}"/>
    <cellStyle name="40% - Accent1 4 6 3 2 3" xfId="16828" xr:uid="{00000000-0005-0000-0000-0000F3540000}"/>
    <cellStyle name="40% - Accent1 4 6 3 2 3 2" xfId="39430" xr:uid="{00000000-0005-0000-0000-0000F4540000}"/>
    <cellStyle name="40% - Accent1 4 6 3 2 4" xfId="28129" xr:uid="{00000000-0005-0000-0000-0000F5540000}"/>
    <cellStyle name="40% - Accent1 4 6 3 3" xfId="8344" xr:uid="{00000000-0005-0000-0000-0000F6540000}"/>
    <cellStyle name="40% - Accent1 4 6 3 3 2" xfId="19645" xr:uid="{00000000-0005-0000-0000-0000F7540000}"/>
    <cellStyle name="40% - Accent1 4 6 3 3 2 2" xfId="42247" xr:uid="{00000000-0005-0000-0000-0000F8540000}"/>
    <cellStyle name="40% - Accent1 4 6 3 3 3" xfId="30946" xr:uid="{00000000-0005-0000-0000-0000F9540000}"/>
    <cellStyle name="40% - Accent1 4 6 3 4" xfId="13995" xr:uid="{00000000-0005-0000-0000-0000FA540000}"/>
    <cellStyle name="40% - Accent1 4 6 3 4 2" xfId="36597" xr:uid="{00000000-0005-0000-0000-0000FB540000}"/>
    <cellStyle name="40% - Accent1 4 6 3 5" xfId="25296" xr:uid="{00000000-0005-0000-0000-0000FC540000}"/>
    <cellStyle name="40% - Accent1 4 6 4" xfId="4293" xr:uid="{00000000-0005-0000-0000-0000FD540000}"/>
    <cellStyle name="40% - Accent1 4 6 4 2" xfId="9943" xr:uid="{00000000-0005-0000-0000-0000FE540000}"/>
    <cellStyle name="40% - Accent1 4 6 4 2 2" xfId="21244" xr:uid="{00000000-0005-0000-0000-0000FF540000}"/>
    <cellStyle name="40% - Accent1 4 6 4 2 2 2" xfId="43846" xr:uid="{00000000-0005-0000-0000-000000550000}"/>
    <cellStyle name="40% - Accent1 4 6 4 2 3" xfId="32545" xr:uid="{00000000-0005-0000-0000-000001550000}"/>
    <cellStyle name="40% - Accent1 4 6 4 3" xfId="15594" xr:uid="{00000000-0005-0000-0000-000002550000}"/>
    <cellStyle name="40% - Accent1 4 6 4 3 2" xfId="38196" xr:uid="{00000000-0005-0000-0000-000003550000}"/>
    <cellStyle name="40% - Accent1 4 6 4 4" xfId="26895" xr:uid="{00000000-0005-0000-0000-000004550000}"/>
    <cellStyle name="40% - Accent1 4 6 5" xfId="7091" xr:uid="{00000000-0005-0000-0000-000005550000}"/>
    <cellStyle name="40% - Accent1 4 6 5 2" xfId="18392" xr:uid="{00000000-0005-0000-0000-000006550000}"/>
    <cellStyle name="40% - Accent1 4 6 5 2 2" xfId="40994" xr:uid="{00000000-0005-0000-0000-000007550000}"/>
    <cellStyle name="40% - Accent1 4 6 5 3" xfId="29693" xr:uid="{00000000-0005-0000-0000-000008550000}"/>
    <cellStyle name="40% - Accent1 4 6 6" xfId="12742" xr:uid="{00000000-0005-0000-0000-000009550000}"/>
    <cellStyle name="40% - Accent1 4 6 6 2" xfId="35344" xr:uid="{00000000-0005-0000-0000-00000A550000}"/>
    <cellStyle name="40% - Accent1 4 6 7" xfId="24043" xr:uid="{00000000-0005-0000-0000-00000B550000}"/>
    <cellStyle name="40% - Accent1 4 7" xfId="776" xr:uid="{00000000-0005-0000-0000-00000C550000}"/>
    <cellStyle name="40% - Accent1 4 7 2" xfId="2873" xr:uid="{00000000-0005-0000-0000-00000D550000}"/>
    <cellStyle name="40% - Accent1 4 7 2 2" xfId="5845" xr:uid="{00000000-0005-0000-0000-00000E550000}"/>
    <cellStyle name="40% - Accent1 4 7 2 2 2" xfId="11495" xr:uid="{00000000-0005-0000-0000-00000F550000}"/>
    <cellStyle name="40% - Accent1 4 7 2 2 2 2" xfId="22796" xr:uid="{00000000-0005-0000-0000-000010550000}"/>
    <cellStyle name="40% - Accent1 4 7 2 2 2 2 2" xfId="45398" xr:uid="{00000000-0005-0000-0000-000011550000}"/>
    <cellStyle name="40% - Accent1 4 7 2 2 2 3" xfId="34097" xr:uid="{00000000-0005-0000-0000-000012550000}"/>
    <cellStyle name="40% - Accent1 4 7 2 2 3" xfId="17146" xr:uid="{00000000-0005-0000-0000-000013550000}"/>
    <cellStyle name="40% - Accent1 4 7 2 2 3 2" xfId="39748" xr:uid="{00000000-0005-0000-0000-000014550000}"/>
    <cellStyle name="40% - Accent1 4 7 2 2 4" xfId="28447" xr:uid="{00000000-0005-0000-0000-000015550000}"/>
    <cellStyle name="40% - Accent1 4 7 2 3" xfId="8663" xr:uid="{00000000-0005-0000-0000-000016550000}"/>
    <cellStyle name="40% - Accent1 4 7 2 3 2" xfId="19964" xr:uid="{00000000-0005-0000-0000-000017550000}"/>
    <cellStyle name="40% - Accent1 4 7 2 3 2 2" xfId="42566" xr:uid="{00000000-0005-0000-0000-000018550000}"/>
    <cellStyle name="40% - Accent1 4 7 2 3 3" xfId="31265" xr:uid="{00000000-0005-0000-0000-000019550000}"/>
    <cellStyle name="40% - Accent1 4 7 2 4" xfId="14314" xr:uid="{00000000-0005-0000-0000-00001A550000}"/>
    <cellStyle name="40% - Accent1 4 7 2 4 2" xfId="36916" xr:uid="{00000000-0005-0000-0000-00001B550000}"/>
    <cellStyle name="40% - Accent1 4 7 2 5" xfId="25615" xr:uid="{00000000-0005-0000-0000-00001C550000}"/>
    <cellStyle name="40% - Accent1 4 7 3" xfId="4611" xr:uid="{00000000-0005-0000-0000-00001D550000}"/>
    <cellStyle name="40% - Accent1 4 7 3 2" xfId="10261" xr:uid="{00000000-0005-0000-0000-00001E550000}"/>
    <cellStyle name="40% - Accent1 4 7 3 2 2" xfId="21562" xr:uid="{00000000-0005-0000-0000-00001F550000}"/>
    <cellStyle name="40% - Accent1 4 7 3 2 2 2" xfId="44164" xr:uid="{00000000-0005-0000-0000-000020550000}"/>
    <cellStyle name="40% - Accent1 4 7 3 2 3" xfId="32863" xr:uid="{00000000-0005-0000-0000-000021550000}"/>
    <cellStyle name="40% - Accent1 4 7 3 3" xfId="15912" xr:uid="{00000000-0005-0000-0000-000022550000}"/>
    <cellStyle name="40% - Accent1 4 7 3 3 2" xfId="38514" xr:uid="{00000000-0005-0000-0000-000023550000}"/>
    <cellStyle name="40% - Accent1 4 7 3 4" xfId="27213" xr:uid="{00000000-0005-0000-0000-000024550000}"/>
    <cellStyle name="40% - Accent1 4 7 4" xfId="6793" xr:uid="{00000000-0005-0000-0000-000025550000}"/>
    <cellStyle name="40% - Accent1 4 7 4 2" xfId="18094" xr:uid="{00000000-0005-0000-0000-000026550000}"/>
    <cellStyle name="40% - Accent1 4 7 4 2 2" xfId="40696" xr:uid="{00000000-0005-0000-0000-000027550000}"/>
    <cellStyle name="40% - Accent1 4 7 4 3" xfId="29395" xr:uid="{00000000-0005-0000-0000-000028550000}"/>
    <cellStyle name="40% - Accent1 4 7 5" xfId="12444" xr:uid="{00000000-0005-0000-0000-000029550000}"/>
    <cellStyle name="40% - Accent1 4 7 5 2" xfId="35046" xr:uid="{00000000-0005-0000-0000-00002A550000}"/>
    <cellStyle name="40% - Accent1 4 7 6" xfId="23745" xr:uid="{00000000-0005-0000-0000-00002B550000}"/>
    <cellStyle name="40% - Accent1 4 8" xfId="1823" xr:uid="{00000000-0005-0000-0000-00002C550000}"/>
    <cellStyle name="40% - Accent1 4 8 2" xfId="3709" xr:uid="{00000000-0005-0000-0000-00002D550000}"/>
    <cellStyle name="40% - Accent1 4 8 2 2" xfId="9420" xr:uid="{00000000-0005-0000-0000-00002E550000}"/>
    <cellStyle name="40% - Accent1 4 8 2 2 2" xfId="20721" xr:uid="{00000000-0005-0000-0000-00002F550000}"/>
    <cellStyle name="40% - Accent1 4 8 2 2 2 2" xfId="43323" xr:uid="{00000000-0005-0000-0000-000030550000}"/>
    <cellStyle name="40% - Accent1 4 8 2 2 3" xfId="32022" xr:uid="{00000000-0005-0000-0000-000031550000}"/>
    <cellStyle name="40% - Accent1 4 8 2 3" xfId="15071" xr:uid="{00000000-0005-0000-0000-000032550000}"/>
    <cellStyle name="40% - Accent1 4 8 2 3 2" xfId="37673" xr:uid="{00000000-0005-0000-0000-000033550000}"/>
    <cellStyle name="40% - Accent1 4 8 2 4" xfId="26372" xr:uid="{00000000-0005-0000-0000-000034550000}"/>
    <cellStyle name="40% - Accent1 4 8 3" xfId="5221" xr:uid="{00000000-0005-0000-0000-000035550000}"/>
    <cellStyle name="40% - Accent1 4 8 3 2" xfId="10871" xr:uid="{00000000-0005-0000-0000-000036550000}"/>
    <cellStyle name="40% - Accent1 4 8 3 2 2" xfId="22172" xr:uid="{00000000-0005-0000-0000-000037550000}"/>
    <cellStyle name="40% - Accent1 4 8 3 2 2 2" xfId="44774" xr:uid="{00000000-0005-0000-0000-000038550000}"/>
    <cellStyle name="40% - Accent1 4 8 3 2 3" xfId="33473" xr:uid="{00000000-0005-0000-0000-000039550000}"/>
    <cellStyle name="40% - Accent1 4 8 3 3" xfId="16522" xr:uid="{00000000-0005-0000-0000-00003A550000}"/>
    <cellStyle name="40% - Accent1 4 8 3 3 2" xfId="39124" xr:uid="{00000000-0005-0000-0000-00003B550000}"/>
    <cellStyle name="40% - Accent1 4 8 3 4" xfId="27823" xr:uid="{00000000-0005-0000-0000-00003C550000}"/>
    <cellStyle name="40% - Accent1 4 8 4" xfId="7679" xr:uid="{00000000-0005-0000-0000-00003D550000}"/>
    <cellStyle name="40% - Accent1 4 8 4 2" xfId="18980" xr:uid="{00000000-0005-0000-0000-00003E550000}"/>
    <cellStyle name="40% - Accent1 4 8 4 2 2" xfId="41582" xr:uid="{00000000-0005-0000-0000-00003F550000}"/>
    <cellStyle name="40% - Accent1 4 8 4 3" xfId="30281" xr:uid="{00000000-0005-0000-0000-000040550000}"/>
    <cellStyle name="40% - Accent1 4 8 5" xfId="13330" xr:uid="{00000000-0005-0000-0000-000041550000}"/>
    <cellStyle name="40% - Accent1 4 8 5 2" xfId="35932" xr:uid="{00000000-0005-0000-0000-000042550000}"/>
    <cellStyle name="40% - Accent1 4 8 6" xfId="24631" xr:uid="{00000000-0005-0000-0000-000043550000}"/>
    <cellStyle name="40% - Accent1 4 9" xfId="2192" xr:uid="{00000000-0005-0000-0000-000044550000}"/>
    <cellStyle name="40% - Accent1 4 9 2" xfId="8035" xr:uid="{00000000-0005-0000-0000-000045550000}"/>
    <cellStyle name="40% - Accent1 4 9 2 2" xfId="19336" xr:uid="{00000000-0005-0000-0000-000046550000}"/>
    <cellStyle name="40% - Accent1 4 9 2 2 2" xfId="41938" xr:uid="{00000000-0005-0000-0000-000047550000}"/>
    <cellStyle name="40% - Accent1 4 9 2 3" xfId="30637" xr:uid="{00000000-0005-0000-0000-000048550000}"/>
    <cellStyle name="40% - Accent1 4 9 3" xfId="13686" xr:uid="{00000000-0005-0000-0000-000049550000}"/>
    <cellStyle name="40% - Accent1 4 9 3 2" xfId="36288" xr:uid="{00000000-0005-0000-0000-00004A550000}"/>
    <cellStyle name="40% - Accent1 4 9 4" xfId="24987" xr:uid="{00000000-0005-0000-0000-00004B550000}"/>
    <cellStyle name="40% - Accent1 5" xfId="263" xr:uid="{00000000-0005-0000-0000-00004C550000}"/>
    <cellStyle name="40% - Accent1 5 10" xfId="12129" xr:uid="{00000000-0005-0000-0000-00004D550000}"/>
    <cellStyle name="40% - Accent1 5 10 2" xfId="34731" xr:uid="{00000000-0005-0000-0000-00004E550000}"/>
    <cellStyle name="40% - Accent1 5 11" xfId="23430" xr:uid="{00000000-0005-0000-0000-00004F550000}"/>
    <cellStyle name="40% - Accent1 5 2" xfId="431" xr:uid="{00000000-0005-0000-0000-000050550000}"/>
    <cellStyle name="40% - Accent1 5 2 10" xfId="23526" xr:uid="{00000000-0005-0000-0000-000051550000}"/>
    <cellStyle name="40% - Accent1 5 2 2" xfId="676" xr:uid="{00000000-0005-0000-0000-000052550000}"/>
    <cellStyle name="40% - Accent1 5 2 2 2" xfId="1386" xr:uid="{00000000-0005-0000-0000-000053550000}"/>
    <cellStyle name="40% - Accent1 5 2 2 2 2" xfId="1840" xr:uid="{00000000-0005-0000-0000-000054550000}"/>
    <cellStyle name="40% - Accent1 5 2 2 2 2 2" xfId="3455" xr:uid="{00000000-0005-0000-0000-000055550000}"/>
    <cellStyle name="40% - Accent1 5 2 2 2 2 2 2" xfId="6427" xr:uid="{00000000-0005-0000-0000-000056550000}"/>
    <cellStyle name="40% - Accent1 5 2 2 2 2 2 2 2" xfId="12077" xr:uid="{00000000-0005-0000-0000-000057550000}"/>
    <cellStyle name="40% - Accent1 5 2 2 2 2 2 2 2 2" xfId="23378" xr:uid="{00000000-0005-0000-0000-000058550000}"/>
    <cellStyle name="40% - Accent1 5 2 2 2 2 2 2 2 2 2" xfId="45980" xr:uid="{00000000-0005-0000-0000-000059550000}"/>
    <cellStyle name="40% - Accent1 5 2 2 2 2 2 2 2 3" xfId="34679" xr:uid="{00000000-0005-0000-0000-00005A550000}"/>
    <cellStyle name="40% - Accent1 5 2 2 2 2 2 2 3" xfId="17728" xr:uid="{00000000-0005-0000-0000-00005B550000}"/>
    <cellStyle name="40% - Accent1 5 2 2 2 2 2 2 3 2" xfId="40330" xr:uid="{00000000-0005-0000-0000-00005C550000}"/>
    <cellStyle name="40% - Accent1 5 2 2 2 2 2 2 4" xfId="29029" xr:uid="{00000000-0005-0000-0000-00005D550000}"/>
    <cellStyle name="40% - Accent1 5 2 2 2 2 2 3" xfId="9245" xr:uid="{00000000-0005-0000-0000-00005E550000}"/>
    <cellStyle name="40% - Accent1 5 2 2 2 2 2 3 2" xfId="20546" xr:uid="{00000000-0005-0000-0000-00005F550000}"/>
    <cellStyle name="40% - Accent1 5 2 2 2 2 2 3 2 2" xfId="43148" xr:uid="{00000000-0005-0000-0000-000060550000}"/>
    <cellStyle name="40% - Accent1 5 2 2 2 2 2 3 3" xfId="31847" xr:uid="{00000000-0005-0000-0000-000061550000}"/>
    <cellStyle name="40% - Accent1 5 2 2 2 2 2 4" xfId="14896" xr:uid="{00000000-0005-0000-0000-000062550000}"/>
    <cellStyle name="40% - Accent1 5 2 2 2 2 2 4 2" xfId="37498" xr:uid="{00000000-0005-0000-0000-000063550000}"/>
    <cellStyle name="40% - Accent1 5 2 2 2 2 2 5" xfId="26197" xr:uid="{00000000-0005-0000-0000-000064550000}"/>
    <cellStyle name="40% - Accent1 5 2 2 2 2 3" xfId="5193" xr:uid="{00000000-0005-0000-0000-000065550000}"/>
    <cellStyle name="40% - Accent1 5 2 2 2 2 3 2" xfId="10843" xr:uid="{00000000-0005-0000-0000-000066550000}"/>
    <cellStyle name="40% - Accent1 5 2 2 2 2 3 2 2" xfId="22144" xr:uid="{00000000-0005-0000-0000-000067550000}"/>
    <cellStyle name="40% - Accent1 5 2 2 2 2 3 2 2 2" xfId="44746" xr:uid="{00000000-0005-0000-0000-000068550000}"/>
    <cellStyle name="40% - Accent1 5 2 2 2 2 3 2 3" xfId="33445" xr:uid="{00000000-0005-0000-0000-000069550000}"/>
    <cellStyle name="40% - Accent1 5 2 2 2 2 3 3" xfId="16494" xr:uid="{00000000-0005-0000-0000-00006A550000}"/>
    <cellStyle name="40% - Accent1 5 2 2 2 2 3 3 2" xfId="39096" xr:uid="{00000000-0005-0000-0000-00006B550000}"/>
    <cellStyle name="40% - Accent1 5 2 2 2 2 3 4" xfId="27795" xr:uid="{00000000-0005-0000-0000-00006C550000}"/>
    <cellStyle name="40% - Accent1 5 2 2 2 2 4" xfId="7696" xr:uid="{00000000-0005-0000-0000-00006D550000}"/>
    <cellStyle name="40% - Accent1 5 2 2 2 2 4 2" xfId="18997" xr:uid="{00000000-0005-0000-0000-00006E550000}"/>
    <cellStyle name="40% - Accent1 5 2 2 2 2 4 2 2" xfId="41599" xr:uid="{00000000-0005-0000-0000-00006F550000}"/>
    <cellStyle name="40% - Accent1 5 2 2 2 2 4 3" xfId="30298" xr:uid="{00000000-0005-0000-0000-000070550000}"/>
    <cellStyle name="40% - Accent1 5 2 2 2 2 5" xfId="13347" xr:uid="{00000000-0005-0000-0000-000071550000}"/>
    <cellStyle name="40% - Accent1 5 2 2 2 2 5 2" xfId="35949" xr:uid="{00000000-0005-0000-0000-000072550000}"/>
    <cellStyle name="40% - Accent1 5 2 2 2 2 6" xfId="24648" xr:uid="{00000000-0005-0000-0000-000073550000}"/>
    <cellStyle name="40% - Accent1 5 2 2 2 3" xfId="2784" xr:uid="{00000000-0005-0000-0000-000074550000}"/>
    <cellStyle name="40% - Accent1 5 2 2 2 3 2" xfId="5803" xr:uid="{00000000-0005-0000-0000-000075550000}"/>
    <cellStyle name="40% - Accent1 5 2 2 2 3 2 2" xfId="11453" xr:uid="{00000000-0005-0000-0000-000076550000}"/>
    <cellStyle name="40% - Accent1 5 2 2 2 3 2 2 2" xfId="22754" xr:uid="{00000000-0005-0000-0000-000077550000}"/>
    <cellStyle name="40% - Accent1 5 2 2 2 3 2 2 2 2" xfId="45356" xr:uid="{00000000-0005-0000-0000-000078550000}"/>
    <cellStyle name="40% - Accent1 5 2 2 2 3 2 2 3" xfId="34055" xr:uid="{00000000-0005-0000-0000-000079550000}"/>
    <cellStyle name="40% - Accent1 5 2 2 2 3 2 3" xfId="17104" xr:uid="{00000000-0005-0000-0000-00007A550000}"/>
    <cellStyle name="40% - Accent1 5 2 2 2 3 2 3 2" xfId="39706" xr:uid="{00000000-0005-0000-0000-00007B550000}"/>
    <cellStyle name="40% - Accent1 5 2 2 2 3 2 4" xfId="28405" xr:uid="{00000000-0005-0000-0000-00007C550000}"/>
    <cellStyle name="40% - Accent1 5 2 2 2 3 3" xfId="8620" xr:uid="{00000000-0005-0000-0000-00007D550000}"/>
    <cellStyle name="40% - Accent1 5 2 2 2 3 3 2" xfId="19921" xr:uid="{00000000-0005-0000-0000-00007E550000}"/>
    <cellStyle name="40% - Accent1 5 2 2 2 3 3 2 2" xfId="42523" xr:uid="{00000000-0005-0000-0000-00007F550000}"/>
    <cellStyle name="40% - Accent1 5 2 2 2 3 3 3" xfId="31222" xr:uid="{00000000-0005-0000-0000-000080550000}"/>
    <cellStyle name="40% - Accent1 5 2 2 2 3 4" xfId="14271" xr:uid="{00000000-0005-0000-0000-000081550000}"/>
    <cellStyle name="40% - Accent1 5 2 2 2 3 4 2" xfId="36873" xr:uid="{00000000-0005-0000-0000-000082550000}"/>
    <cellStyle name="40% - Accent1 5 2 2 2 3 5" xfId="25572" xr:uid="{00000000-0005-0000-0000-000083550000}"/>
    <cellStyle name="40% - Accent1 5 2 2 2 4" xfId="4569" xr:uid="{00000000-0005-0000-0000-000084550000}"/>
    <cellStyle name="40% - Accent1 5 2 2 2 4 2" xfId="10219" xr:uid="{00000000-0005-0000-0000-000085550000}"/>
    <cellStyle name="40% - Accent1 5 2 2 2 4 2 2" xfId="21520" xr:uid="{00000000-0005-0000-0000-000086550000}"/>
    <cellStyle name="40% - Accent1 5 2 2 2 4 2 2 2" xfId="44122" xr:uid="{00000000-0005-0000-0000-000087550000}"/>
    <cellStyle name="40% - Accent1 5 2 2 2 4 2 3" xfId="32821" xr:uid="{00000000-0005-0000-0000-000088550000}"/>
    <cellStyle name="40% - Accent1 5 2 2 2 4 3" xfId="15870" xr:uid="{00000000-0005-0000-0000-000089550000}"/>
    <cellStyle name="40% - Accent1 5 2 2 2 4 3 2" xfId="38472" xr:uid="{00000000-0005-0000-0000-00008A550000}"/>
    <cellStyle name="40% - Accent1 5 2 2 2 4 4" xfId="27171" xr:uid="{00000000-0005-0000-0000-00008B550000}"/>
    <cellStyle name="40% - Accent1 5 2 2 2 5" xfId="7365" xr:uid="{00000000-0005-0000-0000-00008C550000}"/>
    <cellStyle name="40% - Accent1 5 2 2 2 5 2" xfId="18666" xr:uid="{00000000-0005-0000-0000-00008D550000}"/>
    <cellStyle name="40% - Accent1 5 2 2 2 5 2 2" xfId="41268" xr:uid="{00000000-0005-0000-0000-00008E550000}"/>
    <cellStyle name="40% - Accent1 5 2 2 2 5 3" xfId="29967" xr:uid="{00000000-0005-0000-0000-00008F550000}"/>
    <cellStyle name="40% - Accent1 5 2 2 2 6" xfId="13016" xr:uid="{00000000-0005-0000-0000-000090550000}"/>
    <cellStyle name="40% - Accent1 5 2 2 2 6 2" xfId="35618" xr:uid="{00000000-0005-0000-0000-000091550000}"/>
    <cellStyle name="40% - Accent1 5 2 2 2 7" xfId="24317" xr:uid="{00000000-0005-0000-0000-000092550000}"/>
    <cellStyle name="40% - Accent1 5 2 2 3" xfId="1084" xr:uid="{00000000-0005-0000-0000-000093550000}"/>
    <cellStyle name="40% - Accent1 5 2 2 3 2" xfId="3147" xr:uid="{00000000-0005-0000-0000-000094550000}"/>
    <cellStyle name="40% - Accent1 5 2 2 3 2 2" xfId="6119" xr:uid="{00000000-0005-0000-0000-000095550000}"/>
    <cellStyle name="40% - Accent1 5 2 2 3 2 2 2" xfId="11769" xr:uid="{00000000-0005-0000-0000-000096550000}"/>
    <cellStyle name="40% - Accent1 5 2 2 3 2 2 2 2" xfId="23070" xr:uid="{00000000-0005-0000-0000-000097550000}"/>
    <cellStyle name="40% - Accent1 5 2 2 3 2 2 2 2 2" xfId="45672" xr:uid="{00000000-0005-0000-0000-000098550000}"/>
    <cellStyle name="40% - Accent1 5 2 2 3 2 2 2 3" xfId="34371" xr:uid="{00000000-0005-0000-0000-000099550000}"/>
    <cellStyle name="40% - Accent1 5 2 2 3 2 2 3" xfId="17420" xr:uid="{00000000-0005-0000-0000-00009A550000}"/>
    <cellStyle name="40% - Accent1 5 2 2 3 2 2 3 2" xfId="40022" xr:uid="{00000000-0005-0000-0000-00009B550000}"/>
    <cellStyle name="40% - Accent1 5 2 2 3 2 2 4" xfId="28721" xr:uid="{00000000-0005-0000-0000-00009C550000}"/>
    <cellStyle name="40% - Accent1 5 2 2 3 2 3" xfId="8937" xr:uid="{00000000-0005-0000-0000-00009D550000}"/>
    <cellStyle name="40% - Accent1 5 2 2 3 2 3 2" xfId="20238" xr:uid="{00000000-0005-0000-0000-00009E550000}"/>
    <cellStyle name="40% - Accent1 5 2 2 3 2 3 2 2" xfId="42840" xr:uid="{00000000-0005-0000-0000-00009F550000}"/>
    <cellStyle name="40% - Accent1 5 2 2 3 2 3 3" xfId="31539" xr:uid="{00000000-0005-0000-0000-0000A0550000}"/>
    <cellStyle name="40% - Accent1 5 2 2 3 2 4" xfId="14588" xr:uid="{00000000-0005-0000-0000-0000A1550000}"/>
    <cellStyle name="40% - Accent1 5 2 2 3 2 4 2" xfId="37190" xr:uid="{00000000-0005-0000-0000-0000A2550000}"/>
    <cellStyle name="40% - Accent1 5 2 2 3 2 5" xfId="25889" xr:uid="{00000000-0005-0000-0000-0000A3550000}"/>
    <cellStyle name="40% - Accent1 5 2 2 3 3" xfId="4885" xr:uid="{00000000-0005-0000-0000-0000A4550000}"/>
    <cellStyle name="40% - Accent1 5 2 2 3 3 2" xfId="10535" xr:uid="{00000000-0005-0000-0000-0000A5550000}"/>
    <cellStyle name="40% - Accent1 5 2 2 3 3 2 2" xfId="21836" xr:uid="{00000000-0005-0000-0000-0000A6550000}"/>
    <cellStyle name="40% - Accent1 5 2 2 3 3 2 2 2" xfId="44438" xr:uid="{00000000-0005-0000-0000-0000A7550000}"/>
    <cellStyle name="40% - Accent1 5 2 2 3 3 2 3" xfId="33137" xr:uid="{00000000-0005-0000-0000-0000A8550000}"/>
    <cellStyle name="40% - Accent1 5 2 2 3 3 3" xfId="16186" xr:uid="{00000000-0005-0000-0000-0000A9550000}"/>
    <cellStyle name="40% - Accent1 5 2 2 3 3 3 2" xfId="38788" xr:uid="{00000000-0005-0000-0000-0000AA550000}"/>
    <cellStyle name="40% - Accent1 5 2 2 3 3 4" xfId="27487" xr:uid="{00000000-0005-0000-0000-0000AB550000}"/>
    <cellStyle name="40% - Accent1 5 2 2 3 4" xfId="7072" xr:uid="{00000000-0005-0000-0000-0000AC550000}"/>
    <cellStyle name="40% - Accent1 5 2 2 3 4 2" xfId="18373" xr:uid="{00000000-0005-0000-0000-0000AD550000}"/>
    <cellStyle name="40% - Accent1 5 2 2 3 4 2 2" xfId="40975" xr:uid="{00000000-0005-0000-0000-0000AE550000}"/>
    <cellStyle name="40% - Accent1 5 2 2 3 4 3" xfId="29674" xr:uid="{00000000-0005-0000-0000-0000AF550000}"/>
    <cellStyle name="40% - Accent1 5 2 2 3 5" xfId="12723" xr:uid="{00000000-0005-0000-0000-0000B0550000}"/>
    <cellStyle name="40% - Accent1 5 2 2 3 5 2" xfId="35325" xr:uid="{00000000-0005-0000-0000-0000B1550000}"/>
    <cellStyle name="40% - Accent1 5 2 2 3 6" xfId="24024" xr:uid="{00000000-0005-0000-0000-0000B2550000}"/>
    <cellStyle name="40% - Accent1 5 2 2 4" xfId="1839" xr:uid="{00000000-0005-0000-0000-0000B3550000}"/>
    <cellStyle name="40% - Accent1 5 2 2 4 2" xfId="3719" xr:uid="{00000000-0005-0000-0000-0000B4550000}"/>
    <cellStyle name="40% - Accent1 5 2 2 4 2 2" xfId="9429" xr:uid="{00000000-0005-0000-0000-0000B5550000}"/>
    <cellStyle name="40% - Accent1 5 2 2 4 2 2 2" xfId="20730" xr:uid="{00000000-0005-0000-0000-0000B6550000}"/>
    <cellStyle name="40% - Accent1 5 2 2 4 2 2 2 2" xfId="43332" xr:uid="{00000000-0005-0000-0000-0000B7550000}"/>
    <cellStyle name="40% - Accent1 5 2 2 4 2 2 3" xfId="32031" xr:uid="{00000000-0005-0000-0000-0000B8550000}"/>
    <cellStyle name="40% - Accent1 5 2 2 4 2 3" xfId="15080" xr:uid="{00000000-0005-0000-0000-0000B9550000}"/>
    <cellStyle name="40% - Accent1 5 2 2 4 2 3 2" xfId="37682" xr:uid="{00000000-0005-0000-0000-0000BA550000}"/>
    <cellStyle name="40% - Accent1 5 2 2 4 2 4" xfId="26381" xr:uid="{00000000-0005-0000-0000-0000BB550000}"/>
    <cellStyle name="40% - Accent1 5 2 2 4 3" xfId="5495" xr:uid="{00000000-0005-0000-0000-0000BC550000}"/>
    <cellStyle name="40% - Accent1 5 2 2 4 3 2" xfId="11145" xr:uid="{00000000-0005-0000-0000-0000BD550000}"/>
    <cellStyle name="40% - Accent1 5 2 2 4 3 2 2" xfId="22446" xr:uid="{00000000-0005-0000-0000-0000BE550000}"/>
    <cellStyle name="40% - Accent1 5 2 2 4 3 2 2 2" xfId="45048" xr:uid="{00000000-0005-0000-0000-0000BF550000}"/>
    <cellStyle name="40% - Accent1 5 2 2 4 3 2 3" xfId="33747" xr:uid="{00000000-0005-0000-0000-0000C0550000}"/>
    <cellStyle name="40% - Accent1 5 2 2 4 3 3" xfId="16796" xr:uid="{00000000-0005-0000-0000-0000C1550000}"/>
    <cellStyle name="40% - Accent1 5 2 2 4 3 3 2" xfId="39398" xr:uid="{00000000-0005-0000-0000-0000C2550000}"/>
    <cellStyle name="40% - Accent1 5 2 2 4 3 4" xfId="28097" xr:uid="{00000000-0005-0000-0000-0000C3550000}"/>
    <cellStyle name="40% - Accent1 5 2 2 4 4" xfId="7695" xr:uid="{00000000-0005-0000-0000-0000C4550000}"/>
    <cellStyle name="40% - Accent1 5 2 2 4 4 2" xfId="18996" xr:uid="{00000000-0005-0000-0000-0000C5550000}"/>
    <cellStyle name="40% - Accent1 5 2 2 4 4 2 2" xfId="41598" xr:uid="{00000000-0005-0000-0000-0000C6550000}"/>
    <cellStyle name="40% - Accent1 5 2 2 4 4 3" xfId="30297" xr:uid="{00000000-0005-0000-0000-0000C7550000}"/>
    <cellStyle name="40% - Accent1 5 2 2 4 5" xfId="13346" xr:uid="{00000000-0005-0000-0000-0000C8550000}"/>
    <cellStyle name="40% - Accent1 5 2 2 4 5 2" xfId="35948" xr:uid="{00000000-0005-0000-0000-0000C9550000}"/>
    <cellStyle name="40% - Accent1 5 2 2 4 6" xfId="24647" xr:uid="{00000000-0005-0000-0000-0000CA550000}"/>
    <cellStyle name="40% - Accent1 5 2 2 5" xfId="2476" xr:uid="{00000000-0005-0000-0000-0000CB550000}"/>
    <cellStyle name="40% - Accent1 5 2 2 5 2" xfId="8312" xr:uid="{00000000-0005-0000-0000-0000CC550000}"/>
    <cellStyle name="40% - Accent1 5 2 2 5 2 2" xfId="19613" xr:uid="{00000000-0005-0000-0000-0000CD550000}"/>
    <cellStyle name="40% - Accent1 5 2 2 5 2 2 2" xfId="42215" xr:uid="{00000000-0005-0000-0000-0000CE550000}"/>
    <cellStyle name="40% - Accent1 5 2 2 5 2 3" xfId="30914" xr:uid="{00000000-0005-0000-0000-0000CF550000}"/>
    <cellStyle name="40% - Accent1 5 2 2 5 3" xfId="13963" xr:uid="{00000000-0005-0000-0000-0000D0550000}"/>
    <cellStyle name="40% - Accent1 5 2 2 5 3 2" xfId="36565" xr:uid="{00000000-0005-0000-0000-0000D1550000}"/>
    <cellStyle name="40% - Accent1 5 2 2 5 4" xfId="25264" xr:uid="{00000000-0005-0000-0000-0000D2550000}"/>
    <cellStyle name="40% - Accent1 5 2 2 6" xfId="4261" xr:uid="{00000000-0005-0000-0000-0000D3550000}"/>
    <cellStyle name="40% - Accent1 5 2 2 6 2" xfId="9911" xr:uid="{00000000-0005-0000-0000-0000D4550000}"/>
    <cellStyle name="40% - Accent1 5 2 2 6 2 2" xfId="21212" xr:uid="{00000000-0005-0000-0000-0000D5550000}"/>
    <cellStyle name="40% - Accent1 5 2 2 6 2 2 2" xfId="43814" xr:uid="{00000000-0005-0000-0000-0000D6550000}"/>
    <cellStyle name="40% - Accent1 5 2 2 6 2 3" xfId="32513" xr:uid="{00000000-0005-0000-0000-0000D7550000}"/>
    <cellStyle name="40% - Accent1 5 2 2 6 3" xfId="15562" xr:uid="{00000000-0005-0000-0000-0000D8550000}"/>
    <cellStyle name="40% - Accent1 5 2 2 6 3 2" xfId="38164" xr:uid="{00000000-0005-0000-0000-0000D9550000}"/>
    <cellStyle name="40% - Accent1 5 2 2 6 4" xfId="26863" xr:uid="{00000000-0005-0000-0000-0000DA550000}"/>
    <cellStyle name="40% - Accent1 5 2 2 7" xfId="6741" xr:uid="{00000000-0005-0000-0000-0000DB550000}"/>
    <cellStyle name="40% - Accent1 5 2 2 7 2" xfId="18042" xr:uid="{00000000-0005-0000-0000-0000DC550000}"/>
    <cellStyle name="40% - Accent1 5 2 2 7 2 2" xfId="40644" xr:uid="{00000000-0005-0000-0000-0000DD550000}"/>
    <cellStyle name="40% - Accent1 5 2 2 7 3" xfId="29343" xr:uid="{00000000-0005-0000-0000-0000DE550000}"/>
    <cellStyle name="40% - Accent1 5 2 2 8" xfId="12392" xr:uid="{00000000-0005-0000-0000-0000DF550000}"/>
    <cellStyle name="40% - Accent1 5 2 2 8 2" xfId="34994" xr:uid="{00000000-0005-0000-0000-0000E0550000}"/>
    <cellStyle name="40% - Accent1 5 2 2 9" xfId="23693" xr:uid="{00000000-0005-0000-0000-0000E1550000}"/>
    <cellStyle name="40% - Accent1 5 2 3" xfId="1248" xr:uid="{00000000-0005-0000-0000-0000E2550000}"/>
    <cellStyle name="40% - Accent1 5 2 3 2" xfId="1841" xr:uid="{00000000-0005-0000-0000-0000E3550000}"/>
    <cellStyle name="40% - Accent1 5 2 3 2 2" xfId="3316" xr:uid="{00000000-0005-0000-0000-0000E4550000}"/>
    <cellStyle name="40% - Accent1 5 2 3 2 2 2" xfId="6288" xr:uid="{00000000-0005-0000-0000-0000E5550000}"/>
    <cellStyle name="40% - Accent1 5 2 3 2 2 2 2" xfId="11938" xr:uid="{00000000-0005-0000-0000-0000E6550000}"/>
    <cellStyle name="40% - Accent1 5 2 3 2 2 2 2 2" xfId="23239" xr:uid="{00000000-0005-0000-0000-0000E7550000}"/>
    <cellStyle name="40% - Accent1 5 2 3 2 2 2 2 2 2" xfId="45841" xr:uid="{00000000-0005-0000-0000-0000E8550000}"/>
    <cellStyle name="40% - Accent1 5 2 3 2 2 2 2 3" xfId="34540" xr:uid="{00000000-0005-0000-0000-0000E9550000}"/>
    <cellStyle name="40% - Accent1 5 2 3 2 2 2 3" xfId="17589" xr:uid="{00000000-0005-0000-0000-0000EA550000}"/>
    <cellStyle name="40% - Accent1 5 2 3 2 2 2 3 2" xfId="40191" xr:uid="{00000000-0005-0000-0000-0000EB550000}"/>
    <cellStyle name="40% - Accent1 5 2 3 2 2 2 4" xfId="28890" xr:uid="{00000000-0005-0000-0000-0000EC550000}"/>
    <cellStyle name="40% - Accent1 5 2 3 2 2 3" xfId="9106" xr:uid="{00000000-0005-0000-0000-0000ED550000}"/>
    <cellStyle name="40% - Accent1 5 2 3 2 2 3 2" xfId="20407" xr:uid="{00000000-0005-0000-0000-0000EE550000}"/>
    <cellStyle name="40% - Accent1 5 2 3 2 2 3 2 2" xfId="43009" xr:uid="{00000000-0005-0000-0000-0000EF550000}"/>
    <cellStyle name="40% - Accent1 5 2 3 2 2 3 3" xfId="31708" xr:uid="{00000000-0005-0000-0000-0000F0550000}"/>
    <cellStyle name="40% - Accent1 5 2 3 2 2 4" xfId="14757" xr:uid="{00000000-0005-0000-0000-0000F1550000}"/>
    <cellStyle name="40% - Accent1 5 2 3 2 2 4 2" xfId="37359" xr:uid="{00000000-0005-0000-0000-0000F2550000}"/>
    <cellStyle name="40% - Accent1 5 2 3 2 2 5" xfId="26058" xr:uid="{00000000-0005-0000-0000-0000F3550000}"/>
    <cellStyle name="40% - Accent1 5 2 3 2 3" xfId="5054" xr:uid="{00000000-0005-0000-0000-0000F4550000}"/>
    <cellStyle name="40% - Accent1 5 2 3 2 3 2" xfId="10704" xr:uid="{00000000-0005-0000-0000-0000F5550000}"/>
    <cellStyle name="40% - Accent1 5 2 3 2 3 2 2" xfId="22005" xr:uid="{00000000-0005-0000-0000-0000F6550000}"/>
    <cellStyle name="40% - Accent1 5 2 3 2 3 2 2 2" xfId="44607" xr:uid="{00000000-0005-0000-0000-0000F7550000}"/>
    <cellStyle name="40% - Accent1 5 2 3 2 3 2 3" xfId="33306" xr:uid="{00000000-0005-0000-0000-0000F8550000}"/>
    <cellStyle name="40% - Accent1 5 2 3 2 3 3" xfId="16355" xr:uid="{00000000-0005-0000-0000-0000F9550000}"/>
    <cellStyle name="40% - Accent1 5 2 3 2 3 3 2" xfId="38957" xr:uid="{00000000-0005-0000-0000-0000FA550000}"/>
    <cellStyle name="40% - Accent1 5 2 3 2 3 4" xfId="27656" xr:uid="{00000000-0005-0000-0000-0000FB550000}"/>
    <cellStyle name="40% - Accent1 5 2 3 2 4" xfId="7697" xr:uid="{00000000-0005-0000-0000-0000FC550000}"/>
    <cellStyle name="40% - Accent1 5 2 3 2 4 2" xfId="18998" xr:uid="{00000000-0005-0000-0000-0000FD550000}"/>
    <cellStyle name="40% - Accent1 5 2 3 2 4 2 2" xfId="41600" xr:uid="{00000000-0005-0000-0000-0000FE550000}"/>
    <cellStyle name="40% - Accent1 5 2 3 2 4 3" xfId="30299" xr:uid="{00000000-0005-0000-0000-0000FF550000}"/>
    <cellStyle name="40% - Accent1 5 2 3 2 5" xfId="13348" xr:uid="{00000000-0005-0000-0000-000000560000}"/>
    <cellStyle name="40% - Accent1 5 2 3 2 5 2" xfId="35950" xr:uid="{00000000-0005-0000-0000-000001560000}"/>
    <cellStyle name="40% - Accent1 5 2 3 2 6" xfId="24649" xr:uid="{00000000-0005-0000-0000-000002560000}"/>
    <cellStyle name="40% - Accent1 5 2 3 3" xfId="2645" xr:uid="{00000000-0005-0000-0000-000003560000}"/>
    <cellStyle name="40% - Accent1 5 2 3 3 2" xfId="5664" xr:uid="{00000000-0005-0000-0000-000004560000}"/>
    <cellStyle name="40% - Accent1 5 2 3 3 2 2" xfId="11314" xr:uid="{00000000-0005-0000-0000-000005560000}"/>
    <cellStyle name="40% - Accent1 5 2 3 3 2 2 2" xfId="22615" xr:uid="{00000000-0005-0000-0000-000006560000}"/>
    <cellStyle name="40% - Accent1 5 2 3 3 2 2 2 2" xfId="45217" xr:uid="{00000000-0005-0000-0000-000007560000}"/>
    <cellStyle name="40% - Accent1 5 2 3 3 2 2 3" xfId="33916" xr:uid="{00000000-0005-0000-0000-000008560000}"/>
    <cellStyle name="40% - Accent1 5 2 3 3 2 3" xfId="16965" xr:uid="{00000000-0005-0000-0000-000009560000}"/>
    <cellStyle name="40% - Accent1 5 2 3 3 2 3 2" xfId="39567" xr:uid="{00000000-0005-0000-0000-00000A560000}"/>
    <cellStyle name="40% - Accent1 5 2 3 3 2 4" xfId="28266" xr:uid="{00000000-0005-0000-0000-00000B560000}"/>
    <cellStyle name="40% - Accent1 5 2 3 3 3" xfId="8481" xr:uid="{00000000-0005-0000-0000-00000C560000}"/>
    <cellStyle name="40% - Accent1 5 2 3 3 3 2" xfId="19782" xr:uid="{00000000-0005-0000-0000-00000D560000}"/>
    <cellStyle name="40% - Accent1 5 2 3 3 3 2 2" xfId="42384" xr:uid="{00000000-0005-0000-0000-00000E560000}"/>
    <cellStyle name="40% - Accent1 5 2 3 3 3 3" xfId="31083" xr:uid="{00000000-0005-0000-0000-00000F560000}"/>
    <cellStyle name="40% - Accent1 5 2 3 3 4" xfId="14132" xr:uid="{00000000-0005-0000-0000-000010560000}"/>
    <cellStyle name="40% - Accent1 5 2 3 3 4 2" xfId="36734" xr:uid="{00000000-0005-0000-0000-000011560000}"/>
    <cellStyle name="40% - Accent1 5 2 3 3 5" xfId="25433" xr:uid="{00000000-0005-0000-0000-000012560000}"/>
    <cellStyle name="40% - Accent1 5 2 3 4" xfId="4430" xr:uid="{00000000-0005-0000-0000-000013560000}"/>
    <cellStyle name="40% - Accent1 5 2 3 4 2" xfId="10080" xr:uid="{00000000-0005-0000-0000-000014560000}"/>
    <cellStyle name="40% - Accent1 5 2 3 4 2 2" xfId="21381" xr:uid="{00000000-0005-0000-0000-000015560000}"/>
    <cellStyle name="40% - Accent1 5 2 3 4 2 2 2" xfId="43983" xr:uid="{00000000-0005-0000-0000-000016560000}"/>
    <cellStyle name="40% - Accent1 5 2 3 4 2 3" xfId="32682" xr:uid="{00000000-0005-0000-0000-000017560000}"/>
    <cellStyle name="40% - Accent1 5 2 3 4 3" xfId="15731" xr:uid="{00000000-0005-0000-0000-000018560000}"/>
    <cellStyle name="40% - Accent1 5 2 3 4 3 2" xfId="38333" xr:uid="{00000000-0005-0000-0000-000019560000}"/>
    <cellStyle name="40% - Accent1 5 2 3 4 4" xfId="27032" xr:uid="{00000000-0005-0000-0000-00001A560000}"/>
    <cellStyle name="40% - Accent1 5 2 3 5" xfId="7227" xr:uid="{00000000-0005-0000-0000-00001B560000}"/>
    <cellStyle name="40% - Accent1 5 2 3 5 2" xfId="18528" xr:uid="{00000000-0005-0000-0000-00001C560000}"/>
    <cellStyle name="40% - Accent1 5 2 3 5 2 2" xfId="41130" xr:uid="{00000000-0005-0000-0000-00001D560000}"/>
    <cellStyle name="40% - Accent1 5 2 3 5 3" xfId="29829" xr:uid="{00000000-0005-0000-0000-00001E560000}"/>
    <cellStyle name="40% - Accent1 5 2 3 6" xfId="12878" xr:uid="{00000000-0005-0000-0000-00001F560000}"/>
    <cellStyle name="40% - Accent1 5 2 3 6 2" xfId="35480" xr:uid="{00000000-0005-0000-0000-000020560000}"/>
    <cellStyle name="40% - Accent1 5 2 3 7" xfId="24179" xr:uid="{00000000-0005-0000-0000-000021560000}"/>
    <cellStyle name="40% - Accent1 5 2 4" xfId="939" xr:uid="{00000000-0005-0000-0000-000022560000}"/>
    <cellStyle name="40% - Accent1 5 2 4 2" xfId="3009" xr:uid="{00000000-0005-0000-0000-000023560000}"/>
    <cellStyle name="40% - Accent1 5 2 4 2 2" xfId="5981" xr:uid="{00000000-0005-0000-0000-000024560000}"/>
    <cellStyle name="40% - Accent1 5 2 4 2 2 2" xfId="11631" xr:uid="{00000000-0005-0000-0000-000025560000}"/>
    <cellStyle name="40% - Accent1 5 2 4 2 2 2 2" xfId="22932" xr:uid="{00000000-0005-0000-0000-000026560000}"/>
    <cellStyle name="40% - Accent1 5 2 4 2 2 2 2 2" xfId="45534" xr:uid="{00000000-0005-0000-0000-000027560000}"/>
    <cellStyle name="40% - Accent1 5 2 4 2 2 2 3" xfId="34233" xr:uid="{00000000-0005-0000-0000-000028560000}"/>
    <cellStyle name="40% - Accent1 5 2 4 2 2 3" xfId="17282" xr:uid="{00000000-0005-0000-0000-000029560000}"/>
    <cellStyle name="40% - Accent1 5 2 4 2 2 3 2" xfId="39884" xr:uid="{00000000-0005-0000-0000-00002A560000}"/>
    <cellStyle name="40% - Accent1 5 2 4 2 2 4" xfId="28583" xr:uid="{00000000-0005-0000-0000-00002B560000}"/>
    <cellStyle name="40% - Accent1 5 2 4 2 3" xfId="8799" xr:uid="{00000000-0005-0000-0000-00002C560000}"/>
    <cellStyle name="40% - Accent1 5 2 4 2 3 2" xfId="20100" xr:uid="{00000000-0005-0000-0000-00002D560000}"/>
    <cellStyle name="40% - Accent1 5 2 4 2 3 2 2" xfId="42702" xr:uid="{00000000-0005-0000-0000-00002E560000}"/>
    <cellStyle name="40% - Accent1 5 2 4 2 3 3" xfId="31401" xr:uid="{00000000-0005-0000-0000-00002F560000}"/>
    <cellStyle name="40% - Accent1 5 2 4 2 4" xfId="14450" xr:uid="{00000000-0005-0000-0000-000030560000}"/>
    <cellStyle name="40% - Accent1 5 2 4 2 4 2" xfId="37052" xr:uid="{00000000-0005-0000-0000-000031560000}"/>
    <cellStyle name="40% - Accent1 5 2 4 2 5" xfId="25751" xr:uid="{00000000-0005-0000-0000-000032560000}"/>
    <cellStyle name="40% - Accent1 5 2 4 3" xfId="4747" xr:uid="{00000000-0005-0000-0000-000033560000}"/>
    <cellStyle name="40% - Accent1 5 2 4 3 2" xfId="10397" xr:uid="{00000000-0005-0000-0000-000034560000}"/>
    <cellStyle name="40% - Accent1 5 2 4 3 2 2" xfId="21698" xr:uid="{00000000-0005-0000-0000-000035560000}"/>
    <cellStyle name="40% - Accent1 5 2 4 3 2 2 2" xfId="44300" xr:uid="{00000000-0005-0000-0000-000036560000}"/>
    <cellStyle name="40% - Accent1 5 2 4 3 2 3" xfId="32999" xr:uid="{00000000-0005-0000-0000-000037560000}"/>
    <cellStyle name="40% - Accent1 5 2 4 3 3" xfId="16048" xr:uid="{00000000-0005-0000-0000-000038560000}"/>
    <cellStyle name="40% - Accent1 5 2 4 3 3 2" xfId="38650" xr:uid="{00000000-0005-0000-0000-000039560000}"/>
    <cellStyle name="40% - Accent1 5 2 4 3 4" xfId="27349" xr:uid="{00000000-0005-0000-0000-00003A560000}"/>
    <cellStyle name="40% - Accent1 5 2 4 4" xfId="6934" xr:uid="{00000000-0005-0000-0000-00003B560000}"/>
    <cellStyle name="40% - Accent1 5 2 4 4 2" xfId="18235" xr:uid="{00000000-0005-0000-0000-00003C560000}"/>
    <cellStyle name="40% - Accent1 5 2 4 4 2 2" xfId="40837" xr:uid="{00000000-0005-0000-0000-00003D560000}"/>
    <cellStyle name="40% - Accent1 5 2 4 4 3" xfId="29536" xr:uid="{00000000-0005-0000-0000-00003E560000}"/>
    <cellStyle name="40% - Accent1 5 2 4 5" xfId="12585" xr:uid="{00000000-0005-0000-0000-00003F560000}"/>
    <cellStyle name="40% - Accent1 5 2 4 5 2" xfId="35187" xr:uid="{00000000-0005-0000-0000-000040560000}"/>
    <cellStyle name="40% - Accent1 5 2 4 6" xfId="23886" xr:uid="{00000000-0005-0000-0000-000041560000}"/>
    <cellStyle name="40% - Accent1 5 2 5" xfId="1838" xr:uid="{00000000-0005-0000-0000-000042560000}"/>
    <cellStyle name="40% - Accent1 5 2 5 2" xfId="3718" xr:uid="{00000000-0005-0000-0000-000043560000}"/>
    <cellStyle name="40% - Accent1 5 2 5 2 2" xfId="9428" xr:uid="{00000000-0005-0000-0000-000044560000}"/>
    <cellStyle name="40% - Accent1 5 2 5 2 2 2" xfId="20729" xr:uid="{00000000-0005-0000-0000-000045560000}"/>
    <cellStyle name="40% - Accent1 5 2 5 2 2 2 2" xfId="43331" xr:uid="{00000000-0005-0000-0000-000046560000}"/>
    <cellStyle name="40% - Accent1 5 2 5 2 2 3" xfId="32030" xr:uid="{00000000-0005-0000-0000-000047560000}"/>
    <cellStyle name="40% - Accent1 5 2 5 2 3" xfId="15079" xr:uid="{00000000-0005-0000-0000-000048560000}"/>
    <cellStyle name="40% - Accent1 5 2 5 2 3 2" xfId="37681" xr:uid="{00000000-0005-0000-0000-000049560000}"/>
    <cellStyle name="40% - Accent1 5 2 5 2 4" xfId="26380" xr:uid="{00000000-0005-0000-0000-00004A560000}"/>
    <cellStyle name="40% - Accent1 5 2 5 3" xfId="5357" xr:uid="{00000000-0005-0000-0000-00004B560000}"/>
    <cellStyle name="40% - Accent1 5 2 5 3 2" xfId="11007" xr:uid="{00000000-0005-0000-0000-00004C560000}"/>
    <cellStyle name="40% - Accent1 5 2 5 3 2 2" xfId="22308" xr:uid="{00000000-0005-0000-0000-00004D560000}"/>
    <cellStyle name="40% - Accent1 5 2 5 3 2 2 2" xfId="44910" xr:uid="{00000000-0005-0000-0000-00004E560000}"/>
    <cellStyle name="40% - Accent1 5 2 5 3 2 3" xfId="33609" xr:uid="{00000000-0005-0000-0000-00004F560000}"/>
    <cellStyle name="40% - Accent1 5 2 5 3 3" xfId="16658" xr:uid="{00000000-0005-0000-0000-000050560000}"/>
    <cellStyle name="40% - Accent1 5 2 5 3 3 2" xfId="39260" xr:uid="{00000000-0005-0000-0000-000051560000}"/>
    <cellStyle name="40% - Accent1 5 2 5 3 4" xfId="27959" xr:uid="{00000000-0005-0000-0000-000052560000}"/>
    <cellStyle name="40% - Accent1 5 2 5 4" xfId="7694" xr:uid="{00000000-0005-0000-0000-000053560000}"/>
    <cellStyle name="40% - Accent1 5 2 5 4 2" xfId="18995" xr:uid="{00000000-0005-0000-0000-000054560000}"/>
    <cellStyle name="40% - Accent1 5 2 5 4 2 2" xfId="41597" xr:uid="{00000000-0005-0000-0000-000055560000}"/>
    <cellStyle name="40% - Accent1 5 2 5 4 3" xfId="30296" xr:uid="{00000000-0005-0000-0000-000056560000}"/>
    <cellStyle name="40% - Accent1 5 2 5 5" xfId="13345" xr:uid="{00000000-0005-0000-0000-000057560000}"/>
    <cellStyle name="40% - Accent1 5 2 5 5 2" xfId="35947" xr:uid="{00000000-0005-0000-0000-000058560000}"/>
    <cellStyle name="40% - Accent1 5 2 5 6" xfId="24646" xr:uid="{00000000-0005-0000-0000-000059560000}"/>
    <cellStyle name="40% - Accent1 5 2 6" xfId="2336" xr:uid="{00000000-0005-0000-0000-00005A560000}"/>
    <cellStyle name="40% - Accent1 5 2 6 2" xfId="8172" xr:uid="{00000000-0005-0000-0000-00005B560000}"/>
    <cellStyle name="40% - Accent1 5 2 6 2 2" xfId="19473" xr:uid="{00000000-0005-0000-0000-00005C560000}"/>
    <cellStyle name="40% - Accent1 5 2 6 2 2 2" xfId="42075" xr:uid="{00000000-0005-0000-0000-00005D560000}"/>
    <cellStyle name="40% - Accent1 5 2 6 2 3" xfId="30774" xr:uid="{00000000-0005-0000-0000-00005E560000}"/>
    <cellStyle name="40% - Accent1 5 2 6 3" xfId="13823" xr:uid="{00000000-0005-0000-0000-00005F560000}"/>
    <cellStyle name="40% - Accent1 5 2 6 3 2" xfId="36425" xr:uid="{00000000-0005-0000-0000-000060560000}"/>
    <cellStyle name="40% - Accent1 5 2 6 4" xfId="25124" xr:uid="{00000000-0005-0000-0000-000061560000}"/>
    <cellStyle name="40% - Accent1 5 2 7" xfId="4123" xr:uid="{00000000-0005-0000-0000-000062560000}"/>
    <cellStyle name="40% - Accent1 5 2 7 2" xfId="9773" xr:uid="{00000000-0005-0000-0000-000063560000}"/>
    <cellStyle name="40% - Accent1 5 2 7 2 2" xfId="21074" xr:uid="{00000000-0005-0000-0000-000064560000}"/>
    <cellStyle name="40% - Accent1 5 2 7 2 2 2" xfId="43676" xr:uid="{00000000-0005-0000-0000-000065560000}"/>
    <cellStyle name="40% - Accent1 5 2 7 2 3" xfId="32375" xr:uid="{00000000-0005-0000-0000-000066560000}"/>
    <cellStyle name="40% - Accent1 5 2 7 3" xfId="15424" xr:uid="{00000000-0005-0000-0000-000067560000}"/>
    <cellStyle name="40% - Accent1 5 2 7 3 2" xfId="38026" xr:uid="{00000000-0005-0000-0000-000068560000}"/>
    <cellStyle name="40% - Accent1 5 2 7 4" xfId="26725" xr:uid="{00000000-0005-0000-0000-000069560000}"/>
    <cellStyle name="40% - Accent1 5 2 8" xfId="6574" xr:uid="{00000000-0005-0000-0000-00006A560000}"/>
    <cellStyle name="40% - Accent1 5 2 8 2" xfId="17875" xr:uid="{00000000-0005-0000-0000-00006B560000}"/>
    <cellStyle name="40% - Accent1 5 2 8 2 2" xfId="40477" xr:uid="{00000000-0005-0000-0000-00006C560000}"/>
    <cellStyle name="40% - Accent1 5 2 8 3" xfId="29176" xr:uid="{00000000-0005-0000-0000-00006D560000}"/>
    <cellStyle name="40% - Accent1 5 2 9" xfId="12225" xr:uid="{00000000-0005-0000-0000-00006E560000}"/>
    <cellStyle name="40% - Accent1 5 2 9 2" xfId="34827" xr:uid="{00000000-0005-0000-0000-00006F560000}"/>
    <cellStyle name="40% - Accent1 5 3" xfId="579" xr:uid="{00000000-0005-0000-0000-000070560000}"/>
    <cellStyle name="40% - Accent1 5 3 2" xfId="1292" xr:uid="{00000000-0005-0000-0000-000071560000}"/>
    <cellStyle name="40% - Accent1 5 3 2 2" xfId="1843" xr:uid="{00000000-0005-0000-0000-000072560000}"/>
    <cellStyle name="40% - Accent1 5 3 2 2 2" xfId="3361" xr:uid="{00000000-0005-0000-0000-000073560000}"/>
    <cellStyle name="40% - Accent1 5 3 2 2 2 2" xfId="6333" xr:uid="{00000000-0005-0000-0000-000074560000}"/>
    <cellStyle name="40% - Accent1 5 3 2 2 2 2 2" xfId="11983" xr:uid="{00000000-0005-0000-0000-000075560000}"/>
    <cellStyle name="40% - Accent1 5 3 2 2 2 2 2 2" xfId="23284" xr:uid="{00000000-0005-0000-0000-000076560000}"/>
    <cellStyle name="40% - Accent1 5 3 2 2 2 2 2 2 2" xfId="45886" xr:uid="{00000000-0005-0000-0000-000077560000}"/>
    <cellStyle name="40% - Accent1 5 3 2 2 2 2 2 3" xfId="34585" xr:uid="{00000000-0005-0000-0000-000078560000}"/>
    <cellStyle name="40% - Accent1 5 3 2 2 2 2 3" xfId="17634" xr:uid="{00000000-0005-0000-0000-000079560000}"/>
    <cellStyle name="40% - Accent1 5 3 2 2 2 2 3 2" xfId="40236" xr:uid="{00000000-0005-0000-0000-00007A560000}"/>
    <cellStyle name="40% - Accent1 5 3 2 2 2 2 4" xfId="28935" xr:uid="{00000000-0005-0000-0000-00007B560000}"/>
    <cellStyle name="40% - Accent1 5 3 2 2 2 3" xfId="9151" xr:uid="{00000000-0005-0000-0000-00007C560000}"/>
    <cellStyle name="40% - Accent1 5 3 2 2 2 3 2" xfId="20452" xr:uid="{00000000-0005-0000-0000-00007D560000}"/>
    <cellStyle name="40% - Accent1 5 3 2 2 2 3 2 2" xfId="43054" xr:uid="{00000000-0005-0000-0000-00007E560000}"/>
    <cellStyle name="40% - Accent1 5 3 2 2 2 3 3" xfId="31753" xr:uid="{00000000-0005-0000-0000-00007F560000}"/>
    <cellStyle name="40% - Accent1 5 3 2 2 2 4" xfId="14802" xr:uid="{00000000-0005-0000-0000-000080560000}"/>
    <cellStyle name="40% - Accent1 5 3 2 2 2 4 2" xfId="37404" xr:uid="{00000000-0005-0000-0000-000081560000}"/>
    <cellStyle name="40% - Accent1 5 3 2 2 2 5" xfId="26103" xr:uid="{00000000-0005-0000-0000-000082560000}"/>
    <cellStyle name="40% - Accent1 5 3 2 2 3" xfId="5099" xr:uid="{00000000-0005-0000-0000-000083560000}"/>
    <cellStyle name="40% - Accent1 5 3 2 2 3 2" xfId="10749" xr:uid="{00000000-0005-0000-0000-000084560000}"/>
    <cellStyle name="40% - Accent1 5 3 2 2 3 2 2" xfId="22050" xr:uid="{00000000-0005-0000-0000-000085560000}"/>
    <cellStyle name="40% - Accent1 5 3 2 2 3 2 2 2" xfId="44652" xr:uid="{00000000-0005-0000-0000-000086560000}"/>
    <cellStyle name="40% - Accent1 5 3 2 2 3 2 3" xfId="33351" xr:uid="{00000000-0005-0000-0000-000087560000}"/>
    <cellStyle name="40% - Accent1 5 3 2 2 3 3" xfId="16400" xr:uid="{00000000-0005-0000-0000-000088560000}"/>
    <cellStyle name="40% - Accent1 5 3 2 2 3 3 2" xfId="39002" xr:uid="{00000000-0005-0000-0000-000089560000}"/>
    <cellStyle name="40% - Accent1 5 3 2 2 3 4" xfId="27701" xr:uid="{00000000-0005-0000-0000-00008A560000}"/>
    <cellStyle name="40% - Accent1 5 3 2 2 4" xfId="7699" xr:uid="{00000000-0005-0000-0000-00008B560000}"/>
    <cellStyle name="40% - Accent1 5 3 2 2 4 2" xfId="19000" xr:uid="{00000000-0005-0000-0000-00008C560000}"/>
    <cellStyle name="40% - Accent1 5 3 2 2 4 2 2" xfId="41602" xr:uid="{00000000-0005-0000-0000-00008D560000}"/>
    <cellStyle name="40% - Accent1 5 3 2 2 4 3" xfId="30301" xr:uid="{00000000-0005-0000-0000-00008E560000}"/>
    <cellStyle name="40% - Accent1 5 3 2 2 5" xfId="13350" xr:uid="{00000000-0005-0000-0000-00008F560000}"/>
    <cellStyle name="40% - Accent1 5 3 2 2 5 2" xfId="35952" xr:uid="{00000000-0005-0000-0000-000090560000}"/>
    <cellStyle name="40% - Accent1 5 3 2 2 6" xfId="24651" xr:uid="{00000000-0005-0000-0000-000091560000}"/>
    <cellStyle name="40% - Accent1 5 3 2 3" xfId="2690" xr:uid="{00000000-0005-0000-0000-000092560000}"/>
    <cellStyle name="40% - Accent1 5 3 2 3 2" xfId="5709" xr:uid="{00000000-0005-0000-0000-000093560000}"/>
    <cellStyle name="40% - Accent1 5 3 2 3 2 2" xfId="11359" xr:uid="{00000000-0005-0000-0000-000094560000}"/>
    <cellStyle name="40% - Accent1 5 3 2 3 2 2 2" xfId="22660" xr:uid="{00000000-0005-0000-0000-000095560000}"/>
    <cellStyle name="40% - Accent1 5 3 2 3 2 2 2 2" xfId="45262" xr:uid="{00000000-0005-0000-0000-000096560000}"/>
    <cellStyle name="40% - Accent1 5 3 2 3 2 2 3" xfId="33961" xr:uid="{00000000-0005-0000-0000-000097560000}"/>
    <cellStyle name="40% - Accent1 5 3 2 3 2 3" xfId="17010" xr:uid="{00000000-0005-0000-0000-000098560000}"/>
    <cellStyle name="40% - Accent1 5 3 2 3 2 3 2" xfId="39612" xr:uid="{00000000-0005-0000-0000-000099560000}"/>
    <cellStyle name="40% - Accent1 5 3 2 3 2 4" xfId="28311" xr:uid="{00000000-0005-0000-0000-00009A560000}"/>
    <cellStyle name="40% - Accent1 5 3 2 3 3" xfId="8526" xr:uid="{00000000-0005-0000-0000-00009B560000}"/>
    <cellStyle name="40% - Accent1 5 3 2 3 3 2" xfId="19827" xr:uid="{00000000-0005-0000-0000-00009C560000}"/>
    <cellStyle name="40% - Accent1 5 3 2 3 3 2 2" xfId="42429" xr:uid="{00000000-0005-0000-0000-00009D560000}"/>
    <cellStyle name="40% - Accent1 5 3 2 3 3 3" xfId="31128" xr:uid="{00000000-0005-0000-0000-00009E560000}"/>
    <cellStyle name="40% - Accent1 5 3 2 3 4" xfId="14177" xr:uid="{00000000-0005-0000-0000-00009F560000}"/>
    <cellStyle name="40% - Accent1 5 3 2 3 4 2" xfId="36779" xr:uid="{00000000-0005-0000-0000-0000A0560000}"/>
    <cellStyle name="40% - Accent1 5 3 2 3 5" xfId="25478" xr:uid="{00000000-0005-0000-0000-0000A1560000}"/>
    <cellStyle name="40% - Accent1 5 3 2 4" xfId="4475" xr:uid="{00000000-0005-0000-0000-0000A2560000}"/>
    <cellStyle name="40% - Accent1 5 3 2 4 2" xfId="10125" xr:uid="{00000000-0005-0000-0000-0000A3560000}"/>
    <cellStyle name="40% - Accent1 5 3 2 4 2 2" xfId="21426" xr:uid="{00000000-0005-0000-0000-0000A4560000}"/>
    <cellStyle name="40% - Accent1 5 3 2 4 2 2 2" xfId="44028" xr:uid="{00000000-0005-0000-0000-0000A5560000}"/>
    <cellStyle name="40% - Accent1 5 3 2 4 2 3" xfId="32727" xr:uid="{00000000-0005-0000-0000-0000A6560000}"/>
    <cellStyle name="40% - Accent1 5 3 2 4 3" xfId="15776" xr:uid="{00000000-0005-0000-0000-0000A7560000}"/>
    <cellStyle name="40% - Accent1 5 3 2 4 3 2" xfId="38378" xr:uid="{00000000-0005-0000-0000-0000A8560000}"/>
    <cellStyle name="40% - Accent1 5 3 2 4 4" xfId="27077" xr:uid="{00000000-0005-0000-0000-0000A9560000}"/>
    <cellStyle name="40% - Accent1 5 3 2 5" xfId="7271" xr:uid="{00000000-0005-0000-0000-0000AA560000}"/>
    <cellStyle name="40% - Accent1 5 3 2 5 2" xfId="18572" xr:uid="{00000000-0005-0000-0000-0000AB560000}"/>
    <cellStyle name="40% - Accent1 5 3 2 5 2 2" xfId="41174" xr:uid="{00000000-0005-0000-0000-0000AC560000}"/>
    <cellStyle name="40% - Accent1 5 3 2 5 3" xfId="29873" xr:uid="{00000000-0005-0000-0000-0000AD560000}"/>
    <cellStyle name="40% - Accent1 5 3 2 6" xfId="12922" xr:uid="{00000000-0005-0000-0000-0000AE560000}"/>
    <cellStyle name="40% - Accent1 5 3 2 6 2" xfId="35524" xr:uid="{00000000-0005-0000-0000-0000AF560000}"/>
    <cellStyle name="40% - Accent1 5 3 2 7" xfId="24223" xr:uid="{00000000-0005-0000-0000-0000B0560000}"/>
    <cellStyle name="40% - Accent1 5 3 3" xfId="990" xr:uid="{00000000-0005-0000-0000-0000B1560000}"/>
    <cellStyle name="40% - Accent1 5 3 3 2" xfId="3053" xr:uid="{00000000-0005-0000-0000-0000B2560000}"/>
    <cellStyle name="40% - Accent1 5 3 3 2 2" xfId="6025" xr:uid="{00000000-0005-0000-0000-0000B3560000}"/>
    <cellStyle name="40% - Accent1 5 3 3 2 2 2" xfId="11675" xr:uid="{00000000-0005-0000-0000-0000B4560000}"/>
    <cellStyle name="40% - Accent1 5 3 3 2 2 2 2" xfId="22976" xr:uid="{00000000-0005-0000-0000-0000B5560000}"/>
    <cellStyle name="40% - Accent1 5 3 3 2 2 2 2 2" xfId="45578" xr:uid="{00000000-0005-0000-0000-0000B6560000}"/>
    <cellStyle name="40% - Accent1 5 3 3 2 2 2 3" xfId="34277" xr:uid="{00000000-0005-0000-0000-0000B7560000}"/>
    <cellStyle name="40% - Accent1 5 3 3 2 2 3" xfId="17326" xr:uid="{00000000-0005-0000-0000-0000B8560000}"/>
    <cellStyle name="40% - Accent1 5 3 3 2 2 3 2" xfId="39928" xr:uid="{00000000-0005-0000-0000-0000B9560000}"/>
    <cellStyle name="40% - Accent1 5 3 3 2 2 4" xfId="28627" xr:uid="{00000000-0005-0000-0000-0000BA560000}"/>
    <cellStyle name="40% - Accent1 5 3 3 2 3" xfId="8843" xr:uid="{00000000-0005-0000-0000-0000BB560000}"/>
    <cellStyle name="40% - Accent1 5 3 3 2 3 2" xfId="20144" xr:uid="{00000000-0005-0000-0000-0000BC560000}"/>
    <cellStyle name="40% - Accent1 5 3 3 2 3 2 2" xfId="42746" xr:uid="{00000000-0005-0000-0000-0000BD560000}"/>
    <cellStyle name="40% - Accent1 5 3 3 2 3 3" xfId="31445" xr:uid="{00000000-0005-0000-0000-0000BE560000}"/>
    <cellStyle name="40% - Accent1 5 3 3 2 4" xfId="14494" xr:uid="{00000000-0005-0000-0000-0000BF560000}"/>
    <cellStyle name="40% - Accent1 5 3 3 2 4 2" xfId="37096" xr:uid="{00000000-0005-0000-0000-0000C0560000}"/>
    <cellStyle name="40% - Accent1 5 3 3 2 5" xfId="25795" xr:uid="{00000000-0005-0000-0000-0000C1560000}"/>
    <cellStyle name="40% - Accent1 5 3 3 3" xfId="4791" xr:uid="{00000000-0005-0000-0000-0000C2560000}"/>
    <cellStyle name="40% - Accent1 5 3 3 3 2" xfId="10441" xr:uid="{00000000-0005-0000-0000-0000C3560000}"/>
    <cellStyle name="40% - Accent1 5 3 3 3 2 2" xfId="21742" xr:uid="{00000000-0005-0000-0000-0000C4560000}"/>
    <cellStyle name="40% - Accent1 5 3 3 3 2 2 2" xfId="44344" xr:uid="{00000000-0005-0000-0000-0000C5560000}"/>
    <cellStyle name="40% - Accent1 5 3 3 3 2 3" xfId="33043" xr:uid="{00000000-0005-0000-0000-0000C6560000}"/>
    <cellStyle name="40% - Accent1 5 3 3 3 3" xfId="16092" xr:uid="{00000000-0005-0000-0000-0000C7560000}"/>
    <cellStyle name="40% - Accent1 5 3 3 3 3 2" xfId="38694" xr:uid="{00000000-0005-0000-0000-0000C8560000}"/>
    <cellStyle name="40% - Accent1 5 3 3 3 4" xfId="27393" xr:uid="{00000000-0005-0000-0000-0000C9560000}"/>
    <cellStyle name="40% - Accent1 5 3 3 4" xfId="6978" xr:uid="{00000000-0005-0000-0000-0000CA560000}"/>
    <cellStyle name="40% - Accent1 5 3 3 4 2" xfId="18279" xr:uid="{00000000-0005-0000-0000-0000CB560000}"/>
    <cellStyle name="40% - Accent1 5 3 3 4 2 2" xfId="40881" xr:uid="{00000000-0005-0000-0000-0000CC560000}"/>
    <cellStyle name="40% - Accent1 5 3 3 4 3" xfId="29580" xr:uid="{00000000-0005-0000-0000-0000CD560000}"/>
    <cellStyle name="40% - Accent1 5 3 3 5" xfId="12629" xr:uid="{00000000-0005-0000-0000-0000CE560000}"/>
    <cellStyle name="40% - Accent1 5 3 3 5 2" xfId="35231" xr:uid="{00000000-0005-0000-0000-0000CF560000}"/>
    <cellStyle name="40% - Accent1 5 3 3 6" xfId="23930" xr:uid="{00000000-0005-0000-0000-0000D0560000}"/>
    <cellStyle name="40% - Accent1 5 3 4" xfId="1842" xr:uid="{00000000-0005-0000-0000-0000D1560000}"/>
    <cellStyle name="40% - Accent1 5 3 4 2" xfId="3720" xr:uid="{00000000-0005-0000-0000-0000D2560000}"/>
    <cellStyle name="40% - Accent1 5 3 4 2 2" xfId="9430" xr:uid="{00000000-0005-0000-0000-0000D3560000}"/>
    <cellStyle name="40% - Accent1 5 3 4 2 2 2" xfId="20731" xr:uid="{00000000-0005-0000-0000-0000D4560000}"/>
    <cellStyle name="40% - Accent1 5 3 4 2 2 2 2" xfId="43333" xr:uid="{00000000-0005-0000-0000-0000D5560000}"/>
    <cellStyle name="40% - Accent1 5 3 4 2 2 3" xfId="32032" xr:uid="{00000000-0005-0000-0000-0000D6560000}"/>
    <cellStyle name="40% - Accent1 5 3 4 2 3" xfId="15081" xr:uid="{00000000-0005-0000-0000-0000D7560000}"/>
    <cellStyle name="40% - Accent1 5 3 4 2 3 2" xfId="37683" xr:uid="{00000000-0005-0000-0000-0000D8560000}"/>
    <cellStyle name="40% - Accent1 5 3 4 2 4" xfId="26382" xr:uid="{00000000-0005-0000-0000-0000D9560000}"/>
    <cellStyle name="40% - Accent1 5 3 4 3" xfId="5401" xr:uid="{00000000-0005-0000-0000-0000DA560000}"/>
    <cellStyle name="40% - Accent1 5 3 4 3 2" xfId="11051" xr:uid="{00000000-0005-0000-0000-0000DB560000}"/>
    <cellStyle name="40% - Accent1 5 3 4 3 2 2" xfId="22352" xr:uid="{00000000-0005-0000-0000-0000DC560000}"/>
    <cellStyle name="40% - Accent1 5 3 4 3 2 2 2" xfId="44954" xr:uid="{00000000-0005-0000-0000-0000DD560000}"/>
    <cellStyle name="40% - Accent1 5 3 4 3 2 3" xfId="33653" xr:uid="{00000000-0005-0000-0000-0000DE560000}"/>
    <cellStyle name="40% - Accent1 5 3 4 3 3" xfId="16702" xr:uid="{00000000-0005-0000-0000-0000DF560000}"/>
    <cellStyle name="40% - Accent1 5 3 4 3 3 2" xfId="39304" xr:uid="{00000000-0005-0000-0000-0000E0560000}"/>
    <cellStyle name="40% - Accent1 5 3 4 3 4" xfId="28003" xr:uid="{00000000-0005-0000-0000-0000E1560000}"/>
    <cellStyle name="40% - Accent1 5 3 4 4" xfId="7698" xr:uid="{00000000-0005-0000-0000-0000E2560000}"/>
    <cellStyle name="40% - Accent1 5 3 4 4 2" xfId="18999" xr:uid="{00000000-0005-0000-0000-0000E3560000}"/>
    <cellStyle name="40% - Accent1 5 3 4 4 2 2" xfId="41601" xr:uid="{00000000-0005-0000-0000-0000E4560000}"/>
    <cellStyle name="40% - Accent1 5 3 4 4 3" xfId="30300" xr:uid="{00000000-0005-0000-0000-0000E5560000}"/>
    <cellStyle name="40% - Accent1 5 3 4 5" xfId="13349" xr:uid="{00000000-0005-0000-0000-0000E6560000}"/>
    <cellStyle name="40% - Accent1 5 3 4 5 2" xfId="35951" xr:uid="{00000000-0005-0000-0000-0000E7560000}"/>
    <cellStyle name="40% - Accent1 5 3 4 6" xfId="24650" xr:uid="{00000000-0005-0000-0000-0000E8560000}"/>
    <cellStyle name="40% - Accent1 5 3 5" xfId="2382" xr:uid="{00000000-0005-0000-0000-0000E9560000}"/>
    <cellStyle name="40% - Accent1 5 3 5 2" xfId="8218" xr:uid="{00000000-0005-0000-0000-0000EA560000}"/>
    <cellStyle name="40% - Accent1 5 3 5 2 2" xfId="19519" xr:uid="{00000000-0005-0000-0000-0000EB560000}"/>
    <cellStyle name="40% - Accent1 5 3 5 2 2 2" xfId="42121" xr:uid="{00000000-0005-0000-0000-0000EC560000}"/>
    <cellStyle name="40% - Accent1 5 3 5 2 3" xfId="30820" xr:uid="{00000000-0005-0000-0000-0000ED560000}"/>
    <cellStyle name="40% - Accent1 5 3 5 3" xfId="13869" xr:uid="{00000000-0005-0000-0000-0000EE560000}"/>
    <cellStyle name="40% - Accent1 5 3 5 3 2" xfId="36471" xr:uid="{00000000-0005-0000-0000-0000EF560000}"/>
    <cellStyle name="40% - Accent1 5 3 5 4" xfId="25170" xr:uid="{00000000-0005-0000-0000-0000F0560000}"/>
    <cellStyle name="40% - Accent1 5 3 6" xfId="4167" xr:uid="{00000000-0005-0000-0000-0000F1560000}"/>
    <cellStyle name="40% - Accent1 5 3 6 2" xfId="9817" xr:uid="{00000000-0005-0000-0000-0000F2560000}"/>
    <cellStyle name="40% - Accent1 5 3 6 2 2" xfId="21118" xr:uid="{00000000-0005-0000-0000-0000F3560000}"/>
    <cellStyle name="40% - Accent1 5 3 6 2 2 2" xfId="43720" xr:uid="{00000000-0005-0000-0000-0000F4560000}"/>
    <cellStyle name="40% - Accent1 5 3 6 2 3" xfId="32419" xr:uid="{00000000-0005-0000-0000-0000F5560000}"/>
    <cellStyle name="40% - Accent1 5 3 6 3" xfId="15468" xr:uid="{00000000-0005-0000-0000-0000F6560000}"/>
    <cellStyle name="40% - Accent1 5 3 6 3 2" xfId="38070" xr:uid="{00000000-0005-0000-0000-0000F7560000}"/>
    <cellStyle name="40% - Accent1 5 3 6 4" xfId="26769" xr:uid="{00000000-0005-0000-0000-0000F8560000}"/>
    <cellStyle name="40% - Accent1 5 3 7" xfId="6645" xr:uid="{00000000-0005-0000-0000-0000F9560000}"/>
    <cellStyle name="40% - Accent1 5 3 7 2" xfId="17946" xr:uid="{00000000-0005-0000-0000-0000FA560000}"/>
    <cellStyle name="40% - Accent1 5 3 7 2 2" xfId="40548" xr:uid="{00000000-0005-0000-0000-0000FB560000}"/>
    <cellStyle name="40% - Accent1 5 3 7 3" xfId="29247" xr:uid="{00000000-0005-0000-0000-0000FC560000}"/>
    <cellStyle name="40% - Accent1 5 3 8" xfId="12296" xr:uid="{00000000-0005-0000-0000-0000FD560000}"/>
    <cellStyle name="40% - Accent1 5 3 8 2" xfId="34898" xr:uid="{00000000-0005-0000-0000-0000FE560000}"/>
    <cellStyle name="40% - Accent1 5 3 9" xfId="23597" xr:uid="{00000000-0005-0000-0000-0000FF560000}"/>
    <cellStyle name="40% - Accent1 5 4" xfId="1152" xr:uid="{00000000-0005-0000-0000-000000570000}"/>
    <cellStyle name="40% - Accent1 5 4 2" xfId="1844" xr:uid="{00000000-0005-0000-0000-000001570000}"/>
    <cellStyle name="40% - Accent1 5 4 2 2" xfId="3220" xr:uid="{00000000-0005-0000-0000-000002570000}"/>
    <cellStyle name="40% - Accent1 5 4 2 2 2" xfId="6192" xr:uid="{00000000-0005-0000-0000-000003570000}"/>
    <cellStyle name="40% - Accent1 5 4 2 2 2 2" xfId="11842" xr:uid="{00000000-0005-0000-0000-000004570000}"/>
    <cellStyle name="40% - Accent1 5 4 2 2 2 2 2" xfId="23143" xr:uid="{00000000-0005-0000-0000-000005570000}"/>
    <cellStyle name="40% - Accent1 5 4 2 2 2 2 2 2" xfId="45745" xr:uid="{00000000-0005-0000-0000-000006570000}"/>
    <cellStyle name="40% - Accent1 5 4 2 2 2 2 3" xfId="34444" xr:uid="{00000000-0005-0000-0000-000007570000}"/>
    <cellStyle name="40% - Accent1 5 4 2 2 2 3" xfId="17493" xr:uid="{00000000-0005-0000-0000-000008570000}"/>
    <cellStyle name="40% - Accent1 5 4 2 2 2 3 2" xfId="40095" xr:uid="{00000000-0005-0000-0000-000009570000}"/>
    <cellStyle name="40% - Accent1 5 4 2 2 2 4" xfId="28794" xr:uid="{00000000-0005-0000-0000-00000A570000}"/>
    <cellStyle name="40% - Accent1 5 4 2 2 3" xfId="9010" xr:uid="{00000000-0005-0000-0000-00000B570000}"/>
    <cellStyle name="40% - Accent1 5 4 2 2 3 2" xfId="20311" xr:uid="{00000000-0005-0000-0000-00000C570000}"/>
    <cellStyle name="40% - Accent1 5 4 2 2 3 2 2" xfId="42913" xr:uid="{00000000-0005-0000-0000-00000D570000}"/>
    <cellStyle name="40% - Accent1 5 4 2 2 3 3" xfId="31612" xr:uid="{00000000-0005-0000-0000-00000E570000}"/>
    <cellStyle name="40% - Accent1 5 4 2 2 4" xfId="14661" xr:uid="{00000000-0005-0000-0000-00000F570000}"/>
    <cellStyle name="40% - Accent1 5 4 2 2 4 2" xfId="37263" xr:uid="{00000000-0005-0000-0000-000010570000}"/>
    <cellStyle name="40% - Accent1 5 4 2 2 5" xfId="25962" xr:uid="{00000000-0005-0000-0000-000011570000}"/>
    <cellStyle name="40% - Accent1 5 4 2 3" xfId="4958" xr:uid="{00000000-0005-0000-0000-000012570000}"/>
    <cellStyle name="40% - Accent1 5 4 2 3 2" xfId="10608" xr:uid="{00000000-0005-0000-0000-000013570000}"/>
    <cellStyle name="40% - Accent1 5 4 2 3 2 2" xfId="21909" xr:uid="{00000000-0005-0000-0000-000014570000}"/>
    <cellStyle name="40% - Accent1 5 4 2 3 2 2 2" xfId="44511" xr:uid="{00000000-0005-0000-0000-000015570000}"/>
    <cellStyle name="40% - Accent1 5 4 2 3 2 3" xfId="33210" xr:uid="{00000000-0005-0000-0000-000016570000}"/>
    <cellStyle name="40% - Accent1 5 4 2 3 3" xfId="16259" xr:uid="{00000000-0005-0000-0000-000017570000}"/>
    <cellStyle name="40% - Accent1 5 4 2 3 3 2" xfId="38861" xr:uid="{00000000-0005-0000-0000-000018570000}"/>
    <cellStyle name="40% - Accent1 5 4 2 3 4" xfId="27560" xr:uid="{00000000-0005-0000-0000-000019570000}"/>
    <cellStyle name="40% - Accent1 5 4 2 4" xfId="7700" xr:uid="{00000000-0005-0000-0000-00001A570000}"/>
    <cellStyle name="40% - Accent1 5 4 2 4 2" xfId="19001" xr:uid="{00000000-0005-0000-0000-00001B570000}"/>
    <cellStyle name="40% - Accent1 5 4 2 4 2 2" xfId="41603" xr:uid="{00000000-0005-0000-0000-00001C570000}"/>
    <cellStyle name="40% - Accent1 5 4 2 4 3" xfId="30302" xr:uid="{00000000-0005-0000-0000-00001D570000}"/>
    <cellStyle name="40% - Accent1 5 4 2 5" xfId="13351" xr:uid="{00000000-0005-0000-0000-00001E570000}"/>
    <cellStyle name="40% - Accent1 5 4 2 5 2" xfId="35953" xr:uid="{00000000-0005-0000-0000-00001F570000}"/>
    <cellStyle name="40% - Accent1 5 4 2 6" xfId="24652" xr:uid="{00000000-0005-0000-0000-000020570000}"/>
    <cellStyle name="40% - Accent1 5 4 3" xfId="2549" xr:uid="{00000000-0005-0000-0000-000021570000}"/>
    <cellStyle name="40% - Accent1 5 4 3 2" xfId="5568" xr:uid="{00000000-0005-0000-0000-000022570000}"/>
    <cellStyle name="40% - Accent1 5 4 3 2 2" xfId="11218" xr:uid="{00000000-0005-0000-0000-000023570000}"/>
    <cellStyle name="40% - Accent1 5 4 3 2 2 2" xfId="22519" xr:uid="{00000000-0005-0000-0000-000024570000}"/>
    <cellStyle name="40% - Accent1 5 4 3 2 2 2 2" xfId="45121" xr:uid="{00000000-0005-0000-0000-000025570000}"/>
    <cellStyle name="40% - Accent1 5 4 3 2 2 3" xfId="33820" xr:uid="{00000000-0005-0000-0000-000026570000}"/>
    <cellStyle name="40% - Accent1 5 4 3 2 3" xfId="16869" xr:uid="{00000000-0005-0000-0000-000027570000}"/>
    <cellStyle name="40% - Accent1 5 4 3 2 3 2" xfId="39471" xr:uid="{00000000-0005-0000-0000-000028570000}"/>
    <cellStyle name="40% - Accent1 5 4 3 2 4" xfId="28170" xr:uid="{00000000-0005-0000-0000-000029570000}"/>
    <cellStyle name="40% - Accent1 5 4 3 3" xfId="8385" xr:uid="{00000000-0005-0000-0000-00002A570000}"/>
    <cellStyle name="40% - Accent1 5 4 3 3 2" xfId="19686" xr:uid="{00000000-0005-0000-0000-00002B570000}"/>
    <cellStyle name="40% - Accent1 5 4 3 3 2 2" xfId="42288" xr:uid="{00000000-0005-0000-0000-00002C570000}"/>
    <cellStyle name="40% - Accent1 5 4 3 3 3" xfId="30987" xr:uid="{00000000-0005-0000-0000-00002D570000}"/>
    <cellStyle name="40% - Accent1 5 4 3 4" xfId="14036" xr:uid="{00000000-0005-0000-0000-00002E570000}"/>
    <cellStyle name="40% - Accent1 5 4 3 4 2" xfId="36638" xr:uid="{00000000-0005-0000-0000-00002F570000}"/>
    <cellStyle name="40% - Accent1 5 4 3 5" xfId="25337" xr:uid="{00000000-0005-0000-0000-000030570000}"/>
    <cellStyle name="40% - Accent1 5 4 4" xfId="4334" xr:uid="{00000000-0005-0000-0000-000031570000}"/>
    <cellStyle name="40% - Accent1 5 4 4 2" xfId="9984" xr:uid="{00000000-0005-0000-0000-000032570000}"/>
    <cellStyle name="40% - Accent1 5 4 4 2 2" xfId="21285" xr:uid="{00000000-0005-0000-0000-000033570000}"/>
    <cellStyle name="40% - Accent1 5 4 4 2 2 2" xfId="43887" xr:uid="{00000000-0005-0000-0000-000034570000}"/>
    <cellStyle name="40% - Accent1 5 4 4 2 3" xfId="32586" xr:uid="{00000000-0005-0000-0000-000035570000}"/>
    <cellStyle name="40% - Accent1 5 4 4 3" xfId="15635" xr:uid="{00000000-0005-0000-0000-000036570000}"/>
    <cellStyle name="40% - Accent1 5 4 4 3 2" xfId="38237" xr:uid="{00000000-0005-0000-0000-000037570000}"/>
    <cellStyle name="40% - Accent1 5 4 4 4" xfId="26936" xr:uid="{00000000-0005-0000-0000-000038570000}"/>
    <cellStyle name="40% - Accent1 5 4 5" xfId="7131" xr:uid="{00000000-0005-0000-0000-000039570000}"/>
    <cellStyle name="40% - Accent1 5 4 5 2" xfId="18432" xr:uid="{00000000-0005-0000-0000-00003A570000}"/>
    <cellStyle name="40% - Accent1 5 4 5 2 2" xfId="41034" xr:uid="{00000000-0005-0000-0000-00003B570000}"/>
    <cellStyle name="40% - Accent1 5 4 5 3" xfId="29733" xr:uid="{00000000-0005-0000-0000-00003C570000}"/>
    <cellStyle name="40% - Accent1 5 4 6" xfId="12782" xr:uid="{00000000-0005-0000-0000-00003D570000}"/>
    <cellStyle name="40% - Accent1 5 4 6 2" xfId="35384" xr:uid="{00000000-0005-0000-0000-00003E570000}"/>
    <cellStyle name="40% - Accent1 5 4 7" xfId="24083" xr:uid="{00000000-0005-0000-0000-00003F570000}"/>
    <cellStyle name="40% - Accent1 5 5" xfId="831" xr:uid="{00000000-0005-0000-0000-000040570000}"/>
    <cellStyle name="40% - Accent1 5 5 2" xfId="2913" xr:uid="{00000000-0005-0000-0000-000041570000}"/>
    <cellStyle name="40% - Accent1 5 5 2 2" xfId="5885" xr:uid="{00000000-0005-0000-0000-000042570000}"/>
    <cellStyle name="40% - Accent1 5 5 2 2 2" xfId="11535" xr:uid="{00000000-0005-0000-0000-000043570000}"/>
    <cellStyle name="40% - Accent1 5 5 2 2 2 2" xfId="22836" xr:uid="{00000000-0005-0000-0000-000044570000}"/>
    <cellStyle name="40% - Accent1 5 5 2 2 2 2 2" xfId="45438" xr:uid="{00000000-0005-0000-0000-000045570000}"/>
    <cellStyle name="40% - Accent1 5 5 2 2 2 3" xfId="34137" xr:uid="{00000000-0005-0000-0000-000046570000}"/>
    <cellStyle name="40% - Accent1 5 5 2 2 3" xfId="17186" xr:uid="{00000000-0005-0000-0000-000047570000}"/>
    <cellStyle name="40% - Accent1 5 5 2 2 3 2" xfId="39788" xr:uid="{00000000-0005-0000-0000-000048570000}"/>
    <cellStyle name="40% - Accent1 5 5 2 2 4" xfId="28487" xr:uid="{00000000-0005-0000-0000-000049570000}"/>
    <cellStyle name="40% - Accent1 5 5 2 3" xfId="8703" xr:uid="{00000000-0005-0000-0000-00004A570000}"/>
    <cellStyle name="40% - Accent1 5 5 2 3 2" xfId="20004" xr:uid="{00000000-0005-0000-0000-00004B570000}"/>
    <cellStyle name="40% - Accent1 5 5 2 3 2 2" xfId="42606" xr:uid="{00000000-0005-0000-0000-00004C570000}"/>
    <cellStyle name="40% - Accent1 5 5 2 3 3" xfId="31305" xr:uid="{00000000-0005-0000-0000-00004D570000}"/>
    <cellStyle name="40% - Accent1 5 5 2 4" xfId="14354" xr:uid="{00000000-0005-0000-0000-00004E570000}"/>
    <cellStyle name="40% - Accent1 5 5 2 4 2" xfId="36956" xr:uid="{00000000-0005-0000-0000-00004F570000}"/>
    <cellStyle name="40% - Accent1 5 5 2 5" xfId="25655" xr:uid="{00000000-0005-0000-0000-000050570000}"/>
    <cellStyle name="40% - Accent1 5 5 3" xfId="4651" xr:uid="{00000000-0005-0000-0000-000051570000}"/>
    <cellStyle name="40% - Accent1 5 5 3 2" xfId="10301" xr:uid="{00000000-0005-0000-0000-000052570000}"/>
    <cellStyle name="40% - Accent1 5 5 3 2 2" xfId="21602" xr:uid="{00000000-0005-0000-0000-000053570000}"/>
    <cellStyle name="40% - Accent1 5 5 3 2 2 2" xfId="44204" xr:uid="{00000000-0005-0000-0000-000054570000}"/>
    <cellStyle name="40% - Accent1 5 5 3 2 3" xfId="32903" xr:uid="{00000000-0005-0000-0000-000055570000}"/>
    <cellStyle name="40% - Accent1 5 5 3 3" xfId="15952" xr:uid="{00000000-0005-0000-0000-000056570000}"/>
    <cellStyle name="40% - Accent1 5 5 3 3 2" xfId="38554" xr:uid="{00000000-0005-0000-0000-000057570000}"/>
    <cellStyle name="40% - Accent1 5 5 3 4" xfId="27253" xr:uid="{00000000-0005-0000-0000-000058570000}"/>
    <cellStyle name="40% - Accent1 5 5 4" xfId="6836" xr:uid="{00000000-0005-0000-0000-000059570000}"/>
    <cellStyle name="40% - Accent1 5 5 4 2" xfId="18137" xr:uid="{00000000-0005-0000-0000-00005A570000}"/>
    <cellStyle name="40% - Accent1 5 5 4 2 2" xfId="40739" xr:uid="{00000000-0005-0000-0000-00005B570000}"/>
    <cellStyle name="40% - Accent1 5 5 4 3" xfId="29438" xr:uid="{00000000-0005-0000-0000-00005C570000}"/>
    <cellStyle name="40% - Accent1 5 5 5" xfId="12487" xr:uid="{00000000-0005-0000-0000-00005D570000}"/>
    <cellStyle name="40% - Accent1 5 5 5 2" xfId="35089" xr:uid="{00000000-0005-0000-0000-00005E570000}"/>
    <cellStyle name="40% - Accent1 5 5 6" xfId="23788" xr:uid="{00000000-0005-0000-0000-00005F570000}"/>
    <cellStyle name="40% - Accent1 5 6" xfId="1837" xr:uid="{00000000-0005-0000-0000-000060570000}"/>
    <cellStyle name="40% - Accent1 5 6 2" xfId="3717" xr:uid="{00000000-0005-0000-0000-000061570000}"/>
    <cellStyle name="40% - Accent1 5 6 2 2" xfId="9427" xr:uid="{00000000-0005-0000-0000-000062570000}"/>
    <cellStyle name="40% - Accent1 5 6 2 2 2" xfId="20728" xr:uid="{00000000-0005-0000-0000-000063570000}"/>
    <cellStyle name="40% - Accent1 5 6 2 2 2 2" xfId="43330" xr:uid="{00000000-0005-0000-0000-000064570000}"/>
    <cellStyle name="40% - Accent1 5 6 2 2 3" xfId="32029" xr:uid="{00000000-0005-0000-0000-000065570000}"/>
    <cellStyle name="40% - Accent1 5 6 2 3" xfId="15078" xr:uid="{00000000-0005-0000-0000-000066570000}"/>
    <cellStyle name="40% - Accent1 5 6 2 3 2" xfId="37680" xr:uid="{00000000-0005-0000-0000-000067570000}"/>
    <cellStyle name="40% - Accent1 5 6 2 4" xfId="26379" xr:uid="{00000000-0005-0000-0000-000068570000}"/>
    <cellStyle name="40% - Accent1 5 6 3" xfId="5261" xr:uid="{00000000-0005-0000-0000-000069570000}"/>
    <cellStyle name="40% - Accent1 5 6 3 2" xfId="10911" xr:uid="{00000000-0005-0000-0000-00006A570000}"/>
    <cellStyle name="40% - Accent1 5 6 3 2 2" xfId="22212" xr:uid="{00000000-0005-0000-0000-00006B570000}"/>
    <cellStyle name="40% - Accent1 5 6 3 2 2 2" xfId="44814" xr:uid="{00000000-0005-0000-0000-00006C570000}"/>
    <cellStyle name="40% - Accent1 5 6 3 2 3" xfId="33513" xr:uid="{00000000-0005-0000-0000-00006D570000}"/>
    <cellStyle name="40% - Accent1 5 6 3 3" xfId="16562" xr:uid="{00000000-0005-0000-0000-00006E570000}"/>
    <cellStyle name="40% - Accent1 5 6 3 3 2" xfId="39164" xr:uid="{00000000-0005-0000-0000-00006F570000}"/>
    <cellStyle name="40% - Accent1 5 6 3 4" xfId="27863" xr:uid="{00000000-0005-0000-0000-000070570000}"/>
    <cellStyle name="40% - Accent1 5 6 4" xfId="7693" xr:uid="{00000000-0005-0000-0000-000071570000}"/>
    <cellStyle name="40% - Accent1 5 6 4 2" xfId="18994" xr:uid="{00000000-0005-0000-0000-000072570000}"/>
    <cellStyle name="40% - Accent1 5 6 4 2 2" xfId="41596" xr:uid="{00000000-0005-0000-0000-000073570000}"/>
    <cellStyle name="40% - Accent1 5 6 4 3" xfId="30295" xr:uid="{00000000-0005-0000-0000-000074570000}"/>
    <cellStyle name="40% - Accent1 5 6 5" xfId="13344" xr:uid="{00000000-0005-0000-0000-000075570000}"/>
    <cellStyle name="40% - Accent1 5 6 5 2" xfId="35946" xr:uid="{00000000-0005-0000-0000-000076570000}"/>
    <cellStyle name="40% - Accent1 5 6 6" xfId="24645" xr:uid="{00000000-0005-0000-0000-000077570000}"/>
    <cellStyle name="40% - Accent1 5 7" xfId="2234" xr:uid="{00000000-0005-0000-0000-000078570000}"/>
    <cellStyle name="40% - Accent1 5 7 2" xfId="8075" xr:uid="{00000000-0005-0000-0000-000079570000}"/>
    <cellStyle name="40% - Accent1 5 7 2 2" xfId="19376" xr:uid="{00000000-0005-0000-0000-00007A570000}"/>
    <cellStyle name="40% - Accent1 5 7 2 2 2" xfId="41978" xr:uid="{00000000-0005-0000-0000-00007B570000}"/>
    <cellStyle name="40% - Accent1 5 7 2 3" xfId="30677" xr:uid="{00000000-0005-0000-0000-00007C570000}"/>
    <cellStyle name="40% - Accent1 5 7 3" xfId="13726" xr:uid="{00000000-0005-0000-0000-00007D570000}"/>
    <cellStyle name="40% - Accent1 5 7 3 2" xfId="36328" xr:uid="{00000000-0005-0000-0000-00007E570000}"/>
    <cellStyle name="40% - Accent1 5 7 4" xfId="25027" xr:uid="{00000000-0005-0000-0000-00007F570000}"/>
    <cellStyle name="40% - Accent1 5 8" xfId="4027" xr:uid="{00000000-0005-0000-0000-000080570000}"/>
    <cellStyle name="40% - Accent1 5 8 2" xfId="9677" xr:uid="{00000000-0005-0000-0000-000081570000}"/>
    <cellStyle name="40% - Accent1 5 8 2 2" xfId="20978" xr:uid="{00000000-0005-0000-0000-000082570000}"/>
    <cellStyle name="40% - Accent1 5 8 2 2 2" xfId="43580" xr:uid="{00000000-0005-0000-0000-000083570000}"/>
    <cellStyle name="40% - Accent1 5 8 2 3" xfId="32279" xr:uid="{00000000-0005-0000-0000-000084570000}"/>
    <cellStyle name="40% - Accent1 5 8 3" xfId="15328" xr:uid="{00000000-0005-0000-0000-000085570000}"/>
    <cellStyle name="40% - Accent1 5 8 3 2" xfId="37930" xr:uid="{00000000-0005-0000-0000-000086570000}"/>
    <cellStyle name="40% - Accent1 5 8 4" xfId="26629" xr:uid="{00000000-0005-0000-0000-000087570000}"/>
    <cellStyle name="40% - Accent1 5 9" xfId="6478" xr:uid="{00000000-0005-0000-0000-000088570000}"/>
    <cellStyle name="40% - Accent1 5 9 2" xfId="17779" xr:uid="{00000000-0005-0000-0000-000089570000}"/>
    <cellStyle name="40% - Accent1 5 9 2 2" xfId="40381" xr:uid="{00000000-0005-0000-0000-00008A570000}"/>
    <cellStyle name="40% - Accent1 5 9 3" xfId="29080" xr:uid="{00000000-0005-0000-0000-00008B570000}"/>
    <cellStyle name="40% - Accent1 6" xfId="291" xr:uid="{00000000-0005-0000-0000-00008C570000}"/>
    <cellStyle name="40% - Accent1 7" xfId="389" xr:uid="{00000000-0005-0000-0000-00008D570000}"/>
    <cellStyle name="40% - Accent1 7 10" xfId="23484" xr:uid="{00000000-0005-0000-0000-00008E570000}"/>
    <cellStyle name="40% - Accent1 7 2" xfId="634" xr:uid="{00000000-0005-0000-0000-00008F570000}"/>
    <cellStyle name="40% - Accent1 7 2 2" xfId="1344" xr:uid="{00000000-0005-0000-0000-000090570000}"/>
    <cellStyle name="40% - Accent1 7 2 2 2" xfId="1847" xr:uid="{00000000-0005-0000-0000-000091570000}"/>
    <cellStyle name="40% - Accent1 7 2 2 2 2" xfId="3413" xr:uid="{00000000-0005-0000-0000-000092570000}"/>
    <cellStyle name="40% - Accent1 7 2 2 2 2 2" xfId="6385" xr:uid="{00000000-0005-0000-0000-000093570000}"/>
    <cellStyle name="40% - Accent1 7 2 2 2 2 2 2" xfId="12035" xr:uid="{00000000-0005-0000-0000-000094570000}"/>
    <cellStyle name="40% - Accent1 7 2 2 2 2 2 2 2" xfId="23336" xr:uid="{00000000-0005-0000-0000-000095570000}"/>
    <cellStyle name="40% - Accent1 7 2 2 2 2 2 2 2 2" xfId="45938" xr:uid="{00000000-0005-0000-0000-000096570000}"/>
    <cellStyle name="40% - Accent1 7 2 2 2 2 2 2 3" xfId="34637" xr:uid="{00000000-0005-0000-0000-000097570000}"/>
    <cellStyle name="40% - Accent1 7 2 2 2 2 2 3" xfId="17686" xr:uid="{00000000-0005-0000-0000-000098570000}"/>
    <cellStyle name="40% - Accent1 7 2 2 2 2 2 3 2" xfId="40288" xr:uid="{00000000-0005-0000-0000-000099570000}"/>
    <cellStyle name="40% - Accent1 7 2 2 2 2 2 4" xfId="28987" xr:uid="{00000000-0005-0000-0000-00009A570000}"/>
    <cellStyle name="40% - Accent1 7 2 2 2 2 3" xfId="9203" xr:uid="{00000000-0005-0000-0000-00009B570000}"/>
    <cellStyle name="40% - Accent1 7 2 2 2 2 3 2" xfId="20504" xr:uid="{00000000-0005-0000-0000-00009C570000}"/>
    <cellStyle name="40% - Accent1 7 2 2 2 2 3 2 2" xfId="43106" xr:uid="{00000000-0005-0000-0000-00009D570000}"/>
    <cellStyle name="40% - Accent1 7 2 2 2 2 3 3" xfId="31805" xr:uid="{00000000-0005-0000-0000-00009E570000}"/>
    <cellStyle name="40% - Accent1 7 2 2 2 2 4" xfId="14854" xr:uid="{00000000-0005-0000-0000-00009F570000}"/>
    <cellStyle name="40% - Accent1 7 2 2 2 2 4 2" xfId="37456" xr:uid="{00000000-0005-0000-0000-0000A0570000}"/>
    <cellStyle name="40% - Accent1 7 2 2 2 2 5" xfId="26155" xr:uid="{00000000-0005-0000-0000-0000A1570000}"/>
    <cellStyle name="40% - Accent1 7 2 2 2 3" xfId="5151" xr:uid="{00000000-0005-0000-0000-0000A2570000}"/>
    <cellStyle name="40% - Accent1 7 2 2 2 3 2" xfId="10801" xr:uid="{00000000-0005-0000-0000-0000A3570000}"/>
    <cellStyle name="40% - Accent1 7 2 2 2 3 2 2" xfId="22102" xr:uid="{00000000-0005-0000-0000-0000A4570000}"/>
    <cellStyle name="40% - Accent1 7 2 2 2 3 2 2 2" xfId="44704" xr:uid="{00000000-0005-0000-0000-0000A5570000}"/>
    <cellStyle name="40% - Accent1 7 2 2 2 3 2 3" xfId="33403" xr:uid="{00000000-0005-0000-0000-0000A6570000}"/>
    <cellStyle name="40% - Accent1 7 2 2 2 3 3" xfId="16452" xr:uid="{00000000-0005-0000-0000-0000A7570000}"/>
    <cellStyle name="40% - Accent1 7 2 2 2 3 3 2" xfId="39054" xr:uid="{00000000-0005-0000-0000-0000A8570000}"/>
    <cellStyle name="40% - Accent1 7 2 2 2 3 4" xfId="27753" xr:uid="{00000000-0005-0000-0000-0000A9570000}"/>
    <cellStyle name="40% - Accent1 7 2 2 2 4" xfId="7703" xr:uid="{00000000-0005-0000-0000-0000AA570000}"/>
    <cellStyle name="40% - Accent1 7 2 2 2 4 2" xfId="19004" xr:uid="{00000000-0005-0000-0000-0000AB570000}"/>
    <cellStyle name="40% - Accent1 7 2 2 2 4 2 2" xfId="41606" xr:uid="{00000000-0005-0000-0000-0000AC570000}"/>
    <cellStyle name="40% - Accent1 7 2 2 2 4 3" xfId="30305" xr:uid="{00000000-0005-0000-0000-0000AD570000}"/>
    <cellStyle name="40% - Accent1 7 2 2 2 5" xfId="13354" xr:uid="{00000000-0005-0000-0000-0000AE570000}"/>
    <cellStyle name="40% - Accent1 7 2 2 2 5 2" xfId="35956" xr:uid="{00000000-0005-0000-0000-0000AF570000}"/>
    <cellStyle name="40% - Accent1 7 2 2 2 6" xfId="24655" xr:uid="{00000000-0005-0000-0000-0000B0570000}"/>
    <cellStyle name="40% - Accent1 7 2 2 3" xfId="2742" xr:uid="{00000000-0005-0000-0000-0000B1570000}"/>
    <cellStyle name="40% - Accent1 7 2 2 3 2" xfId="5761" xr:uid="{00000000-0005-0000-0000-0000B2570000}"/>
    <cellStyle name="40% - Accent1 7 2 2 3 2 2" xfId="11411" xr:uid="{00000000-0005-0000-0000-0000B3570000}"/>
    <cellStyle name="40% - Accent1 7 2 2 3 2 2 2" xfId="22712" xr:uid="{00000000-0005-0000-0000-0000B4570000}"/>
    <cellStyle name="40% - Accent1 7 2 2 3 2 2 2 2" xfId="45314" xr:uid="{00000000-0005-0000-0000-0000B5570000}"/>
    <cellStyle name="40% - Accent1 7 2 2 3 2 2 3" xfId="34013" xr:uid="{00000000-0005-0000-0000-0000B6570000}"/>
    <cellStyle name="40% - Accent1 7 2 2 3 2 3" xfId="17062" xr:uid="{00000000-0005-0000-0000-0000B7570000}"/>
    <cellStyle name="40% - Accent1 7 2 2 3 2 3 2" xfId="39664" xr:uid="{00000000-0005-0000-0000-0000B8570000}"/>
    <cellStyle name="40% - Accent1 7 2 2 3 2 4" xfId="28363" xr:uid="{00000000-0005-0000-0000-0000B9570000}"/>
    <cellStyle name="40% - Accent1 7 2 2 3 3" xfId="8578" xr:uid="{00000000-0005-0000-0000-0000BA570000}"/>
    <cellStyle name="40% - Accent1 7 2 2 3 3 2" xfId="19879" xr:uid="{00000000-0005-0000-0000-0000BB570000}"/>
    <cellStyle name="40% - Accent1 7 2 2 3 3 2 2" xfId="42481" xr:uid="{00000000-0005-0000-0000-0000BC570000}"/>
    <cellStyle name="40% - Accent1 7 2 2 3 3 3" xfId="31180" xr:uid="{00000000-0005-0000-0000-0000BD570000}"/>
    <cellStyle name="40% - Accent1 7 2 2 3 4" xfId="14229" xr:uid="{00000000-0005-0000-0000-0000BE570000}"/>
    <cellStyle name="40% - Accent1 7 2 2 3 4 2" xfId="36831" xr:uid="{00000000-0005-0000-0000-0000BF570000}"/>
    <cellStyle name="40% - Accent1 7 2 2 3 5" xfId="25530" xr:uid="{00000000-0005-0000-0000-0000C0570000}"/>
    <cellStyle name="40% - Accent1 7 2 2 4" xfId="4527" xr:uid="{00000000-0005-0000-0000-0000C1570000}"/>
    <cellStyle name="40% - Accent1 7 2 2 4 2" xfId="10177" xr:uid="{00000000-0005-0000-0000-0000C2570000}"/>
    <cellStyle name="40% - Accent1 7 2 2 4 2 2" xfId="21478" xr:uid="{00000000-0005-0000-0000-0000C3570000}"/>
    <cellStyle name="40% - Accent1 7 2 2 4 2 2 2" xfId="44080" xr:uid="{00000000-0005-0000-0000-0000C4570000}"/>
    <cellStyle name="40% - Accent1 7 2 2 4 2 3" xfId="32779" xr:uid="{00000000-0005-0000-0000-0000C5570000}"/>
    <cellStyle name="40% - Accent1 7 2 2 4 3" xfId="15828" xr:uid="{00000000-0005-0000-0000-0000C6570000}"/>
    <cellStyle name="40% - Accent1 7 2 2 4 3 2" xfId="38430" xr:uid="{00000000-0005-0000-0000-0000C7570000}"/>
    <cellStyle name="40% - Accent1 7 2 2 4 4" xfId="27129" xr:uid="{00000000-0005-0000-0000-0000C8570000}"/>
    <cellStyle name="40% - Accent1 7 2 2 5" xfId="7323" xr:uid="{00000000-0005-0000-0000-0000C9570000}"/>
    <cellStyle name="40% - Accent1 7 2 2 5 2" xfId="18624" xr:uid="{00000000-0005-0000-0000-0000CA570000}"/>
    <cellStyle name="40% - Accent1 7 2 2 5 2 2" xfId="41226" xr:uid="{00000000-0005-0000-0000-0000CB570000}"/>
    <cellStyle name="40% - Accent1 7 2 2 5 3" xfId="29925" xr:uid="{00000000-0005-0000-0000-0000CC570000}"/>
    <cellStyle name="40% - Accent1 7 2 2 6" xfId="12974" xr:uid="{00000000-0005-0000-0000-0000CD570000}"/>
    <cellStyle name="40% - Accent1 7 2 2 6 2" xfId="35576" xr:uid="{00000000-0005-0000-0000-0000CE570000}"/>
    <cellStyle name="40% - Accent1 7 2 2 7" xfId="24275" xr:uid="{00000000-0005-0000-0000-0000CF570000}"/>
    <cellStyle name="40% - Accent1 7 2 3" xfId="1042" xr:uid="{00000000-0005-0000-0000-0000D0570000}"/>
    <cellStyle name="40% - Accent1 7 2 3 2" xfId="3105" xr:uid="{00000000-0005-0000-0000-0000D1570000}"/>
    <cellStyle name="40% - Accent1 7 2 3 2 2" xfId="6077" xr:uid="{00000000-0005-0000-0000-0000D2570000}"/>
    <cellStyle name="40% - Accent1 7 2 3 2 2 2" xfId="11727" xr:uid="{00000000-0005-0000-0000-0000D3570000}"/>
    <cellStyle name="40% - Accent1 7 2 3 2 2 2 2" xfId="23028" xr:uid="{00000000-0005-0000-0000-0000D4570000}"/>
    <cellStyle name="40% - Accent1 7 2 3 2 2 2 2 2" xfId="45630" xr:uid="{00000000-0005-0000-0000-0000D5570000}"/>
    <cellStyle name="40% - Accent1 7 2 3 2 2 2 3" xfId="34329" xr:uid="{00000000-0005-0000-0000-0000D6570000}"/>
    <cellStyle name="40% - Accent1 7 2 3 2 2 3" xfId="17378" xr:uid="{00000000-0005-0000-0000-0000D7570000}"/>
    <cellStyle name="40% - Accent1 7 2 3 2 2 3 2" xfId="39980" xr:uid="{00000000-0005-0000-0000-0000D8570000}"/>
    <cellStyle name="40% - Accent1 7 2 3 2 2 4" xfId="28679" xr:uid="{00000000-0005-0000-0000-0000D9570000}"/>
    <cellStyle name="40% - Accent1 7 2 3 2 3" xfId="8895" xr:uid="{00000000-0005-0000-0000-0000DA570000}"/>
    <cellStyle name="40% - Accent1 7 2 3 2 3 2" xfId="20196" xr:uid="{00000000-0005-0000-0000-0000DB570000}"/>
    <cellStyle name="40% - Accent1 7 2 3 2 3 2 2" xfId="42798" xr:uid="{00000000-0005-0000-0000-0000DC570000}"/>
    <cellStyle name="40% - Accent1 7 2 3 2 3 3" xfId="31497" xr:uid="{00000000-0005-0000-0000-0000DD570000}"/>
    <cellStyle name="40% - Accent1 7 2 3 2 4" xfId="14546" xr:uid="{00000000-0005-0000-0000-0000DE570000}"/>
    <cellStyle name="40% - Accent1 7 2 3 2 4 2" xfId="37148" xr:uid="{00000000-0005-0000-0000-0000DF570000}"/>
    <cellStyle name="40% - Accent1 7 2 3 2 5" xfId="25847" xr:uid="{00000000-0005-0000-0000-0000E0570000}"/>
    <cellStyle name="40% - Accent1 7 2 3 3" xfId="4843" xr:uid="{00000000-0005-0000-0000-0000E1570000}"/>
    <cellStyle name="40% - Accent1 7 2 3 3 2" xfId="10493" xr:uid="{00000000-0005-0000-0000-0000E2570000}"/>
    <cellStyle name="40% - Accent1 7 2 3 3 2 2" xfId="21794" xr:uid="{00000000-0005-0000-0000-0000E3570000}"/>
    <cellStyle name="40% - Accent1 7 2 3 3 2 2 2" xfId="44396" xr:uid="{00000000-0005-0000-0000-0000E4570000}"/>
    <cellStyle name="40% - Accent1 7 2 3 3 2 3" xfId="33095" xr:uid="{00000000-0005-0000-0000-0000E5570000}"/>
    <cellStyle name="40% - Accent1 7 2 3 3 3" xfId="16144" xr:uid="{00000000-0005-0000-0000-0000E6570000}"/>
    <cellStyle name="40% - Accent1 7 2 3 3 3 2" xfId="38746" xr:uid="{00000000-0005-0000-0000-0000E7570000}"/>
    <cellStyle name="40% - Accent1 7 2 3 3 4" xfId="27445" xr:uid="{00000000-0005-0000-0000-0000E8570000}"/>
    <cellStyle name="40% - Accent1 7 2 3 4" xfId="7030" xr:uid="{00000000-0005-0000-0000-0000E9570000}"/>
    <cellStyle name="40% - Accent1 7 2 3 4 2" xfId="18331" xr:uid="{00000000-0005-0000-0000-0000EA570000}"/>
    <cellStyle name="40% - Accent1 7 2 3 4 2 2" xfId="40933" xr:uid="{00000000-0005-0000-0000-0000EB570000}"/>
    <cellStyle name="40% - Accent1 7 2 3 4 3" xfId="29632" xr:uid="{00000000-0005-0000-0000-0000EC570000}"/>
    <cellStyle name="40% - Accent1 7 2 3 5" xfId="12681" xr:uid="{00000000-0005-0000-0000-0000ED570000}"/>
    <cellStyle name="40% - Accent1 7 2 3 5 2" xfId="35283" xr:uid="{00000000-0005-0000-0000-0000EE570000}"/>
    <cellStyle name="40% - Accent1 7 2 3 6" xfId="23982" xr:uid="{00000000-0005-0000-0000-0000EF570000}"/>
    <cellStyle name="40% - Accent1 7 2 4" xfId="1846" xr:uid="{00000000-0005-0000-0000-0000F0570000}"/>
    <cellStyle name="40% - Accent1 7 2 4 2" xfId="3722" xr:uid="{00000000-0005-0000-0000-0000F1570000}"/>
    <cellStyle name="40% - Accent1 7 2 4 2 2" xfId="9432" xr:uid="{00000000-0005-0000-0000-0000F2570000}"/>
    <cellStyle name="40% - Accent1 7 2 4 2 2 2" xfId="20733" xr:uid="{00000000-0005-0000-0000-0000F3570000}"/>
    <cellStyle name="40% - Accent1 7 2 4 2 2 2 2" xfId="43335" xr:uid="{00000000-0005-0000-0000-0000F4570000}"/>
    <cellStyle name="40% - Accent1 7 2 4 2 2 3" xfId="32034" xr:uid="{00000000-0005-0000-0000-0000F5570000}"/>
    <cellStyle name="40% - Accent1 7 2 4 2 3" xfId="15083" xr:uid="{00000000-0005-0000-0000-0000F6570000}"/>
    <cellStyle name="40% - Accent1 7 2 4 2 3 2" xfId="37685" xr:uid="{00000000-0005-0000-0000-0000F7570000}"/>
    <cellStyle name="40% - Accent1 7 2 4 2 4" xfId="26384" xr:uid="{00000000-0005-0000-0000-0000F8570000}"/>
    <cellStyle name="40% - Accent1 7 2 4 3" xfId="5453" xr:uid="{00000000-0005-0000-0000-0000F9570000}"/>
    <cellStyle name="40% - Accent1 7 2 4 3 2" xfId="11103" xr:uid="{00000000-0005-0000-0000-0000FA570000}"/>
    <cellStyle name="40% - Accent1 7 2 4 3 2 2" xfId="22404" xr:uid="{00000000-0005-0000-0000-0000FB570000}"/>
    <cellStyle name="40% - Accent1 7 2 4 3 2 2 2" xfId="45006" xr:uid="{00000000-0005-0000-0000-0000FC570000}"/>
    <cellStyle name="40% - Accent1 7 2 4 3 2 3" xfId="33705" xr:uid="{00000000-0005-0000-0000-0000FD570000}"/>
    <cellStyle name="40% - Accent1 7 2 4 3 3" xfId="16754" xr:uid="{00000000-0005-0000-0000-0000FE570000}"/>
    <cellStyle name="40% - Accent1 7 2 4 3 3 2" xfId="39356" xr:uid="{00000000-0005-0000-0000-0000FF570000}"/>
    <cellStyle name="40% - Accent1 7 2 4 3 4" xfId="28055" xr:uid="{00000000-0005-0000-0000-000000580000}"/>
    <cellStyle name="40% - Accent1 7 2 4 4" xfId="7702" xr:uid="{00000000-0005-0000-0000-000001580000}"/>
    <cellStyle name="40% - Accent1 7 2 4 4 2" xfId="19003" xr:uid="{00000000-0005-0000-0000-000002580000}"/>
    <cellStyle name="40% - Accent1 7 2 4 4 2 2" xfId="41605" xr:uid="{00000000-0005-0000-0000-000003580000}"/>
    <cellStyle name="40% - Accent1 7 2 4 4 3" xfId="30304" xr:uid="{00000000-0005-0000-0000-000004580000}"/>
    <cellStyle name="40% - Accent1 7 2 4 5" xfId="13353" xr:uid="{00000000-0005-0000-0000-000005580000}"/>
    <cellStyle name="40% - Accent1 7 2 4 5 2" xfId="35955" xr:uid="{00000000-0005-0000-0000-000006580000}"/>
    <cellStyle name="40% - Accent1 7 2 4 6" xfId="24654" xr:uid="{00000000-0005-0000-0000-000007580000}"/>
    <cellStyle name="40% - Accent1 7 2 5" xfId="2434" xr:uid="{00000000-0005-0000-0000-000008580000}"/>
    <cellStyle name="40% - Accent1 7 2 5 2" xfId="8270" xr:uid="{00000000-0005-0000-0000-000009580000}"/>
    <cellStyle name="40% - Accent1 7 2 5 2 2" xfId="19571" xr:uid="{00000000-0005-0000-0000-00000A580000}"/>
    <cellStyle name="40% - Accent1 7 2 5 2 2 2" xfId="42173" xr:uid="{00000000-0005-0000-0000-00000B580000}"/>
    <cellStyle name="40% - Accent1 7 2 5 2 3" xfId="30872" xr:uid="{00000000-0005-0000-0000-00000C580000}"/>
    <cellStyle name="40% - Accent1 7 2 5 3" xfId="13921" xr:uid="{00000000-0005-0000-0000-00000D580000}"/>
    <cellStyle name="40% - Accent1 7 2 5 3 2" xfId="36523" xr:uid="{00000000-0005-0000-0000-00000E580000}"/>
    <cellStyle name="40% - Accent1 7 2 5 4" xfId="25222" xr:uid="{00000000-0005-0000-0000-00000F580000}"/>
    <cellStyle name="40% - Accent1 7 2 6" xfId="4219" xr:uid="{00000000-0005-0000-0000-000010580000}"/>
    <cellStyle name="40% - Accent1 7 2 6 2" xfId="9869" xr:uid="{00000000-0005-0000-0000-000011580000}"/>
    <cellStyle name="40% - Accent1 7 2 6 2 2" xfId="21170" xr:uid="{00000000-0005-0000-0000-000012580000}"/>
    <cellStyle name="40% - Accent1 7 2 6 2 2 2" xfId="43772" xr:uid="{00000000-0005-0000-0000-000013580000}"/>
    <cellStyle name="40% - Accent1 7 2 6 2 3" xfId="32471" xr:uid="{00000000-0005-0000-0000-000014580000}"/>
    <cellStyle name="40% - Accent1 7 2 6 3" xfId="15520" xr:uid="{00000000-0005-0000-0000-000015580000}"/>
    <cellStyle name="40% - Accent1 7 2 6 3 2" xfId="38122" xr:uid="{00000000-0005-0000-0000-000016580000}"/>
    <cellStyle name="40% - Accent1 7 2 6 4" xfId="26821" xr:uid="{00000000-0005-0000-0000-000017580000}"/>
    <cellStyle name="40% - Accent1 7 2 7" xfId="6699" xr:uid="{00000000-0005-0000-0000-000018580000}"/>
    <cellStyle name="40% - Accent1 7 2 7 2" xfId="18000" xr:uid="{00000000-0005-0000-0000-000019580000}"/>
    <cellStyle name="40% - Accent1 7 2 7 2 2" xfId="40602" xr:uid="{00000000-0005-0000-0000-00001A580000}"/>
    <cellStyle name="40% - Accent1 7 2 7 3" xfId="29301" xr:uid="{00000000-0005-0000-0000-00001B580000}"/>
    <cellStyle name="40% - Accent1 7 2 8" xfId="12350" xr:uid="{00000000-0005-0000-0000-00001C580000}"/>
    <cellStyle name="40% - Accent1 7 2 8 2" xfId="34952" xr:uid="{00000000-0005-0000-0000-00001D580000}"/>
    <cellStyle name="40% - Accent1 7 2 9" xfId="23651" xr:uid="{00000000-0005-0000-0000-00001E580000}"/>
    <cellStyle name="40% - Accent1 7 3" xfId="1206" xr:uid="{00000000-0005-0000-0000-00001F580000}"/>
    <cellStyle name="40% - Accent1 7 3 2" xfId="1848" xr:uid="{00000000-0005-0000-0000-000020580000}"/>
    <cellStyle name="40% - Accent1 7 3 2 2" xfId="3274" xr:uid="{00000000-0005-0000-0000-000021580000}"/>
    <cellStyle name="40% - Accent1 7 3 2 2 2" xfId="6246" xr:uid="{00000000-0005-0000-0000-000022580000}"/>
    <cellStyle name="40% - Accent1 7 3 2 2 2 2" xfId="11896" xr:uid="{00000000-0005-0000-0000-000023580000}"/>
    <cellStyle name="40% - Accent1 7 3 2 2 2 2 2" xfId="23197" xr:uid="{00000000-0005-0000-0000-000024580000}"/>
    <cellStyle name="40% - Accent1 7 3 2 2 2 2 2 2" xfId="45799" xr:uid="{00000000-0005-0000-0000-000025580000}"/>
    <cellStyle name="40% - Accent1 7 3 2 2 2 2 3" xfId="34498" xr:uid="{00000000-0005-0000-0000-000026580000}"/>
    <cellStyle name="40% - Accent1 7 3 2 2 2 3" xfId="17547" xr:uid="{00000000-0005-0000-0000-000027580000}"/>
    <cellStyle name="40% - Accent1 7 3 2 2 2 3 2" xfId="40149" xr:uid="{00000000-0005-0000-0000-000028580000}"/>
    <cellStyle name="40% - Accent1 7 3 2 2 2 4" xfId="28848" xr:uid="{00000000-0005-0000-0000-000029580000}"/>
    <cellStyle name="40% - Accent1 7 3 2 2 3" xfId="9064" xr:uid="{00000000-0005-0000-0000-00002A580000}"/>
    <cellStyle name="40% - Accent1 7 3 2 2 3 2" xfId="20365" xr:uid="{00000000-0005-0000-0000-00002B580000}"/>
    <cellStyle name="40% - Accent1 7 3 2 2 3 2 2" xfId="42967" xr:uid="{00000000-0005-0000-0000-00002C580000}"/>
    <cellStyle name="40% - Accent1 7 3 2 2 3 3" xfId="31666" xr:uid="{00000000-0005-0000-0000-00002D580000}"/>
    <cellStyle name="40% - Accent1 7 3 2 2 4" xfId="14715" xr:uid="{00000000-0005-0000-0000-00002E580000}"/>
    <cellStyle name="40% - Accent1 7 3 2 2 4 2" xfId="37317" xr:uid="{00000000-0005-0000-0000-00002F580000}"/>
    <cellStyle name="40% - Accent1 7 3 2 2 5" xfId="26016" xr:uid="{00000000-0005-0000-0000-000030580000}"/>
    <cellStyle name="40% - Accent1 7 3 2 3" xfId="5012" xr:uid="{00000000-0005-0000-0000-000031580000}"/>
    <cellStyle name="40% - Accent1 7 3 2 3 2" xfId="10662" xr:uid="{00000000-0005-0000-0000-000032580000}"/>
    <cellStyle name="40% - Accent1 7 3 2 3 2 2" xfId="21963" xr:uid="{00000000-0005-0000-0000-000033580000}"/>
    <cellStyle name="40% - Accent1 7 3 2 3 2 2 2" xfId="44565" xr:uid="{00000000-0005-0000-0000-000034580000}"/>
    <cellStyle name="40% - Accent1 7 3 2 3 2 3" xfId="33264" xr:uid="{00000000-0005-0000-0000-000035580000}"/>
    <cellStyle name="40% - Accent1 7 3 2 3 3" xfId="16313" xr:uid="{00000000-0005-0000-0000-000036580000}"/>
    <cellStyle name="40% - Accent1 7 3 2 3 3 2" xfId="38915" xr:uid="{00000000-0005-0000-0000-000037580000}"/>
    <cellStyle name="40% - Accent1 7 3 2 3 4" xfId="27614" xr:uid="{00000000-0005-0000-0000-000038580000}"/>
    <cellStyle name="40% - Accent1 7 3 2 4" xfId="7704" xr:uid="{00000000-0005-0000-0000-000039580000}"/>
    <cellStyle name="40% - Accent1 7 3 2 4 2" xfId="19005" xr:uid="{00000000-0005-0000-0000-00003A580000}"/>
    <cellStyle name="40% - Accent1 7 3 2 4 2 2" xfId="41607" xr:uid="{00000000-0005-0000-0000-00003B580000}"/>
    <cellStyle name="40% - Accent1 7 3 2 4 3" xfId="30306" xr:uid="{00000000-0005-0000-0000-00003C580000}"/>
    <cellStyle name="40% - Accent1 7 3 2 5" xfId="13355" xr:uid="{00000000-0005-0000-0000-00003D580000}"/>
    <cellStyle name="40% - Accent1 7 3 2 5 2" xfId="35957" xr:uid="{00000000-0005-0000-0000-00003E580000}"/>
    <cellStyle name="40% - Accent1 7 3 2 6" xfId="24656" xr:uid="{00000000-0005-0000-0000-00003F580000}"/>
    <cellStyle name="40% - Accent1 7 3 3" xfId="2603" xr:uid="{00000000-0005-0000-0000-000040580000}"/>
    <cellStyle name="40% - Accent1 7 3 3 2" xfId="5622" xr:uid="{00000000-0005-0000-0000-000041580000}"/>
    <cellStyle name="40% - Accent1 7 3 3 2 2" xfId="11272" xr:uid="{00000000-0005-0000-0000-000042580000}"/>
    <cellStyle name="40% - Accent1 7 3 3 2 2 2" xfId="22573" xr:uid="{00000000-0005-0000-0000-000043580000}"/>
    <cellStyle name="40% - Accent1 7 3 3 2 2 2 2" xfId="45175" xr:uid="{00000000-0005-0000-0000-000044580000}"/>
    <cellStyle name="40% - Accent1 7 3 3 2 2 3" xfId="33874" xr:uid="{00000000-0005-0000-0000-000045580000}"/>
    <cellStyle name="40% - Accent1 7 3 3 2 3" xfId="16923" xr:uid="{00000000-0005-0000-0000-000046580000}"/>
    <cellStyle name="40% - Accent1 7 3 3 2 3 2" xfId="39525" xr:uid="{00000000-0005-0000-0000-000047580000}"/>
    <cellStyle name="40% - Accent1 7 3 3 2 4" xfId="28224" xr:uid="{00000000-0005-0000-0000-000048580000}"/>
    <cellStyle name="40% - Accent1 7 3 3 3" xfId="8439" xr:uid="{00000000-0005-0000-0000-000049580000}"/>
    <cellStyle name="40% - Accent1 7 3 3 3 2" xfId="19740" xr:uid="{00000000-0005-0000-0000-00004A580000}"/>
    <cellStyle name="40% - Accent1 7 3 3 3 2 2" xfId="42342" xr:uid="{00000000-0005-0000-0000-00004B580000}"/>
    <cellStyle name="40% - Accent1 7 3 3 3 3" xfId="31041" xr:uid="{00000000-0005-0000-0000-00004C580000}"/>
    <cellStyle name="40% - Accent1 7 3 3 4" xfId="14090" xr:uid="{00000000-0005-0000-0000-00004D580000}"/>
    <cellStyle name="40% - Accent1 7 3 3 4 2" xfId="36692" xr:uid="{00000000-0005-0000-0000-00004E580000}"/>
    <cellStyle name="40% - Accent1 7 3 3 5" xfId="25391" xr:uid="{00000000-0005-0000-0000-00004F580000}"/>
    <cellStyle name="40% - Accent1 7 3 4" xfId="4388" xr:uid="{00000000-0005-0000-0000-000050580000}"/>
    <cellStyle name="40% - Accent1 7 3 4 2" xfId="10038" xr:uid="{00000000-0005-0000-0000-000051580000}"/>
    <cellStyle name="40% - Accent1 7 3 4 2 2" xfId="21339" xr:uid="{00000000-0005-0000-0000-000052580000}"/>
    <cellStyle name="40% - Accent1 7 3 4 2 2 2" xfId="43941" xr:uid="{00000000-0005-0000-0000-000053580000}"/>
    <cellStyle name="40% - Accent1 7 3 4 2 3" xfId="32640" xr:uid="{00000000-0005-0000-0000-000054580000}"/>
    <cellStyle name="40% - Accent1 7 3 4 3" xfId="15689" xr:uid="{00000000-0005-0000-0000-000055580000}"/>
    <cellStyle name="40% - Accent1 7 3 4 3 2" xfId="38291" xr:uid="{00000000-0005-0000-0000-000056580000}"/>
    <cellStyle name="40% - Accent1 7 3 4 4" xfId="26990" xr:uid="{00000000-0005-0000-0000-000057580000}"/>
    <cellStyle name="40% - Accent1 7 3 5" xfId="7185" xr:uid="{00000000-0005-0000-0000-000058580000}"/>
    <cellStyle name="40% - Accent1 7 3 5 2" xfId="18486" xr:uid="{00000000-0005-0000-0000-000059580000}"/>
    <cellStyle name="40% - Accent1 7 3 5 2 2" xfId="41088" xr:uid="{00000000-0005-0000-0000-00005A580000}"/>
    <cellStyle name="40% - Accent1 7 3 5 3" xfId="29787" xr:uid="{00000000-0005-0000-0000-00005B580000}"/>
    <cellStyle name="40% - Accent1 7 3 6" xfId="12836" xr:uid="{00000000-0005-0000-0000-00005C580000}"/>
    <cellStyle name="40% - Accent1 7 3 6 2" xfId="35438" xr:uid="{00000000-0005-0000-0000-00005D580000}"/>
    <cellStyle name="40% - Accent1 7 3 7" xfId="24137" xr:uid="{00000000-0005-0000-0000-00005E580000}"/>
    <cellStyle name="40% - Accent1 7 4" xfId="897" xr:uid="{00000000-0005-0000-0000-00005F580000}"/>
    <cellStyle name="40% - Accent1 7 4 2" xfId="2967" xr:uid="{00000000-0005-0000-0000-000060580000}"/>
    <cellStyle name="40% - Accent1 7 4 2 2" xfId="5939" xr:uid="{00000000-0005-0000-0000-000061580000}"/>
    <cellStyle name="40% - Accent1 7 4 2 2 2" xfId="11589" xr:uid="{00000000-0005-0000-0000-000062580000}"/>
    <cellStyle name="40% - Accent1 7 4 2 2 2 2" xfId="22890" xr:uid="{00000000-0005-0000-0000-000063580000}"/>
    <cellStyle name="40% - Accent1 7 4 2 2 2 2 2" xfId="45492" xr:uid="{00000000-0005-0000-0000-000064580000}"/>
    <cellStyle name="40% - Accent1 7 4 2 2 2 3" xfId="34191" xr:uid="{00000000-0005-0000-0000-000065580000}"/>
    <cellStyle name="40% - Accent1 7 4 2 2 3" xfId="17240" xr:uid="{00000000-0005-0000-0000-000066580000}"/>
    <cellStyle name="40% - Accent1 7 4 2 2 3 2" xfId="39842" xr:uid="{00000000-0005-0000-0000-000067580000}"/>
    <cellStyle name="40% - Accent1 7 4 2 2 4" xfId="28541" xr:uid="{00000000-0005-0000-0000-000068580000}"/>
    <cellStyle name="40% - Accent1 7 4 2 3" xfId="8757" xr:uid="{00000000-0005-0000-0000-000069580000}"/>
    <cellStyle name="40% - Accent1 7 4 2 3 2" xfId="20058" xr:uid="{00000000-0005-0000-0000-00006A580000}"/>
    <cellStyle name="40% - Accent1 7 4 2 3 2 2" xfId="42660" xr:uid="{00000000-0005-0000-0000-00006B580000}"/>
    <cellStyle name="40% - Accent1 7 4 2 3 3" xfId="31359" xr:uid="{00000000-0005-0000-0000-00006C580000}"/>
    <cellStyle name="40% - Accent1 7 4 2 4" xfId="14408" xr:uid="{00000000-0005-0000-0000-00006D580000}"/>
    <cellStyle name="40% - Accent1 7 4 2 4 2" xfId="37010" xr:uid="{00000000-0005-0000-0000-00006E580000}"/>
    <cellStyle name="40% - Accent1 7 4 2 5" xfId="25709" xr:uid="{00000000-0005-0000-0000-00006F580000}"/>
    <cellStyle name="40% - Accent1 7 4 3" xfId="4705" xr:uid="{00000000-0005-0000-0000-000070580000}"/>
    <cellStyle name="40% - Accent1 7 4 3 2" xfId="10355" xr:uid="{00000000-0005-0000-0000-000071580000}"/>
    <cellStyle name="40% - Accent1 7 4 3 2 2" xfId="21656" xr:uid="{00000000-0005-0000-0000-000072580000}"/>
    <cellStyle name="40% - Accent1 7 4 3 2 2 2" xfId="44258" xr:uid="{00000000-0005-0000-0000-000073580000}"/>
    <cellStyle name="40% - Accent1 7 4 3 2 3" xfId="32957" xr:uid="{00000000-0005-0000-0000-000074580000}"/>
    <cellStyle name="40% - Accent1 7 4 3 3" xfId="16006" xr:uid="{00000000-0005-0000-0000-000075580000}"/>
    <cellStyle name="40% - Accent1 7 4 3 3 2" xfId="38608" xr:uid="{00000000-0005-0000-0000-000076580000}"/>
    <cellStyle name="40% - Accent1 7 4 3 4" xfId="27307" xr:uid="{00000000-0005-0000-0000-000077580000}"/>
    <cellStyle name="40% - Accent1 7 4 4" xfId="6892" xr:uid="{00000000-0005-0000-0000-000078580000}"/>
    <cellStyle name="40% - Accent1 7 4 4 2" xfId="18193" xr:uid="{00000000-0005-0000-0000-000079580000}"/>
    <cellStyle name="40% - Accent1 7 4 4 2 2" xfId="40795" xr:uid="{00000000-0005-0000-0000-00007A580000}"/>
    <cellStyle name="40% - Accent1 7 4 4 3" xfId="29494" xr:uid="{00000000-0005-0000-0000-00007B580000}"/>
    <cellStyle name="40% - Accent1 7 4 5" xfId="12543" xr:uid="{00000000-0005-0000-0000-00007C580000}"/>
    <cellStyle name="40% - Accent1 7 4 5 2" xfId="35145" xr:uid="{00000000-0005-0000-0000-00007D580000}"/>
    <cellStyle name="40% - Accent1 7 4 6" xfId="23844" xr:uid="{00000000-0005-0000-0000-00007E580000}"/>
    <cellStyle name="40% - Accent1 7 5" xfId="1845" xr:uid="{00000000-0005-0000-0000-00007F580000}"/>
    <cellStyle name="40% - Accent1 7 5 2" xfId="3721" xr:uid="{00000000-0005-0000-0000-000080580000}"/>
    <cellStyle name="40% - Accent1 7 5 2 2" xfId="9431" xr:uid="{00000000-0005-0000-0000-000081580000}"/>
    <cellStyle name="40% - Accent1 7 5 2 2 2" xfId="20732" xr:uid="{00000000-0005-0000-0000-000082580000}"/>
    <cellStyle name="40% - Accent1 7 5 2 2 2 2" xfId="43334" xr:uid="{00000000-0005-0000-0000-000083580000}"/>
    <cellStyle name="40% - Accent1 7 5 2 2 3" xfId="32033" xr:uid="{00000000-0005-0000-0000-000084580000}"/>
    <cellStyle name="40% - Accent1 7 5 2 3" xfId="15082" xr:uid="{00000000-0005-0000-0000-000085580000}"/>
    <cellStyle name="40% - Accent1 7 5 2 3 2" xfId="37684" xr:uid="{00000000-0005-0000-0000-000086580000}"/>
    <cellStyle name="40% - Accent1 7 5 2 4" xfId="26383" xr:uid="{00000000-0005-0000-0000-000087580000}"/>
    <cellStyle name="40% - Accent1 7 5 3" xfId="5315" xr:uid="{00000000-0005-0000-0000-000088580000}"/>
    <cellStyle name="40% - Accent1 7 5 3 2" xfId="10965" xr:uid="{00000000-0005-0000-0000-000089580000}"/>
    <cellStyle name="40% - Accent1 7 5 3 2 2" xfId="22266" xr:uid="{00000000-0005-0000-0000-00008A580000}"/>
    <cellStyle name="40% - Accent1 7 5 3 2 2 2" xfId="44868" xr:uid="{00000000-0005-0000-0000-00008B580000}"/>
    <cellStyle name="40% - Accent1 7 5 3 2 3" xfId="33567" xr:uid="{00000000-0005-0000-0000-00008C580000}"/>
    <cellStyle name="40% - Accent1 7 5 3 3" xfId="16616" xr:uid="{00000000-0005-0000-0000-00008D580000}"/>
    <cellStyle name="40% - Accent1 7 5 3 3 2" xfId="39218" xr:uid="{00000000-0005-0000-0000-00008E580000}"/>
    <cellStyle name="40% - Accent1 7 5 3 4" xfId="27917" xr:uid="{00000000-0005-0000-0000-00008F580000}"/>
    <cellStyle name="40% - Accent1 7 5 4" xfId="7701" xr:uid="{00000000-0005-0000-0000-000090580000}"/>
    <cellStyle name="40% - Accent1 7 5 4 2" xfId="19002" xr:uid="{00000000-0005-0000-0000-000091580000}"/>
    <cellStyle name="40% - Accent1 7 5 4 2 2" xfId="41604" xr:uid="{00000000-0005-0000-0000-000092580000}"/>
    <cellStyle name="40% - Accent1 7 5 4 3" xfId="30303" xr:uid="{00000000-0005-0000-0000-000093580000}"/>
    <cellStyle name="40% - Accent1 7 5 5" xfId="13352" xr:uid="{00000000-0005-0000-0000-000094580000}"/>
    <cellStyle name="40% - Accent1 7 5 5 2" xfId="35954" xr:uid="{00000000-0005-0000-0000-000095580000}"/>
    <cellStyle name="40% - Accent1 7 5 6" xfId="24653" xr:uid="{00000000-0005-0000-0000-000096580000}"/>
    <cellStyle name="40% - Accent1 7 6" xfId="2294" xr:uid="{00000000-0005-0000-0000-000097580000}"/>
    <cellStyle name="40% - Accent1 7 6 2" xfId="8130" xr:uid="{00000000-0005-0000-0000-000098580000}"/>
    <cellStyle name="40% - Accent1 7 6 2 2" xfId="19431" xr:uid="{00000000-0005-0000-0000-000099580000}"/>
    <cellStyle name="40% - Accent1 7 6 2 2 2" xfId="42033" xr:uid="{00000000-0005-0000-0000-00009A580000}"/>
    <cellStyle name="40% - Accent1 7 6 2 3" xfId="30732" xr:uid="{00000000-0005-0000-0000-00009B580000}"/>
    <cellStyle name="40% - Accent1 7 6 3" xfId="13781" xr:uid="{00000000-0005-0000-0000-00009C580000}"/>
    <cellStyle name="40% - Accent1 7 6 3 2" xfId="36383" xr:uid="{00000000-0005-0000-0000-00009D580000}"/>
    <cellStyle name="40% - Accent1 7 6 4" xfId="25082" xr:uid="{00000000-0005-0000-0000-00009E580000}"/>
    <cellStyle name="40% - Accent1 7 7" xfId="4081" xr:uid="{00000000-0005-0000-0000-00009F580000}"/>
    <cellStyle name="40% - Accent1 7 7 2" xfId="9731" xr:uid="{00000000-0005-0000-0000-0000A0580000}"/>
    <cellStyle name="40% - Accent1 7 7 2 2" xfId="21032" xr:uid="{00000000-0005-0000-0000-0000A1580000}"/>
    <cellStyle name="40% - Accent1 7 7 2 2 2" xfId="43634" xr:uid="{00000000-0005-0000-0000-0000A2580000}"/>
    <cellStyle name="40% - Accent1 7 7 2 3" xfId="32333" xr:uid="{00000000-0005-0000-0000-0000A3580000}"/>
    <cellStyle name="40% - Accent1 7 7 3" xfId="15382" xr:uid="{00000000-0005-0000-0000-0000A4580000}"/>
    <cellStyle name="40% - Accent1 7 7 3 2" xfId="37984" xr:uid="{00000000-0005-0000-0000-0000A5580000}"/>
    <cellStyle name="40% - Accent1 7 7 4" xfId="26683" xr:uid="{00000000-0005-0000-0000-0000A6580000}"/>
    <cellStyle name="40% - Accent1 7 8" xfId="6532" xr:uid="{00000000-0005-0000-0000-0000A7580000}"/>
    <cellStyle name="40% - Accent1 7 8 2" xfId="17833" xr:uid="{00000000-0005-0000-0000-0000A8580000}"/>
    <cellStyle name="40% - Accent1 7 8 2 2" xfId="40435" xr:uid="{00000000-0005-0000-0000-0000A9580000}"/>
    <cellStyle name="40% - Accent1 7 8 3" xfId="29134" xr:uid="{00000000-0005-0000-0000-0000AA580000}"/>
    <cellStyle name="40% - Accent1 7 9" xfId="12183" xr:uid="{00000000-0005-0000-0000-0000AB580000}"/>
    <cellStyle name="40% - Accent1 7 9 2" xfId="34785" xr:uid="{00000000-0005-0000-0000-0000AC580000}"/>
    <cellStyle name="40% - Accent1 8" xfId="492" xr:uid="{00000000-0005-0000-0000-0000AD580000}"/>
    <cellStyle name="40% - Accent1 8 2" xfId="1263" xr:uid="{00000000-0005-0000-0000-0000AE580000}"/>
    <cellStyle name="40% - Accent1 8 2 2" xfId="1850" xr:uid="{00000000-0005-0000-0000-0000AF580000}"/>
    <cellStyle name="40% - Accent1 8 2 2 2" xfId="3332" xr:uid="{00000000-0005-0000-0000-0000B0580000}"/>
    <cellStyle name="40% - Accent1 8 2 2 2 2" xfId="6304" xr:uid="{00000000-0005-0000-0000-0000B1580000}"/>
    <cellStyle name="40% - Accent1 8 2 2 2 2 2" xfId="11954" xr:uid="{00000000-0005-0000-0000-0000B2580000}"/>
    <cellStyle name="40% - Accent1 8 2 2 2 2 2 2" xfId="23255" xr:uid="{00000000-0005-0000-0000-0000B3580000}"/>
    <cellStyle name="40% - Accent1 8 2 2 2 2 2 2 2" xfId="45857" xr:uid="{00000000-0005-0000-0000-0000B4580000}"/>
    <cellStyle name="40% - Accent1 8 2 2 2 2 2 3" xfId="34556" xr:uid="{00000000-0005-0000-0000-0000B5580000}"/>
    <cellStyle name="40% - Accent1 8 2 2 2 2 3" xfId="17605" xr:uid="{00000000-0005-0000-0000-0000B6580000}"/>
    <cellStyle name="40% - Accent1 8 2 2 2 2 3 2" xfId="40207" xr:uid="{00000000-0005-0000-0000-0000B7580000}"/>
    <cellStyle name="40% - Accent1 8 2 2 2 2 4" xfId="28906" xr:uid="{00000000-0005-0000-0000-0000B8580000}"/>
    <cellStyle name="40% - Accent1 8 2 2 2 3" xfId="9122" xr:uid="{00000000-0005-0000-0000-0000B9580000}"/>
    <cellStyle name="40% - Accent1 8 2 2 2 3 2" xfId="20423" xr:uid="{00000000-0005-0000-0000-0000BA580000}"/>
    <cellStyle name="40% - Accent1 8 2 2 2 3 2 2" xfId="43025" xr:uid="{00000000-0005-0000-0000-0000BB580000}"/>
    <cellStyle name="40% - Accent1 8 2 2 2 3 3" xfId="31724" xr:uid="{00000000-0005-0000-0000-0000BC580000}"/>
    <cellStyle name="40% - Accent1 8 2 2 2 4" xfId="14773" xr:uid="{00000000-0005-0000-0000-0000BD580000}"/>
    <cellStyle name="40% - Accent1 8 2 2 2 4 2" xfId="37375" xr:uid="{00000000-0005-0000-0000-0000BE580000}"/>
    <cellStyle name="40% - Accent1 8 2 2 2 5" xfId="26074" xr:uid="{00000000-0005-0000-0000-0000BF580000}"/>
    <cellStyle name="40% - Accent1 8 2 2 3" xfId="5070" xr:uid="{00000000-0005-0000-0000-0000C0580000}"/>
    <cellStyle name="40% - Accent1 8 2 2 3 2" xfId="10720" xr:uid="{00000000-0005-0000-0000-0000C1580000}"/>
    <cellStyle name="40% - Accent1 8 2 2 3 2 2" xfId="22021" xr:uid="{00000000-0005-0000-0000-0000C2580000}"/>
    <cellStyle name="40% - Accent1 8 2 2 3 2 2 2" xfId="44623" xr:uid="{00000000-0005-0000-0000-0000C3580000}"/>
    <cellStyle name="40% - Accent1 8 2 2 3 2 3" xfId="33322" xr:uid="{00000000-0005-0000-0000-0000C4580000}"/>
    <cellStyle name="40% - Accent1 8 2 2 3 3" xfId="16371" xr:uid="{00000000-0005-0000-0000-0000C5580000}"/>
    <cellStyle name="40% - Accent1 8 2 2 3 3 2" xfId="38973" xr:uid="{00000000-0005-0000-0000-0000C6580000}"/>
    <cellStyle name="40% - Accent1 8 2 2 3 4" xfId="27672" xr:uid="{00000000-0005-0000-0000-0000C7580000}"/>
    <cellStyle name="40% - Accent1 8 2 2 4" xfId="7706" xr:uid="{00000000-0005-0000-0000-0000C8580000}"/>
    <cellStyle name="40% - Accent1 8 2 2 4 2" xfId="19007" xr:uid="{00000000-0005-0000-0000-0000C9580000}"/>
    <cellStyle name="40% - Accent1 8 2 2 4 2 2" xfId="41609" xr:uid="{00000000-0005-0000-0000-0000CA580000}"/>
    <cellStyle name="40% - Accent1 8 2 2 4 3" xfId="30308" xr:uid="{00000000-0005-0000-0000-0000CB580000}"/>
    <cellStyle name="40% - Accent1 8 2 2 5" xfId="13357" xr:uid="{00000000-0005-0000-0000-0000CC580000}"/>
    <cellStyle name="40% - Accent1 8 2 2 5 2" xfId="35959" xr:uid="{00000000-0005-0000-0000-0000CD580000}"/>
    <cellStyle name="40% - Accent1 8 2 2 6" xfId="24658" xr:uid="{00000000-0005-0000-0000-0000CE580000}"/>
    <cellStyle name="40% - Accent1 8 2 3" xfId="2661" xr:uid="{00000000-0005-0000-0000-0000CF580000}"/>
    <cellStyle name="40% - Accent1 8 2 3 2" xfId="5680" xr:uid="{00000000-0005-0000-0000-0000D0580000}"/>
    <cellStyle name="40% - Accent1 8 2 3 2 2" xfId="11330" xr:uid="{00000000-0005-0000-0000-0000D1580000}"/>
    <cellStyle name="40% - Accent1 8 2 3 2 2 2" xfId="22631" xr:uid="{00000000-0005-0000-0000-0000D2580000}"/>
    <cellStyle name="40% - Accent1 8 2 3 2 2 2 2" xfId="45233" xr:uid="{00000000-0005-0000-0000-0000D3580000}"/>
    <cellStyle name="40% - Accent1 8 2 3 2 2 3" xfId="33932" xr:uid="{00000000-0005-0000-0000-0000D4580000}"/>
    <cellStyle name="40% - Accent1 8 2 3 2 3" xfId="16981" xr:uid="{00000000-0005-0000-0000-0000D5580000}"/>
    <cellStyle name="40% - Accent1 8 2 3 2 3 2" xfId="39583" xr:uid="{00000000-0005-0000-0000-0000D6580000}"/>
    <cellStyle name="40% - Accent1 8 2 3 2 4" xfId="28282" xr:uid="{00000000-0005-0000-0000-0000D7580000}"/>
    <cellStyle name="40% - Accent1 8 2 3 3" xfId="8497" xr:uid="{00000000-0005-0000-0000-0000D8580000}"/>
    <cellStyle name="40% - Accent1 8 2 3 3 2" xfId="19798" xr:uid="{00000000-0005-0000-0000-0000D9580000}"/>
    <cellStyle name="40% - Accent1 8 2 3 3 2 2" xfId="42400" xr:uid="{00000000-0005-0000-0000-0000DA580000}"/>
    <cellStyle name="40% - Accent1 8 2 3 3 3" xfId="31099" xr:uid="{00000000-0005-0000-0000-0000DB580000}"/>
    <cellStyle name="40% - Accent1 8 2 3 4" xfId="14148" xr:uid="{00000000-0005-0000-0000-0000DC580000}"/>
    <cellStyle name="40% - Accent1 8 2 3 4 2" xfId="36750" xr:uid="{00000000-0005-0000-0000-0000DD580000}"/>
    <cellStyle name="40% - Accent1 8 2 3 5" xfId="25449" xr:uid="{00000000-0005-0000-0000-0000DE580000}"/>
    <cellStyle name="40% - Accent1 8 2 4" xfId="4446" xr:uid="{00000000-0005-0000-0000-0000DF580000}"/>
    <cellStyle name="40% - Accent1 8 2 4 2" xfId="10096" xr:uid="{00000000-0005-0000-0000-0000E0580000}"/>
    <cellStyle name="40% - Accent1 8 2 4 2 2" xfId="21397" xr:uid="{00000000-0005-0000-0000-0000E1580000}"/>
    <cellStyle name="40% - Accent1 8 2 4 2 2 2" xfId="43999" xr:uid="{00000000-0005-0000-0000-0000E2580000}"/>
    <cellStyle name="40% - Accent1 8 2 4 2 3" xfId="32698" xr:uid="{00000000-0005-0000-0000-0000E3580000}"/>
    <cellStyle name="40% - Accent1 8 2 4 3" xfId="15747" xr:uid="{00000000-0005-0000-0000-0000E4580000}"/>
    <cellStyle name="40% - Accent1 8 2 4 3 2" xfId="38349" xr:uid="{00000000-0005-0000-0000-0000E5580000}"/>
    <cellStyle name="40% - Accent1 8 2 4 4" xfId="27048" xr:uid="{00000000-0005-0000-0000-0000E6580000}"/>
    <cellStyle name="40% - Accent1 8 2 5" xfId="7242" xr:uid="{00000000-0005-0000-0000-0000E7580000}"/>
    <cellStyle name="40% - Accent1 8 2 5 2" xfId="18543" xr:uid="{00000000-0005-0000-0000-0000E8580000}"/>
    <cellStyle name="40% - Accent1 8 2 5 2 2" xfId="41145" xr:uid="{00000000-0005-0000-0000-0000E9580000}"/>
    <cellStyle name="40% - Accent1 8 2 5 3" xfId="29844" xr:uid="{00000000-0005-0000-0000-0000EA580000}"/>
    <cellStyle name="40% - Accent1 8 2 6" xfId="12893" xr:uid="{00000000-0005-0000-0000-0000EB580000}"/>
    <cellStyle name="40% - Accent1 8 2 6 2" xfId="35495" xr:uid="{00000000-0005-0000-0000-0000EC580000}"/>
    <cellStyle name="40% - Accent1 8 2 7" xfId="24194" xr:uid="{00000000-0005-0000-0000-0000ED580000}"/>
    <cellStyle name="40% - Accent1 8 3" xfId="960" xr:uid="{00000000-0005-0000-0000-0000EE580000}"/>
    <cellStyle name="40% - Accent1 8 3 2" xfId="3024" xr:uid="{00000000-0005-0000-0000-0000EF580000}"/>
    <cellStyle name="40% - Accent1 8 3 2 2" xfId="5996" xr:uid="{00000000-0005-0000-0000-0000F0580000}"/>
    <cellStyle name="40% - Accent1 8 3 2 2 2" xfId="11646" xr:uid="{00000000-0005-0000-0000-0000F1580000}"/>
    <cellStyle name="40% - Accent1 8 3 2 2 2 2" xfId="22947" xr:uid="{00000000-0005-0000-0000-0000F2580000}"/>
    <cellStyle name="40% - Accent1 8 3 2 2 2 2 2" xfId="45549" xr:uid="{00000000-0005-0000-0000-0000F3580000}"/>
    <cellStyle name="40% - Accent1 8 3 2 2 2 3" xfId="34248" xr:uid="{00000000-0005-0000-0000-0000F4580000}"/>
    <cellStyle name="40% - Accent1 8 3 2 2 3" xfId="17297" xr:uid="{00000000-0005-0000-0000-0000F5580000}"/>
    <cellStyle name="40% - Accent1 8 3 2 2 3 2" xfId="39899" xr:uid="{00000000-0005-0000-0000-0000F6580000}"/>
    <cellStyle name="40% - Accent1 8 3 2 2 4" xfId="28598" xr:uid="{00000000-0005-0000-0000-0000F7580000}"/>
    <cellStyle name="40% - Accent1 8 3 2 3" xfId="8814" xr:uid="{00000000-0005-0000-0000-0000F8580000}"/>
    <cellStyle name="40% - Accent1 8 3 2 3 2" xfId="20115" xr:uid="{00000000-0005-0000-0000-0000F9580000}"/>
    <cellStyle name="40% - Accent1 8 3 2 3 2 2" xfId="42717" xr:uid="{00000000-0005-0000-0000-0000FA580000}"/>
    <cellStyle name="40% - Accent1 8 3 2 3 3" xfId="31416" xr:uid="{00000000-0005-0000-0000-0000FB580000}"/>
    <cellStyle name="40% - Accent1 8 3 2 4" xfId="14465" xr:uid="{00000000-0005-0000-0000-0000FC580000}"/>
    <cellStyle name="40% - Accent1 8 3 2 4 2" xfId="37067" xr:uid="{00000000-0005-0000-0000-0000FD580000}"/>
    <cellStyle name="40% - Accent1 8 3 2 5" xfId="25766" xr:uid="{00000000-0005-0000-0000-0000FE580000}"/>
    <cellStyle name="40% - Accent1 8 3 3" xfId="4762" xr:uid="{00000000-0005-0000-0000-0000FF580000}"/>
    <cellStyle name="40% - Accent1 8 3 3 2" xfId="10412" xr:uid="{00000000-0005-0000-0000-000000590000}"/>
    <cellStyle name="40% - Accent1 8 3 3 2 2" xfId="21713" xr:uid="{00000000-0005-0000-0000-000001590000}"/>
    <cellStyle name="40% - Accent1 8 3 3 2 2 2" xfId="44315" xr:uid="{00000000-0005-0000-0000-000002590000}"/>
    <cellStyle name="40% - Accent1 8 3 3 2 3" xfId="33014" xr:uid="{00000000-0005-0000-0000-000003590000}"/>
    <cellStyle name="40% - Accent1 8 3 3 3" xfId="16063" xr:uid="{00000000-0005-0000-0000-000004590000}"/>
    <cellStyle name="40% - Accent1 8 3 3 3 2" xfId="38665" xr:uid="{00000000-0005-0000-0000-000005590000}"/>
    <cellStyle name="40% - Accent1 8 3 3 4" xfId="27364" xr:uid="{00000000-0005-0000-0000-000006590000}"/>
    <cellStyle name="40% - Accent1 8 3 4" xfId="6949" xr:uid="{00000000-0005-0000-0000-000007590000}"/>
    <cellStyle name="40% - Accent1 8 3 4 2" xfId="18250" xr:uid="{00000000-0005-0000-0000-000008590000}"/>
    <cellStyle name="40% - Accent1 8 3 4 2 2" xfId="40852" xr:uid="{00000000-0005-0000-0000-000009590000}"/>
    <cellStyle name="40% - Accent1 8 3 4 3" xfId="29551" xr:uid="{00000000-0005-0000-0000-00000A590000}"/>
    <cellStyle name="40% - Accent1 8 3 5" xfId="12600" xr:uid="{00000000-0005-0000-0000-00000B590000}"/>
    <cellStyle name="40% - Accent1 8 3 5 2" xfId="35202" xr:uid="{00000000-0005-0000-0000-00000C590000}"/>
    <cellStyle name="40% - Accent1 8 3 6" xfId="23901" xr:uid="{00000000-0005-0000-0000-00000D590000}"/>
    <cellStyle name="40% - Accent1 8 4" xfId="1849" xr:uid="{00000000-0005-0000-0000-00000E590000}"/>
    <cellStyle name="40% - Accent1 8 4 2" xfId="3723" xr:uid="{00000000-0005-0000-0000-00000F590000}"/>
    <cellStyle name="40% - Accent1 8 4 2 2" xfId="9433" xr:uid="{00000000-0005-0000-0000-000010590000}"/>
    <cellStyle name="40% - Accent1 8 4 2 2 2" xfId="20734" xr:uid="{00000000-0005-0000-0000-000011590000}"/>
    <cellStyle name="40% - Accent1 8 4 2 2 2 2" xfId="43336" xr:uid="{00000000-0005-0000-0000-000012590000}"/>
    <cellStyle name="40% - Accent1 8 4 2 2 3" xfId="32035" xr:uid="{00000000-0005-0000-0000-000013590000}"/>
    <cellStyle name="40% - Accent1 8 4 2 3" xfId="15084" xr:uid="{00000000-0005-0000-0000-000014590000}"/>
    <cellStyle name="40% - Accent1 8 4 2 3 2" xfId="37686" xr:uid="{00000000-0005-0000-0000-000015590000}"/>
    <cellStyle name="40% - Accent1 8 4 2 4" xfId="26385" xr:uid="{00000000-0005-0000-0000-000016590000}"/>
    <cellStyle name="40% - Accent1 8 4 3" xfId="5372" xr:uid="{00000000-0005-0000-0000-000017590000}"/>
    <cellStyle name="40% - Accent1 8 4 3 2" xfId="11022" xr:uid="{00000000-0005-0000-0000-000018590000}"/>
    <cellStyle name="40% - Accent1 8 4 3 2 2" xfId="22323" xr:uid="{00000000-0005-0000-0000-000019590000}"/>
    <cellStyle name="40% - Accent1 8 4 3 2 2 2" xfId="44925" xr:uid="{00000000-0005-0000-0000-00001A590000}"/>
    <cellStyle name="40% - Accent1 8 4 3 2 3" xfId="33624" xr:uid="{00000000-0005-0000-0000-00001B590000}"/>
    <cellStyle name="40% - Accent1 8 4 3 3" xfId="16673" xr:uid="{00000000-0005-0000-0000-00001C590000}"/>
    <cellStyle name="40% - Accent1 8 4 3 3 2" xfId="39275" xr:uid="{00000000-0005-0000-0000-00001D590000}"/>
    <cellStyle name="40% - Accent1 8 4 3 4" xfId="27974" xr:uid="{00000000-0005-0000-0000-00001E590000}"/>
    <cellStyle name="40% - Accent1 8 4 4" xfId="7705" xr:uid="{00000000-0005-0000-0000-00001F590000}"/>
    <cellStyle name="40% - Accent1 8 4 4 2" xfId="19006" xr:uid="{00000000-0005-0000-0000-000020590000}"/>
    <cellStyle name="40% - Accent1 8 4 4 2 2" xfId="41608" xr:uid="{00000000-0005-0000-0000-000021590000}"/>
    <cellStyle name="40% - Accent1 8 4 4 3" xfId="30307" xr:uid="{00000000-0005-0000-0000-000022590000}"/>
    <cellStyle name="40% - Accent1 8 4 5" xfId="13356" xr:uid="{00000000-0005-0000-0000-000023590000}"/>
    <cellStyle name="40% - Accent1 8 4 5 2" xfId="35958" xr:uid="{00000000-0005-0000-0000-000024590000}"/>
    <cellStyle name="40% - Accent1 8 4 6" xfId="24657" xr:uid="{00000000-0005-0000-0000-000025590000}"/>
    <cellStyle name="40% - Accent1 8 5" xfId="2353" xr:uid="{00000000-0005-0000-0000-000026590000}"/>
    <cellStyle name="40% - Accent1 8 5 2" xfId="8189" xr:uid="{00000000-0005-0000-0000-000027590000}"/>
    <cellStyle name="40% - Accent1 8 5 2 2" xfId="19490" xr:uid="{00000000-0005-0000-0000-000028590000}"/>
    <cellStyle name="40% - Accent1 8 5 2 2 2" xfId="42092" xr:uid="{00000000-0005-0000-0000-000029590000}"/>
    <cellStyle name="40% - Accent1 8 5 2 3" xfId="30791" xr:uid="{00000000-0005-0000-0000-00002A590000}"/>
    <cellStyle name="40% - Accent1 8 5 3" xfId="13840" xr:uid="{00000000-0005-0000-0000-00002B590000}"/>
    <cellStyle name="40% - Accent1 8 5 3 2" xfId="36442" xr:uid="{00000000-0005-0000-0000-00002C590000}"/>
    <cellStyle name="40% - Accent1 8 5 4" xfId="25141" xr:uid="{00000000-0005-0000-0000-00002D590000}"/>
    <cellStyle name="40% - Accent1 8 6" xfId="4138" xr:uid="{00000000-0005-0000-0000-00002E590000}"/>
    <cellStyle name="40% - Accent1 8 6 2" xfId="9788" xr:uid="{00000000-0005-0000-0000-00002F590000}"/>
    <cellStyle name="40% - Accent1 8 6 2 2" xfId="21089" xr:uid="{00000000-0005-0000-0000-000030590000}"/>
    <cellStyle name="40% - Accent1 8 6 2 2 2" xfId="43691" xr:uid="{00000000-0005-0000-0000-000031590000}"/>
    <cellStyle name="40% - Accent1 8 6 2 3" xfId="32390" xr:uid="{00000000-0005-0000-0000-000032590000}"/>
    <cellStyle name="40% - Accent1 8 6 3" xfId="15439" xr:uid="{00000000-0005-0000-0000-000033590000}"/>
    <cellStyle name="40% - Accent1 8 6 3 2" xfId="38041" xr:uid="{00000000-0005-0000-0000-000034590000}"/>
    <cellStyle name="40% - Accent1 8 6 4" xfId="26740" xr:uid="{00000000-0005-0000-0000-000035590000}"/>
    <cellStyle name="40% - Accent1 8 7" xfId="6589" xr:uid="{00000000-0005-0000-0000-000036590000}"/>
    <cellStyle name="40% - Accent1 8 7 2" xfId="17890" xr:uid="{00000000-0005-0000-0000-000037590000}"/>
    <cellStyle name="40% - Accent1 8 7 2 2" xfId="40492" xr:uid="{00000000-0005-0000-0000-000038590000}"/>
    <cellStyle name="40% - Accent1 8 7 3" xfId="29191" xr:uid="{00000000-0005-0000-0000-000039590000}"/>
    <cellStyle name="40% - Accent1 8 8" xfId="12240" xr:uid="{00000000-0005-0000-0000-00003A590000}"/>
    <cellStyle name="40% - Accent1 8 8 2" xfId="34842" xr:uid="{00000000-0005-0000-0000-00003B590000}"/>
    <cellStyle name="40% - Accent1 8 9" xfId="23541" xr:uid="{00000000-0005-0000-0000-00003C590000}"/>
    <cellStyle name="40% - Accent1 9" xfId="694" xr:uid="{00000000-0005-0000-0000-00003D590000}"/>
    <cellStyle name="40% - Accent1 9 2" xfId="749" xr:uid="{00000000-0005-0000-0000-00003E590000}"/>
    <cellStyle name="40% - Accent1 9 2 2" xfId="3164" xr:uid="{00000000-0005-0000-0000-00003F590000}"/>
    <cellStyle name="40% - Accent1 9 2 2 2" xfId="6136" xr:uid="{00000000-0005-0000-0000-000040590000}"/>
    <cellStyle name="40% - Accent1 9 2 2 2 2" xfId="11786" xr:uid="{00000000-0005-0000-0000-000041590000}"/>
    <cellStyle name="40% - Accent1 9 2 2 2 2 2" xfId="23087" xr:uid="{00000000-0005-0000-0000-000042590000}"/>
    <cellStyle name="40% - Accent1 9 2 2 2 2 2 2" xfId="45689" xr:uid="{00000000-0005-0000-0000-000043590000}"/>
    <cellStyle name="40% - Accent1 9 2 2 2 2 3" xfId="34388" xr:uid="{00000000-0005-0000-0000-000044590000}"/>
    <cellStyle name="40% - Accent1 9 2 2 2 3" xfId="17437" xr:uid="{00000000-0005-0000-0000-000045590000}"/>
    <cellStyle name="40% - Accent1 9 2 2 2 3 2" xfId="40039" xr:uid="{00000000-0005-0000-0000-000046590000}"/>
    <cellStyle name="40% - Accent1 9 2 2 2 4" xfId="28738" xr:uid="{00000000-0005-0000-0000-000047590000}"/>
    <cellStyle name="40% - Accent1 9 2 2 3" xfId="8954" xr:uid="{00000000-0005-0000-0000-000048590000}"/>
    <cellStyle name="40% - Accent1 9 2 2 3 2" xfId="20255" xr:uid="{00000000-0005-0000-0000-000049590000}"/>
    <cellStyle name="40% - Accent1 9 2 2 3 2 2" xfId="42857" xr:uid="{00000000-0005-0000-0000-00004A590000}"/>
    <cellStyle name="40% - Accent1 9 2 2 3 3" xfId="31556" xr:uid="{00000000-0005-0000-0000-00004B590000}"/>
    <cellStyle name="40% - Accent1 9 2 2 4" xfId="14605" xr:uid="{00000000-0005-0000-0000-00004C590000}"/>
    <cellStyle name="40% - Accent1 9 2 2 4 2" xfId="37207" xr:uid="{00000000-0005-0000-0000-00004D590000}"/>
    <cellStyle name="40% - Accent1 9 2 2 5" xfId="25906" xr:uid="{00000000-0005-0000-0000-00004E590000}"/>
    <cellStyle name="40% - Accent1 9 2 3" xfId="4902" xr:uid="{00000000-0005-0000-0000-00004F590000}"/>
    <cellStyle name="40% - Accent1 9 2 3 2" xfId="10552" xr:uid="{00000000-0005-0000-0000-000050590000}"/>
    <cellStyle name="40% - Accent1 9 2 3 2 2" xfId="21853" xr:uid="{00000000-0005-0000-0000-000051590000}"/>
    <cellStyle name="40% - Accent1 9 2 3 2 2 2" xfId="44455" xr:uid="{00000000-0005-0000-0000-000052590000}"/>
    <cellStyle name="40% - Accent1 9 2 3 2 3" xfId="33154" xr:uid="{00000000-0005-0000-0000-000053590000}"/>
    <cellStyle name="40% - Accent1 9 2 3 3" xfId="16203" xr:uid="{00000000-0005-0000-0000-000054590000}"/>
    <cellStyle name="40% - Accent1 9 2 3 3 2" xfId="38805" xr:uid="{00000000-0005-0000-0000-000055590000}"/>
    <cellStyle name="40% - Accent1 9 2 3 4" xfId="27504" xr:uid="{00000000-0005-0000-0000-000056590000}"/>
    <cellStyle name="40% - Accent1 9 2 4" xfId="6778" xr:uid="{00000000-0005-0000-0000-000057590000}"/>
    <cellStyle name="40% - Accent1 9 2 4 2" xfId="18079" xr:uid="{00000000-0005-0000-0000-000058590000}"/>
    <cellStyle name="40% - Accent1 9 2 4 2 2" xfId="40681" xr:uid="{00000000-0005-0000-0000-000059590000}"/>
    <cellStyle name="40% - Accent1 9 2 4 3" xfId="29380" xr:uid="{00000000-0005-0000-0000-00005A590000}"/>
    <cellStyle name="40% - Accent1 9 2 5" xfId="12429" xr:uid="{00000000-0005-0000-0000-00005B590000}"/>
    <cellStyle name="40% - Accent1 9 2 5 2" xfId="35031" xr:uid="{00000000-0005-0000-0000-00005C590000}"/>
    <cellStyle name="40% - Accent1 9 2 6" xfId="23730" xr:uid="{00000000-0005-0000-0000-00005D590000}"/>
    <cellStyle name="40% - Accent1 9 3" xfId="1851" xr:uid="{00000000-0005-0000-0000-00005E590000}"/>
    <cellStyle name="40% - Accent1 9 3 2" xfId="3724" xr:uid="{00000000-0005-0000-0000-00005F590000}"/>
    <cellStyle name="40% - Accent1 9 3 2 2" xfId="9434" xr:uid="{00000000-0005-0000-0000-000060590000}"/>
    <cellStyle name="40% - Accent1 9 3 2 2 2" xfId="20735" xr:uid="{00000000-0005-0000-0000-000061590000}"/>
    <cellStyle name="40% - Accent1 9 3 2 2 2 2" xfId="43337" xr:uid="{00000000-0005-0000-0000-000062590000}"/>
    <cellStyle name="40% - Accent1 9 3 2 2 3" xfId="32036" xr:uid="{00000000-0005-0000-0000-000063590000}"/>
    <cellStyle name="40% - Accent1 9 3 2 3" xfId="15085" xr:uid="{00000000-0005-0000-0000-000064590000}"/>
    <cellStyle name="40% - Accent1 9 3 2 3 2" xfId="37687" xr:uid="{00000000-0005-0000-0000-000065590000}"/>
    <cellStyle name="40% - Accent1 9 3 2 4" xfId="26386" xr:uid="{00000000-0005-0000-0000-000066590000}"/>
    <cellStyle name="40% - Accent1 9 3 3" xfId="5512" xr:uid="{00000000-0005-0000-0000-000067590000}"/>
    <cellStyle name="40% - Accent1 9 3 3 2" xfId="11162" xr:uid="{00000000-0005-0000-0000-000068590000}"/>
    <cellStyle name="40% - Accent1 9 3 3 2 2" xfId="22463" xr:uid="{00000000-0005-0000-0000-000069590000}"/>
    <cellStyle name="40% - Accent1 9 3 3 2 2 2" xfId="45065" xr:uid="{00000000-0005-0000-0000-00006A590000}"/>
    <cellStyle name="40% - Accent1 9 3 3 2 3" xfId="33764" xr:uid="{00000000-0005-0000-0000-00006B590000}"/>
    <cellStyle name="40% - Accent1 9 3 3 3" xfId="16813" xr:uid="{00000000-0005-0000-0000-00006C590000}"/>
    <cellStyle name="40% - Accent1 9 3 3 3 2" xfId="39415" xr:uid="{00000000-0005-0000-0000-00006D590000}"/>
    <cellStyle name="40% - Accent1 9 3 3 4" xfId="28114" xr:uid="{00000000-0005-0000-0000-00006E590000}"/>
    <cellStyle name="40% - Accent1 9 3 4" xfId="7707" xr:uid="{00000000-0005-0000-0000-00006F590000}"/>
    <cellStyle name="40% - Accent1 9 3 4 2" xfId="19008" xr:uid="{00000000-0005-0000-0000-000070590000}"/>
    <cellStyle name="40% - Accent1 9 3 4 2 2" xfId="41610" xr:uid="{00000000-0005-0000-0000-000071590000}"/>
    <cellStyle name="40% - Accent1 9 3 4 3" xfId="30309" xr:uid="{00000000-0005-0000-0000-000072590000}"/>
    <cellStyle name="40% - Accent1 9 3 5" xfId="13358" xr:uid="{00000000-0005-0000-0000-000073590000}"/>
    <cellStyle name="40% - Accent1 9 3 5 2" xfId="35960" xr:uid="{00000000-0005-0000-0000-000074590000}"/>
    <cellStyle name="40% - Accent1 9 3 6" xfId="24659" xr:uid="{00000000-0005-0000-0000-000075590000}"/>
    <cellStyle name="40% - Accent1 9 4" xfId="2493" xr:uid="{00000000-0005-0000-0000-000076590000}"/>
    <cellStyle name="40% - Accent1 9 4 2" xfId="8329" xr:uid="{00000000-0005-0000-0000-000077590000}"/>
    <cellStyle name="40% - Accent1 9 4 2 2" xfId="19630" xr:uid="{00000000-0005-0000-0000-000078590000}"/>
    <cellStyle name="40% - Accent1 9 4 2 2 2" xfId="42232" xr:uid="{00000000-0005-0000-0000-000079590000}"/>
    <cellStyle name="40% - Accent1 9 4 2 3" xfId="30931" xr:uid="{00000000-0005-0000-0000-00007A590000}"/>
    <cellStyle name="40% - Accent1 9 4 3" xfId="13980" xr:uid="{00000000-0005-0000-0000-00007B590000}"/>
    <cellStyle name="40% - Accent1 9 4 3 2" xfId="36582" xr:uid="{00000000-0005-0000-0000-00007C590000}"/>
    <cellStyle name="40% - Accent1 9 4 4" xfId="25281" xr:uid="{00000000-0005-0000-0000-00007D590000}"/>
    <cellStyle name="40% - Accent1 9 5" xfId="4278" xr:uid="{00000000-0005-0000-0000-00007E590000}"/>
    <cellStyle name="40% - Accent1 9 5 2" xfId="9928" xr:uid="{00000000-0005-0000-0000-00007F590000}"/>
    <cellStyle name="40% - Accent1 9 5 2 2" xfId="21229" xr:uid="{00000000-0005-0000-0000-000080590000}"/>
    <cellStyle name="40% - Accent1 9 5 2 2 2" xfId="43831" xr:uid="{00000000-0005-0000-0000-000081590000}"/>
    <cellStyle name="40% - Accent1 9 5 2 3" xfId="32530" xr:uid="{00000000-0005-0000-0000-000082590000}"/>
    <cellStyle name="40% - Accent1 9 5 3" xfId="15579" xr:uid="{00000000-0005-0000-0000-000083590000}"/>
    <cellStyle name="40% - Accent1 9 5 3 2" xfId="38181" xr:uid="{00000000-0005-0000-0000-000084590000}"/>
    <cellStyle name="40% - Accent1 9 5 4" xfId="26880" xr:uid="{00000000-0005-0000-0000-000085590000}"/>
    <cellStyle name="40% - Accent1 9 6" xfId="6757" xr:uid="{00000000-0005-0000-0000-000086590000}"/>
    <cellStyle name="40% - Accent1 9 6 2" xfId="18058" xr:uid="{00000000-0005-0000-0000-000087590000}"/>
    <cellStyle name="40% - Accent1 9 6 2 2" xfId="40660" xr:uid="{00000000-0005-0000-0000-000088590000}"/>
    <cellStyle name="40% - Accent1 9 6 3" xfId="29359" xr:uid="{00000000-0005-0000-0000-000089590000}"/>
    <cellStyle name="40% - Accent1 9 7" xfId="12408" xr:uid="{00000000-0005-0000-0000-00008A590000}"/>
    <cellStyle name="40% - Accent1 9 7 2" xfId="35010" xr:uid="{00000000-0005-0000-0000-00008B590000}"/>
    <cellStyle name="40% - Accent1 9 8" xfId="23709" xr:uid="{00000000-0005-0000-0000-00008C590000}"/>
    <cellStyle name="40% - Accent2" xfId="24" builtinId="35" customBuiltin="1"/>
    <cellStyle name="40% - Accent2 10" xfId="1456" xr:uid="{00000000-0005-0000-0000-00008E590000}"/>
    <cellStyle name="40% - Accent2 10 2" xfId="1852" xr:uid="{00000000-0005-0000-0000-00008F590000}"/>
    <cellStyle name="40% - Accent2 10 2 2" xfId="3476" xr:uid="{00000000-0005-0000-0000-000090590000}"/>
    <cellStyle name="40% - Accent2 10 2 2 2" xfId="6448" xr:uid="{00000000-0005-0000-0000-000091590000}"/>
    <cellStyle name="40% - Accent2 10 2 2 2 2" xfId="12098" xr:uid="{00000000-0005-0000-0000-000092590000}"/>
    <cellStyle name="40% - Accent2 10 2 2 2 2 2" xfId="23399" xr:uid="{00000000-0005-0000-0000-000093590000}"/>
    <cellStyle name="40% - Accent2 10 2 2 2 2 2 2" xfId="46001" xr:uid="{00000000-0005-0000-0000-000094590000}"/>
    <cellStyle name="40% - Accent2 10 2 2 2 2 3" xfId="34700" xr:uid="{00000000-0005-0000-0000-000095590000}"/>
    <cellStyle name="40% - Accent2 10 2 2 2 3" xfId="17749" xr:uid="{00000000-0005-0000-0000-000096590000}"/>
    <cellStyle name="40% - Accent2 10 2 2 2 3 2" xfId="40351" xr:uid="{00000000-0005-0000-0000-000097590000}"/>
    <cellStyle name="40% - Accent2 10 2 2 2 4" xfId="29050" xr:uid="{00000000-0005-0000-0000-000098590000}"/>
    <cellStyle name="40% - Accent2 10 2 2 3" xfId="9266" xr:uid="{00000000-0005-0000-0000-000099590000}"/>
    <cellStyle name="40% - Accent2 10 2 2 3 2" xfId="20567" xr:uid="{00000000-0005-0000-0000-00009A590000}"/>
    <cellStyle name="40% - Accent2 10 2 2 3 2 2" xfId="43169" xr:uid="{00000000-0005-0000-0000-00009B590000}"/>
    <cellStyle name="40% - Accent2 10 2 2 3 3" xfId="31868" xr:uid="{00000000-0005-0000-0000-00009C590000}"/>
    <cellStyle name="40% - Accent2 10 2 2 4" xfId="14917" xr:uid="{00000000-0005-0000-0000-00009D590000}"/>
    <cellStyle name="40% - Accent2 10 2 2 4 2" xfId="37519" xr:uid="{00000000-0005-0000-0000-00009E590000}"/>
    <cellStyle name="40% - Accent2 10 2 2 5" xfId="26218" xr:uid="{00000000-0005-0000-0000-00009F590000}"/>
    <cellStyle name="40% - Accent2 10 2 3" xfId="5214" xr:uid="{00000000-0005-0000-0000-0000A0590000}"/>
    <cellStyle name="40% - Accent2 10 2 3 2" xfId="10864" xr:uid="{00000000-0005-0000-0000-0000A1590000}"/>
    <cellStyle name="40% - Accent2 10 2 3 2 2" xfId="22165" xr:uid="{00000000-0005-0000-0000-0000A2590000}"/>
    <cellStyle name="40% - Accent2 10 2 3 2 2 2" xfId="44767" xr:uid="{00000000-0005-0000-0000-0000A3590000}"/>
    <cellStyle name="40% - Accent2 10 2 3 2 3" xfId="33466" xr:uid="{00000000-0005-0000-0000-0000A4590000}"/>
    <cellStyle name="40% - Accent2 10 2 3 3" xfId="16515" xr:uid="{00000000-0005-0000-0000-0000A5590000}"/>
    <cellStyle name="40% - Accent2 10 2 3 3 2" xfId="39117" xr:uid="{00000000-0005-0000-0000-0000A6590000}"/>
    <cellStyle name="40% - Accent2 10 2 3 4" xfId="27816" xr:uid="{00000000-0005-0000-0000-0000A7590000}"/>
    <cellStyle name="40% - Accent2 10 2 4" xfId="7708" xr:uid="{00000000-0005-0000-0000-0000A8590000}"/>
    <cellStyle name="40% - Accent2 10 2 4 2" xfId="19009" xr:uid="{00000000-0005-0000-0000-0000A9590000}"/>
    <cellStyle name="40% - Accent2 10 2 4 2 2" xfId="41611" xr:uid="{00000000-0005-0000-0000-0000AA590000}"/>
    <cellStyle name="40% - Accent2 10 2 4 3" xfId="30310" xr:uid="{00000000-0005-0000-0000-0000AB590000}"/>
    <cellStyle name="40% - Accent2 10 2 5" xfId="13359" xr:uid="{00000000-0005-0000-0000-0000AC590000}"/>
    <cellStyle name="40% - Accent2 10 2 5 2" xfId="35961" xr:uid="{00000000-0005-0000-0000-0000AD590000}"/>
    <cellStyle name="40% - Accent2 10 2 6" xfId="24660" xr:uid="{00000000-0005-0000-0000-0000AE590000}"/>
    <cellStyle name="40% - Accent2 10 3" xfId="2807" xr:uid="{00000000-0005-0000-0000-0000AF590000}"/>
    <cellStyle name="40% - Accent2 10 3 2" xfId="5824" xr:uid="{00000000-0005-0000-0000-0000B0590000}"/>
    <cellStyle name="40% - Accent2 10 3 2 2" xfId="11474" xr:uid="{00000000-0005-0000-0000-0000B1590000}"/>
    <cellStyle name="40% - Accent2 10 3 2 2 2" xfId="22775" xr:uid="{00000000-0005-0000-0000-0000B2590000}"/>
    <cellStyle name="40% - Accent2 10 3 2 2 2 2" xfId="45377" xr:uid="{00000000-0005-0000-0000-0000B3590000}"/>
    <cellStyle name="40% - Accent2 10 3 2 2 3" xfId="34076" xr:uid="{00000000-0005-0000-0000-0000B4590000}"/>
    <cellStyle name="40% - Accent2 10 3 2 3" xfId="17125" xr:uid="{00000000-0005-0000-0000-0000B5590000}"/>
    <cellStyle name="40% - Accent2 10 3 2 3 2" xfId="39727" xr:uid="{00000000-0005-0000-0000-0000B6590000}"/>
    <cellStyle name="40% - Accent2 10 3 2 4" xfId="28426" xr:uid="{00000000-0005-0000-0000-0000B7590000}"/>
    <cellStyle name="40% - Accent2 10 3 3" xfId="8641" xr:uid="{00000000-0005-0000-0000-0000B8590000}"/>
    <cellStyle name="40% - Accent2 10 3 3 2" xfId="19942" xr:uid="{00000000-0005-0000-0000-0000B9590000}"/>
    <cellStyle name="40% - Accent2 10 3 3 2 2" xfId="42544" xr:uid="{00000000-0005-0000-0000-0000BA590000}"/>
    <cellStyle name="40% - Accent2 10 3 3 3" xfId="31243" xr:uid="{00000000-0005-0000-0000-0000BB590000}"/>
    <cellStyle name="40% - Accent2 10 3 4" xfId="14292" xr:uid="{00000000-0005-0000-0000-0000BC590000}"/>
    <cellStyle name="40% - Accent2 10 3 4 2" xfId="36894" xr:uid="{00000000-0005-0000-0000-0000BD590000}"/>
    <cellStyle name="40% - Accent2 10 3 5" xfId="25593" xr:uid="{00000000-0005-0000-0000-0000BE590000}"/>
    <cellStyle name="40% - Accent2 10 4" xfId="4590" xr:uid="{00000000-0005-0000-0000-0000BF590000}"/>
    <cellStyle name="40% - Accent2 10 4 2" xfId="10240" xr:uid="{00000000-0005-0000-0000-0000C0590000}"/>
    <cellStyle name="40% - Accent2 10 4 2 2" xfId="21541" xr:uid="{00000000-0005-0000-0000-0000C1590000}"/>
    <cellStyle name="40% - Accent2 10 4 2 2 2" xfId="44143" xr:uid="{00000000-0005-0000-0000-0000C2590000}"/>
    <cellStyle name="40% - Accent2 10 4 2 3" xfId="32842" xr:uid="{00000000-0005-0000-0000-0000C3590000}"/>
    <cellStyle name="40% - Accent2 10 4 3" xfId="15891" xr:uid="{00000000-0005-0000-0000-0000C4590000}"/>
    <cellStyle name="40% - Accent2 10 4 3 2" xfId="38493" xr:uid="{00000000-0005-0000-0000-0000C5590000}"/>
    <cellStyle name="40% - Accent2 10 4 4" xfId="27192" xr:uid="{00000000-0005-0000-0000-0000C6590000}"/>
    <cellStyle name="40% - Accent2 10 5" xfId="7383" xr:uid="{00000000-0005-0000-0000-0000C7590000}"/>
    <cellStyle name="40% - Accent2 10 5 2" xfId="18684" xr:uid="{00000000-0005-0000-0000-0000C8590000}"/>
    <cellStyle name="40% - Accent2 10 5 2 2" xfId="41286" xr:uid="{00000000-0005-0000-0000-0000C9590000}"/>
    <cellStyle name="40% - Accent2 10 5 3" xfId="29985" xr:uid="{00000000-0005-0000-0000-0000CA590000}"/>
    <cellStyle name="40% - Accent2 10 6" xfId="13034" xr:uid="{00000000-0005-0000-0000-0000CB590000}"/>
    <cellStyle name="40% - Accent2 10 6 2" xfId="35636" xr:uid="{00000000-0005-0000-0000-0000CC590000}"/>
    <cellStyle name="40% - Accent2 10 7" xfId="24335" xr:uid="{00000000-0005-0000-0000-0000CD590000}"/>
    <cellStyle name="40% - Accent2 11" xfId="1454" xr:uid="{00000000-0005-0000-0000-0000CE590000}"/>
    <cellStyle name="40% - Accent2 11 2" xfId="1853" xr:uid="{00000000-0005-0000-0000-0000CF590000}"/>
    <cellStyle name="40% - Accent2 11 2 2" xfId="3725" xr:uid="{00000000-0005-0000-0000-0000D0590000}"/>
    <cellStyle name="40% - Accent2 11 2 2 2" xfId="9435" xr:uid="{00000000-0005-0000-0000-0000D1590000}"/>
    <cellStyle name="40% - Accent2 11 2 2 2 2" xfId="20736" xr:uid="{00000000-0005-0000-0000-0000D2590000}"/>
    <cellStyle name="40% - Accent2 11 2 2 2 2 2" xfId="43338" xr:uid="{00000000-0005-0000-0000-0000D3590000}"/>
    <cellStyle name="40% - Accent2 11 2 2 2 3" xfId="32037" xr:uid="{00000000-0005-0000-0000-0000D4590000}"/>
    <cellStyle name="40% - Accent2 11 2 2 3" xfId="15086" xr:uid="{00000000-0005-0000-0000-0000D5590000}"/>
    <cellStyle name="40% - Accent2 11 2 2 3 2" xfId="37688" xr:uid="{00000000-0005-0000-0000-0000D6590000}"/>
    <cellStyle name="40% - Accent2 11 2 2 4" xfId="26387" xr:uid="{00000000-0005-0000-0000-0000D7590000}"/>
    <cellStyle name="40% - Accent2 11 2 3" xfId="7709" xr:uid="{00000000-0005-0000-0000-0000D8590000}"/>
    <cellStyle name="40% - Accent2 11 2 3 2" xfId="19010" xr:uid="{00000000-0005-0000-0000-0000D9590000}"/>
    <cellStyle name="40% - Accent2 11 2 3 2 2" xfId="41612" xr:uid="{00000000-0005-0000-0000-0000DA590000}"/>
    <cellStyle name="40% - Accent2 11 2 3 3" xfId="30311" xr:uid="{00000000-0005-0000-0000-0000DB590000}"/>
    <cellStyle name="40% - Accent2 11 2 4" xfId="13360" xr:uid="{00000000-0005-0000-0000-0000DC590000}"/>
    <cellStyle name="40% - Accent2 11 2 4 2" xfId="35962" xr:uid="{00000000-0005-0000-0000-0000DD590000}"/>
    <cellStyle name="40% - Accent2 11 2 5" xfId="24661" xr:uid="{00000000-0005-0000-0000-0000DE590000}"/>
    <cellStyle name="40% - Accent2 11 3" xfId="2176" xr:uid="{00000000-0005-0000-0000-0000DF590000}"/>
    <cellStyle name="40% - Accent2 11 3 2" xfId="8020" xr:uid="{00000000-0005-0000-0000-0000E0590000}"/>
    <cellStyle name="40% - Accent2 11 3 2 2" xfId="19321" xr:uid="{00000000-0005-0000-0000-0000E1590000}"/>
    <cellStyle name="40% - Accent2 11 3 2 2 2" xfId="41923" xr:uid="{00000000-0005-0000-0000-0000E2590000}"/>
    <cellStyle name="40% - Accent2 11 3 2 3" xfId="30622" xr:uid="{00000000-0005-0000-0000-0000E3590000}"/>
    <cellStyle name="40% - Accent2 11 3 3" xfId="13671" xr:uid="{00000000-0005-0000-0000-0000E4590000}"/>
    <cellStyle name="40% - Accent2 11 3 3 2" xfId="36273" xr:uid="{00000000-0005-0000-0000-0000E5590000}"/>
    <cellStyle name="40% - Accent2 11 3 4" xfId="24972" xr:uid="{00000000-0005-0000-0000-0000E6590000}"/>
    <cellStyle name="40% - Accent2 11 4" xfId="3973" xr:uid="{00000000-0005-0000-0000-0000E7590000}"/>
    <cellStyle name="40% - Accent2 11 4 2" xfId="9623" xr:uid="{00000000-0005-0000-0000-0000E8590000}"/>
    <cellStyle name="40% - Accent2 11 4 2 2" xfId="20924" xr:uid="{00000000-0005-0000-0000-0000E9590000}"/>
    <cellStyle name="40% - Accent2 11 4 2 2 2" xfId="43526" xr:uid="{00000000-0005-0000-0000-0000EA590000}"/>
    <cellStyle name="40% - Accent2 11 4 2 3" xfId="32225" xr:uid="{00000000-0005-0000-0000-0000EB590000}"/>
    <cellStyle name="40% - Accent2 11 4 3" xfId="15274" xr:uid="{00000000-0005-0000-0000-0000EC590000}"/>
    <cellStyle name="40% - Accent2 11 4 3 2" xfId="37876" xr:uid="{00000000-0005-0000-0000-0000ED590000}"/>
    <cellStyle name="40% - Accent2 11 4 4" xfId="26575" xr:uid="{00000000-0005-0000-0000-0000EE590000}"/>
    <cellStyle name="40% - Accent2 11 5" xfId="7382" xr:uid="{00000000-0005-0000-0000-0000EF590000}"/>
    <cellStyle name="40% - Accent2 11 5 2" xfId="18683" xr:uid="{00000000-0005-0000-0000-0000F0590000}"/>
    <cellStyle name="40% - Accent2 11 5 2 2" xfId="41285" xr:uid="{00000000-0005-0000-0000-0000F1590000}"/>
    <cellStyle name="40% - Accent2 11 5 3" xfId="29984" xr:uid="{00000000-0005-0000-0000-0000F2590000}"/>
    <cellStyle name="40% - Accent2 11 6" xfId="13033" xr:uid="{00000000-0005-0000-0000-0000F3590000}"/>
    <cellStyle name="40% - Accent2 11 6 2" xfId="35635" xr:uid="{00000000-0005-0000-0000-0000F4590000}"/>
    <cellStyle name="40% - Accent2 11 7" xfId="24334" xr:uid="{00000000-0005-0000-0000-0000F5590000}"/>
    <cellStyle name="40% - Accent2 12" xfId="852" xr:uid="{00000000-0005-0000-0000-0000F6590000}"/>
    <cellStyle name="40% - Accent2 12 2" xfId="2349" xr:uid="{00000000-0005-0000-0000-0000F7590000}"/>
    <cellStyle name="40% - Accent2 12 2 2" xfId="8185" xr:uid="{00000000-0005-0000-0000-0000F8590000}"/>
    <cellStyle name="40% - Accent2 12 2 2 2" xfId="19486" xr:uid="{00000000-0005-0000-0000-0000F9590000}"/>
    <cellStyle name="40% - Accent2 12 2 2 2 2" xfId="42088" xr:uid="{00000000-0005-0000-0000-0000FA590000}"/>
    <cellStyle name="40% - Accent2 12 2 2 3" xfId="30787" xr:uid="{00000000-0005-0000-0000-0000FB590000}"/>
    <cellStyle name="40% - Accent2 12 2 3" xfId="13836" xr:uid="{00000000-0005-0000-0000-0000FC590000}"/>
    <cellStyle name="40% - Accent2 12 2 3 2" xfId="36438" xr:uid="{00000000-0005-0000-0000-0000FD590000}"/>
    <cellStyle name="40% - Accent2 12 2 4" xfId="25137" xr:uid="{00000000-0005-0000-0000-0000FE590000}"/>
    <cellStyle name="40% - Accent2 13" xfId="3553" xr:uid="{00000000-0005-0000-0000-0000FF590000}"/>
    <cellStyle name="40% - Accent2 14" xfId="110" xr:uid="{00000000-0005-0000-0000-0000005A0000}"/>
    <cellStyle name="40% - Accent2 2" xfId="49" xr:uid="{00000000-0005-0000-0000-0000015A0000}"/>
    <cellStyle name="40% - Accent2 2 2" xfId="331" xr:uid="{00000000-0005-0000-0000-0000025A0000}"/>
    <cellStyle name="40% - Accent2 2 2 10" xfId="23447" xr:uid="{00000000-0005-0000-0000-0000035A0000}"/>
    <cellStyle name="40% - Accent2 2 2 2" xfId="597" xr:uid="{00000000-0005-0000-0000-0000045A0000}"/>
    <cellStyle name="40% - Accent2 2 2 2 2" xfId="1307" xr:uid="{00000000-0005-0000-0000-0000055A0000}"/>
    <cellStyle name="40% - Accent2 2 2 2 2 2" xfId="1856" xr:uid="{00000000-0005-0000-0000-0000065A0000}"/>
    <cellStyle name="40% - Accent2 2 2 2 2 2 2" xfId="3376" xr:uid="{00000000-0005-0000-0000-0000075A0000}"/>
    <cellStyle name="40% - Accent2 2 2 2 2 2 2 2" xfId="6348" xr:uid="{00000000-0005-0000-0000-0000085A0000}"/>
    <cellStyle name="40% - Accent2 2 2 2 2 2 2 2 2" xfId="11998" xr:uid="{00000000-0005-0000-0000-0000095A0000}"/>
    <cellStyle name="40% - Accent2 2 2 2 2 2 2 2 2 2" xfId="23299" xr:uid="{00000000-0005-0000-0000-00000A5A0000}"/>
    <cellStyle name="40% - Accent2 2 2 2 2 2 2 2 2 2 2" xfId="45901" xr:uid="{00000000-0005-0000-0000-00000B5A0000}"/>
    <cellStyle name="40% - Accent2 2 2 2 2 2 2 2 2 3" xfId="34600" xr:uid="{00000000-0005-0000-0000-00000C5A0000}"/>
    <cellStyle name="40% - Accent2 2 2 2 2 2 2 2 3" xfId="17649" xr:uid="{00000000-0005-0000-0000-00000D5A0000}"/>
    <cellStyle name="40% - Accent2 2 2 2 2 2 2 2 3 2" xfId="40251" xr:uid="{00000000-0005-0000-0000-00000E5A0000}"/>
    <cellStyle name="40% - Accent2 2 2 2 2 2 2 2 4" xfId="28950" xr:uid="{00000000-0005-0000-0000-00000F5A0000}"/>
    <cellStyle name="40% - Accent2 2 2 2 2 2 2 3" xfId="9166" xr:uid="{00000000-0005-0000-0000-0000105A0000}"/>
    <cellStyle name="40% - Accent2 2 2 2 2 2 2 3 2" xfId="20467" xr:uid="{00000000-0005-0000-0000-0000115A0000}"/>
    <cellStyle name="40% - Accent2 2 2 2 2 2 2 3 2 2" xfId="43069" xr:uid="{00000000-0005-0000-0000-0000125A0000}"/>
    <cellStyle name="40% - Accent2 2 2 2 2 2 2 3 3" xfId="31768" xr:uid="{00000000-0005-0000-0000-0000135A0000}"/>
    <cellStyle name="40% - Accent2 2 2 2 2 2 2 4" xfId="14817" xr:uid="{00000000-0005-0000-0000-0000145A0000}"/>
    <cellStyle name="40% - Accent2 2 2 2 2 2 2 4 2" xfId="37419" xr:uid="{00000000-0005-0000-0000-0000155A0000}"/>
    <cellStyle name="40% - Accent2 2 2 2 2 2 2 5" xfId="26118" xr:uid="{00000000-0005-0000-0000-0000165A0000}"/>
    <cellStyle name="40% - Accent2 2 2 2 2 2 3" xfId="5114" xr:uid="{00000000-0005-0000-0000-0000175A0000}"/>
    <cellStyle name="40% - Accent2 2 2 2 2 2 3 2" xfId="10764" xr:uid="{00000000-0005-0000-0000-0000185A0000}"/>
    <cellStyle name="40% - Accent2 2 2 2 2 2 3 2 2" xfId="22065" xr:uid="{00000000-0005-0000-0000-0000195A0000}"/>
    <cellStyle name="40% - Accent2 2 2 2 2 2 3 2 2 2" xfId="44667" xr:uid="{00000000-0005-0000-0000-00001A5A0000}"/>
    <cellStyle name="40% - Accent2 2 2 2 2 2 3 2 3" xfId="33366" xr:uid="{00000000-0005-0000-0000-00001B5A0000}"/>
    <cellStyle name="40% - Accent2 2 2 2 2 2 3 3" xfId="16415" xr:uid="{00000000-0005-0000-0000-00001C5A0000}"/>
    <cellStyle name="40% - Accent2 2 2 2 2 2 3 3 2" xfId="39017" xr:uid="{00000000-0005-0000-0000-00001D5A0000}"/>
    <cellStyle name="40% - Accent2 2 2 2 2 2 3 4" xfId="27716" xr:uid="{00000000-0005-0000-0000-00001E5A0000}"/>
    <cellStyle name="40% - Accent2 2 2 2 2 2 4" xfId="7712" xr:uid="{00000000-0005-0000-0000-00001F5A0000}"/>
    <cellStyle name="40% - Accent2 2 2 2 2 2 4 2" xfId="19013" xr:uid="{00000000-0005-0000-0000-0000205A0000}"/>
    <cellStyle name="40% - Accent2 2 2 2 2 2 4 2 2" xfId="41615" xr:uid="{00000000-0005-0000-0000-0000215A0000}"/>
    <cellStyle name="40% - Accent2 2 2 2 2 2 4 3" xfId="30314" xr:uid="{00000000-0005-0000-0000-0000225A0000}"/>
    <cellStyle name="40% - Accent2 2 2 2 2 2 5" xfId="13363" xr:uid="{00000000-0005-0000-0000-0000235A0000}"/>
    <cellStyle name="40% - Accent2 2 2 2 2 2 5 2" xfId="35965" xr:uid="{00000000-0005-0000-0000-0000245A0000}"/>
    <cellStyle name="40% - Accent2 2 2 2 2 2 6" xfId="24664" xr:uid="{00000000-0005-0000-0000-0000255A0000}"/>
    <cellStyle name="40% - Accent2 2 2 2 2 3" xfId="2705" xr:uid="{00000000-0005-0000-0000-0000265A0000}"/>
    <cellStyle name="40% - Accent2 2 2 2 2 3 2" xfId="5724" xr:uid="{00000000-0005-0000-0000-0000275A0000}"/>
    <cellStyle name="40% - Accent2 2 2 2 2 3 2 2" xfId="11374" xr:uid="{00000000-0005-0000-0000-0000285A0000}"/>
    <cellStyle name="40% - Accent2 2 2 2 2 3 2 2 2" xfId="22675" xr:uid="{00000000-0005-0000-0000-0000295A0000}"/>
    <cellStyle name="40% - Accent2 2 2 2 2 3 2 2 2 2" xfId="45277" xr:uid="{00000000-0005-0000-0000-00002A5A0000}"/>
    <cellStyle name="40% - Accent2 2 2 2 2 3 2 2 3" xfId="33976" xr:uid="{00000000-0005-0000-0000-00002B5A0000}"/>
    <cellStyle name="40% - Accent2 2 2 2 2 3 2 3" xfId="17025" xr:uid="{00000000-0005-0000-0000-00002C5A0000}"/>
    <cellStyle name="40% - Accent2 2 2 2 2 3 2 3 2" xfId="39627" xr:uid="{00000000-0005-0000-0000-00002D5A0000}"/>
    <cellStyle name="40% - Accent2 2 2 2 2 3 2 4" xfId="28326" xr:uid="{00000000-0005-0000-0000-00002E5A0000}"/>
    <cellStyle name="40% - Accent2 2 2 2 2 3 3" xfId="8541" xr:uid="{00000000-0005-0000-0000-00002F5A0000}"/>
    <cellStyle name="40% - Accent2 2 2 2 2 3 3 2" xfId="19842" xr:uid="{00000000-0005-0000-0000-0000305A0000}"/>
    <cellStyle name="40% - Accent2 2 2 2 2 3 3 2 2" xfId="42444" xr:uid="{00000000-0005-0000-0000-0000315A0000}"/>
    <cellStyle name="40% - Accent2 2 2 2 2 3 3 3" xfId="31143" xr:uid="{00000000-0005-0000-0000-0000325A0000}"/>
    <cellStyle name="40% - Accent2 2 2 2 2 3 4" xfId="14192" xr:uid="{00000000-0005-0000-0000-0000335A0000}"/>
    <cellStyle name="40% - Accent2 2 2 2 2 3 4 2" xfId="36794" xr:uid="{00000000-0005-0000-0000-0000345A0000}"/>
    <cellStyle name="40% - Accent2 2 2 2 2 3 5" xfId="25493" xr:uid="{00000000-0005-0000-0000-0000355A0000}"/>
    <cellStyle name="40% - Accent2 2 2 2 2 4" xfId="4490" xr:uid="{00000000-0005-0000-0000-0000365A0000}"/>
    <cellStyle name="40% - Accent2 2 2 2 2 4 2" xfId="10140" xr:uid="{00000000-0005-0000-0000-0000375A0000}"/>
    <cellStyle name="40% - Accent2 2 2 2 2 4 2 2" xfId="21441" xr:uid="{00000000-0005-0000-0000-0000385A0000}"/>
    <cellStyle name="40% - Accent2 2 2 2 2 4 2 2 2" xfId="44043" xr:uid="{00000000-0005-0000-0000-0000395A0000}"/>
    <cellStyle name="40% - Accent2 2 2 2 2 4 2 3" xfId="32742" xr:uid="{00000000-0005-0000-0000-00003A5A0000}"/>
    <cellStyle name="40% - Accent2 2 2 2 2 4 3" xfId="15791" xr:uid="{00000000-0005-0000-0000-00003B5A0000}"/>
    <cellStyle name="40% - Accent2 2 2 2 2 4 3 2" xfId="38393" xr:uid="{00000000-0005-0000-0000-00003C5A0000}"/>
    <cellStyle name="40% - Accent2 2 2 2 2 4 4" xfId="27092" xr:uid="{00000000-0005-0000-0000-00003D5A0000}"/>
    <cellStyle name="40% - Accent2 2 2 2 2 5" xfId="7286" xr:uid="{00000000-0005-0000-0000-00003E5A0000}"/>
    <cellStyle name="40% - Accent2 2 2 2 2 5 2" xfId="18587" xr:uid="{00000000-0005-0000-0000-00003F5A0000}"/>
    <cellStyle name="40% - Accent2 2 2 2 2 5 2 2" xfId="41189" xr:uid="{00000000-0005-0000-0000-0000405A0000}"/>
    <cellStyle name="40% - Accent2 2 2 2 2 5 3" xfId="29888" xr:uid="{00000000-0005-0000-0000-0000415A0000}"/>
    <cellStyle name="40% - Accent2 2 2 2 2 6" xfId="12937" xr:uid="{00000000-0005-0000-0000-0000425A0000}"/>
    <cellStyle name="40% - Accent2 2 2 2 2 6 2" xfId="35539" xr:uid="{00000000-0005-0000-0000-0000435A0000}"/>
    <cellStyle name="40% - Accent2 2 2 2 2 7" xfId="24238" xr:uid="{00000000-0005-0000-0000-0000445A0000}"/>
    <cellStyle name="40% - Accent2 2 2 2 3" xfId="1005" xr:uid="{00000000-0005-0000-0000-0000455A0000}"/>
    <cellStyle name="40% - Accent2 2 2 2 3 2" xfId="3068" xr:uid="{00000000-0005-0000-0000-0000465A0000}"/>
    <cellStyle name="40% - Accent2 2 2 2 3 2 2" xfId="6040" xr:uid="{00000000-0005-0000-0000-0000475A0000}"/>
    <cellStyle name="40% - Accent2 2 2 2 3 2 2 2" xfId="11690" xr:uid="{00000000-0005-0000-0000-0000485A0000}"/>
    <cellStyle name="40% - Accent2 2 2 2 3 2 2 2 2" xfId="22991" xr:uid="{00000000-0005-0000-0000-0000495A0000}"/>
    <cellStyle name="40% - Accent2 2 2 2 3 2 2 2 2 2" xfId="45593" xr:uid="{00000000-0005-0000-0000-00004A5A0000}"/>
    <cellStyle name="40% - Accent2 2 2 2 3 2 2 2 3" xfId="34292" xr:uid="{00000000-0005-0000-0000-00004B5A0000}"/>
    <cellStyle name="40% - Accent2 2 2 2 3 2 2 3" xfId="17341" xr:uid="{00000000-0005-0000-0000-00004C5A0000}"/>
    <cellStyle name="40% - Accent2 2 2 2 3 2 2 3 2" xfId="39943" xr:uid="{00000000-0005-0000-0000-00004D5A0000}"/>
    <cellStyle name="40% - Accent2 2 2 2 3 2 2 4" xfId="28642" xr:uid="{00000000-0005-0000-0000-00004E5A0000}"/>
    <cellStyle name="40% - Accent2 2 2 2 3 2 3" xfId="8858" xr:uid="{00000000-0005-0000-0000-00004F5A0000}"/>
    <cellStyle name="40% - Accent2 2 2 2 3 2 3 2" xfId="20159" xr:uid="{00000000-0005-0000-0000-0000505A0000}"/>
    <cellStyle name="40% - Accent2 2 2 2 3 2 3 2 2" xfId="42761" xr:uid="{00000000-0005-0000-0000-0000515A0000}"/>
    <cellStyle name="40% - Accent2 2 2 2 3 2 3 3" xfId="31460" xr:uid="{00000000-0005-0000-0000-0000525A0000}"/>
    <cellStyle name="40% - Accent2 2 2 2 3 2 4" xfId="14509" xr:uid="{00000000-0005-0000-0000-0000535A0000}"/>
    <cellStyle name="40% - Accent2 2 2 2 3 2 4 2" xfId="37111" xr:uid="{00000000-0005-0000-0000-0000545A0000}"/>
    <cellStyle name="40% - Accent2 2 2 2 3 2 5" xfId="25810" xr:uid="{00000000-0005-0000-0000-0000555A0000}"/>
    <cellStyle name="40% - Accent2 2 2 2 3 3" xfId="4806" xr:uid="{00000000-0005-0000-0000-0000565A0000}"/>
    <cellStyle name="40% - Accent2 2 2 2 3 3 2" xfId="10456" xr:uid="{00000000-0005-0000-0000-0000575A0000}"/>
    <cellStyle name="40% - Accent2 2 2 2 3 3 2 2" xfId="21757" xr:uid="{00000000-0005-0000-0000-0000585A0000}"/>
    <cellStyle name="40% - Accent2 2 2 2 3 3 2 2 2" xfId="44359" xr:uid="{00000000-0005-0000-0000-0000595A0000}"/>
    <cellStyle name="40% - Accent2 2 2 2 3 3 2 3" xfId="33058" xr:uid="{00000000-0005-0000-0000-00005A5A0000}"/>
    <cellStyle name="40% - Accent2 2 2 2 3 3 3" xfId="16107" xr:uid="{00000000-0005-0000-0000-00005B5A0000}"/>
    <cellStyle name="40% - Accent2 2 2 2 3 3 3 2" xfId="38709" xr:uid="{00000000-0005-0000-0000-00005C5A0000}"/>
    <cellStyle name="40% - Accent2 2 2 2 3 3 4" xfId="27408" xr:uid="{00000000-0005-0000-0000-00005D5A0000}"/>
    <cellStyle name="40% - Accent2 2 2 2 3 4" xfId="6993" xr:uid="{00000000-0005-0000-0000-00005E5A0000}"/>
    <cellStyle name="40% - Accent2 2 2 2 3 4 2" xfId="18294" xr:uid="{00000000-0005-0000-0000-00005F5A0000}"/>
    <cellStyle name="40% - Accent2 2 2 2 3 4 2 2" xfId="40896" xr:uid="{00000000-0005-0000-0000-0000605A0000}"/>
    <cellStyle name="40% - Accent2 2 2 2 3 4 3" xfId="29595" xr:uid="{00000000-0005-0000-0000-0000615A0000}"/>
    <cellStyle name="40% - Accent2 2 2 2 3 5" xfId="12644" xr:uid="{00000000-0005-0000-0000-0000625A0000}"/>
    <cellStyle name="40% - Accent2 2 2 2 3 5 2" xfId="35246" xr:uid="{00000000-0005-0000-0000-0000635A0000}"/>
    <cellStyle name="40% - Accent2 2 2 2 3 6" xfId="23945" xr:uid="{00000000-0005-0000-0000-0000645A0000}"/>
    <cellStyle name="40% - Accent2 2 2 2 4" xfId="1855" xr:uid="{00000000-0005-0000-0000-0000655A0000}"/>
    <cellStyle name="40% - Accent2 2 2 2 4 2" xfId="3727" xr:uid="{00000000-0005-0000-0000-0000665A0000}"/>
    <cellStyle name="40% - Accent2 2 2 2 4 2 2" xfId="9437" xr:uid="{00000000-0005-0000-0000-0000675A0000}"/>
    <cellStyle name="40% - Accent2 2 2 2 4 2 2 2" xfId="20738" xr:uid="{00000000-0005-0000-0000-0000685A0000}"/>
    <cellStyle name="40% - Accent2 2 2 2 4 2 2 2 2" xfId="43340" xr:uid="{00000000-0005-0000-0000-0000695A0000}"/>
    <cellStyle name="40% - Accent2 2 2 2 4 2 2 3" xfId="32039" xr:uid="{00000000-0005-0000-0000-00006A5A0000}"/>
    <cellStyle name="40% - Accent2 2 2 2 4 2 3" xfId="15088" xr:uid="{00000000-0005-0000-0000-00006B5A0000}"/>
    <cellStyle name="40% - Accent2 2 2 2 4 2 3 2" xfId="37690" xr:uid="{00000000-0005-0000-0000-00006C5A0000}"/>
    <cellStyle name="40% - Accent2 2 2 2 4 2 4" xfId="26389" xr:uid="{00000000-0005-0000-0000-00006D5A0000}"/>
    <cellStyle name="40% - Accent2 2 2 2 4 3" xfId="5416" xr:uid="{00000000-0005-0000-0000-00006E5A0000}"/>
    <cellStyle name="40% - Accent2 2 2 2 4 3 2" xfId="11066" xr:uid="{00000000-0005-0000-0000-00006F5A0000}"/>
    <cellStyle name="40% - Accent2 2 2 2 4 3 2 2" xfId="22367" xr:uid="{00000000-0005-0000-0000-0000705A0000}"/>
    <cellStyle name="40% - Accent2 2 2 2 4 3 2 2 2" xfId="44969" xr:uid="{00000000-0005-0000-0000-0000715A0000}"/>
    <cellStyle name="40% - Accent2 2 2 2 4 3 2 3" xfId="33668" xr:uid="{00000000-0005-0000-0000-0000725A0000}"/>
    <cellStyle name="40% - Accent2 2 2 2 4 3 3" xfId="16717" xr:uid="{00000000-0005-0000-0000-0000735A0000}"/>
    <cellStyle name="40% - Accent2 2 2 2 4 3 3 2" xfId="39319" xr:uid="{00000000-0005-0000-0000-0000745A0000}"/>
    <cellStyle name="40% - Accent2 2 2 2 4 3 4" xfId="28018" xr:uid="{00000000-0005-0000-0000-0000755A0000}"/>
    <cellStyle name="40% - Accent2 2 2 2 4 4" xfId="7711" xr:uid="{00000000-0005-0000-0000-0000765A0000}"/>
    <cellStyle name="40% - Accent2 2 2 2 4 4 2" xfId="19012" xr:uid="{00000000-0005-0000-0000-0000775A0000}"/>
    <cellStyle name="40% - Accent2 2 2 2 4 4 2 2" xfId="41614" xr:uid="{00000000-0005-0000-0000-0000785A0000}"/>
    <cellStyle name="40% - Accent2 2 2 2 4 4 3" xfId="30313" xr:uid="{00000000-0005-0000-0000-0000795A0000}"/>
    <cellStyle name="40% - Accent2 2 2 2 4 5" xfId="13362" xr:uid="{00000000-0005-0000-0000-00007A5A0000}"/>
    <cellStyle name="40% - Accent2 2 2 2 4 5 2" xfId="35964" xr:uid="{00000000-0005-0000-0000-00007B5A0000}"/>
    <cellStyle name="40% - Accent2 2 2 2 4 6" xfId="24663" xr:uid="{00000000-0005-0000-0000-00007C5A0000}"/>
    <cellStyle name="40% - Accent2 2 2 2 5" xfId="2397" xr:uid="{00000000-0005-0000-0000-00007D5A0000}"/>
    <cellStyle name="40% - Accent2 2 2 2 5 2" xfId="8233" xr:uid="{00000000-0005-0000-0000-00007E5A0000}"/>
    <cellStyle name="40% - Accent2 2 2 2 5 2 2" xfId="19534" xr:uid="{00000000-0005-0000-0000-00007F5A0000}"/>
    <cellStyle name="40% - Accent2 2 2 2 5 2 2 2" xfId="42136" xr:uid="{00000000-0005-0000-0000-0000805A0000}"/>
    <cellStyle name="40% - Accent2 2 2 2 5 2 3" xfId="30835" xr:uid="{00000000-0005-0000-0000-0000815A0000}"/>
    <cellStyle name="40% - Accent2 2 2 2 5 3" xfId="13884" xr:uid="{00000000-0005-0000-0000-0000825A0000}"/>
    <cellStyle name="40% - Accent2 2 2 2 5 3 2" xfId="36486" xr:uid="{00000000-0005-0000-0000-0000835A0000}"/>
    <cellStyle name="40% - Accent2 2 2 2 5 4" xfId="25185" xr:uid="{00000000-0005-0000-0000-0000845A0000}"/>
    <cellStyle name="40% - Accent2 2 2 2 6" xfId="4182" xr:uid="{00000000-0005-0000-0000-0000855A0000}"/>
    <cellStyle name="40% - Accent2 2 2 2 6 2" xfId="9832" xr:uid="{00000000-0005-0000-0000-0000865A0000}"/>
    <cellStyle name="40% - Accent2 2 2 2 6 2 2" xfId="21133" xr:uid="{00000000-0005-0000-0000-0000875A0000}"/>
    <cellStyle name="40% - Accent2 2 2 2 6 2 2 2" xfId="43735" xr:uid="{00000000-0005-0000-0000-0000885A0000}"/>
    <cellStyle name="40% - Accent2 2 2 2 6 2 3" xfId="32434" xr:uid="{00000000-0005-0000-0000-0000895A0000}"/>
    <cellStyle name="40% - Accent2 2 2 2 6 3" xfId="15483" xr:uid="{00000000-0005-0000-0000-00008A5A0000}"/>
    <cellStyle name="40% - Accent2 2 2 2 6 3 2" xfId="38085" xr:uid="{00000000-0005-0000-0000-00008B5A0000}"/>
    <cellStyle name="40% - Accent2 2 2 2 6 4" xfId="26784" xr:uid="{00000000-0005-0000-0000-00008C5A0000}"/>
    <cellStyle name="40% - Accent2 2 2 2 7" xfId="6662" xr:uid="{00000000-0005-0000-0000-00008D5A0000}"/>
    <cellStyle name="40% - Accent2 2 2 2 7 2" xfId="17963" xr:uid="{00000000-0005-0000-0000-00008E5A0000}"/>
    <cellStyle name="40% - Accent2 2 2 2 7 2 2" xfId="40565" xr:uid="{00000000-0005-0000-0000-00008F5A0000}"/>
    <cellStyle name="40% - Accent2 2 2 2 7 3" xfId="29264" xr:uid="{00000000-0005-0000-0000-0000905A0000}"/>
    <cellStyle name="40% - Accent2 2 2 2 8" xfId="12313" xr:uid="{00000000-0005-0000-0000-0000915A0000}"/>
    <cellStyle name="40% - Accent2 2 2 2 8 2" xfId="34915" xr:uid="{00000000-0005-0000-0000-0000925A0000}"/>
    <cellStyle name="40% - Accent2 2 2 2 9" xfId="23614" xr:uid="{00000000-0005-0000-0000-0000935A0000}"/>
    <cellStyle name="40% - Accent2 2 2 3" xfId="1169" xr:uid="{00000000-0005-0000-0000-0000945A0000}"/>
    <cellStyle name="40% - Accent2 2 2 3 2" xfId="1857" xr:uid="{00000000-0005-0000-0000-0000955A0000}"/>
    <cellStyle name="40% - Accent2 2 2 3 2 2" xfId="3237" xr:uid="{00000000-0005-0000-0000-0000965A0000}"/>
    <cellStyle name="40% - Accent2 2 2 3 2 2 2" xfId="6209" xr:uid="{00000000-0005-0000-0000-0000975A0000}"/>
    <cellStyle name="40% - Accent2 2 2 3 2 2 2 2" xfId="11859" xr:uid="{00000000-0005-0000-0000-0000985A0000}"/>
    <cellStyle name="40% - Accent2 2 2 3 2 2 2 2 2" xfId="23160" xr:uid="{00000000-0005-0000-0000-0000995A0000}"/>
    <cellStyle name="40% - Accent2 2 2 3 2 2 2 2 2 2" xfId="45762" xr:uid="{00000000-0005-0000-0000-00009A5A0000}"/>
    <cellStyle name="40% - Accent2 2 2 3 2 2 2 2 3" xfId="34461" xr:uid="{00000000-0005-0000-0000-00009B5A0000}"/>
    <cellStyle name="40% - Accent2 2 2 3 2 2 2 3" xfId="17510" xr:uid="{00000000-0005-0000-0000-00009C5A0000}"/>
    <cellStyle name="40% - Accent2 2 2 3 2 2 2 3 2" xfId="40112" xr:uid="{00000000-0005-0000-0000-00009D5A0000}"/>
    <cellStyle name="40% - Accent2 2 2 3 2 2 2 4" xfId="28811" xr:uid="{00000000-0005-0000-0000-00009E5A0000}"/>
    <cellStyle name="40% - Accent2 2 2 3 2 2 3" xfId="9027" xr:uid="{00000000-0005-0000-0000-00009F5A0000}"/>
    <cellStyle name="40% - Accent2 2 2 3 2 2 3 2" xfId="20328" xr:uid="{00000000-0005-0000-0000-0000A05A0000}"/>
    <cellStyle name="40% - Accent2 2 2 3 2 2 3 2 2" xfId="42930" xr:uid="{00000000-0005-0000-0000-0000A15A0000}"/>
    <cellStyle name="40% - Accent2 2 2 3 2 2 3 3" xfId="31629" xr:uid="{00000000-0005-0000-0000-0000A25A0000}"/>
    <cellStyle name="40% - Accent2 2 2 3 2 2 4" xfId="14678" xr:uid="{00000000-0005-0000-0000-0000A35A0000}"/>
    <cellStyle name="40% - Accent2 2 2 3 2 2 4 2" xfId="37280" xr:uid="{00000000-0005-0000-0000-0000A45A0000}"/>
    <cellStyle name="40% - Accent2 2 2 3 2 2 5" xfId="25979" xr:uid="{00000000-0005-0000-0000-0000A55A0000}"/>
    <cellStyle name="40% - Accent2 2 2 3 2 3" xfId="4975" xr:uid="{00000000-0005-0000-0000-0000A65A0000}"/>
    <cellStyle name="40% - Accent2 2 2 3 2 3 2" xfId="10625" xr:uid="{00000000-0005-0000-0000-0000A75A0000}"/>
    <cellStyle name="40% - Accent2 2 2 3 2 3 2 2" xfId="21926" xr:uid="{00000000-0005-0000-0000-0000A85A0000}"/>
    <cellStyle name="40% - Accent2 2 2 3 2 3 2 2 2" xfId="44528" xr:uid="{00000000-0005-0000-0000-0000A95A0000}"/>
    <cellStyle name="40% - Accent2 2 2 3 2 3 2 3" xfId="33227" xr:uid="{00000000-0005-0000-0000-0000AA5A0000}"/>
    <cellStyle name="40% - Accent2 2 2 3 2 3 3" xfId="16276" xr:uid="{00000000-0005-0000-0000-0000AB5A0000}"/>
    <cellStyle name="40% - Accent2 2 2 3 2 3 3 2" xfId="38878" xr:uid="{00000000-0005-0000-0000-0000AC5A0000}"/>
    <cellStyle name="40% - Accent2 2 2 3 2 3 4" xfId="27577" xr:uid="{00000000-0005-0000-0000-0000AD5A0000}"/>
    <cellStyle name="40% - Accent2 2 2 3 2 4" xfId="7713" xr:uid="{00000000-0005-0000-0000-0000AE5A0000}"/>
    <cellStyle name="40% - Accent2 2 2 3 2 4 2" xfId="19014" xr:uid="{00000000-0005-0000-0000-0000AF5A0000}"/>
    <cellStyle name="40% - Accent2 2 2 3 2 4 2 2" xfId="41616" xr:uid="{00000000-0005-0000-0000-0000B05A0000}"/>
    <cellStyle name="40% - Accent2 2 2 3 2 4 3" xfId="30315" xr:uid="{00000000-0005-0000-0000-0000B15A0000}"/>
    <cellStyle name="40% - Accent2 2 2 3 2 5" xfId="13364" xr:uid="{00000000-0005-0000-0000-0000B25A0000}"/>
    <cellStyle name="40% - Accent2 2 2 3 2 5 2" xfId="35966" xr:uid="{00000000-0005-0000-0000-0000B35A0000}"/>
    <cellStyle name="40% - Accent2 2 2 3 2 6" xfId="24665" xr:uid="{00000000-0005-0000-0000-0000B45A0000}"/>
    <cellStyle name="40% - Accent2 2 2 3 3" xfId="2566" xr:uid="{00000000-0005-0000-0000-0000B55A0000}"/>
    <cellStyle name="40% - Accent2 2 2 3 3 2" xfId="5585" xr:uid="{00000000-0005-0000-0000-0000B65A0000}"/>
    <cellStyle name="40% - Accent2 2 2 3 3 2 2" xfId="11235" xr:uid="{00000000-0005-0000-0000-0000B75A0000}"/>
    <cellStyle name="40% - Accent2 2 2 3 3 2 2 2" xfId="22536" xr:uid="{00000000-0005-0000-0000-0000B85A0000}"/>
    <cellStyle name="40% - Accent2 2 2 3 3 2 2 2 2" xfId="45138" xr:uid="{00000000-0005-0000-0000-0000B95A0000}"/>
    <cellStyle name="40% - Accent2 2 2 3 3 2 2 3" xfId="33837" xr:uid="{00000000-0005-0000-0000-0000BA5A0000}"/>
    <cellStyle name="40% - Accent2 2 2 3 3 2 3" xfId="16886" xr:uid="{00000000-0005-0000-0000-0000BB5A0000}"/>
    <cellStyle name="40% - Accent2 2 2 3 3 2 3 2" xfId="39488" xr:uid="{00000000-0005-0000-0000-0000BC5A0000}"/>
    <cellStyle name="40% - Accent2 2 2 3 3 2 4" xfId="28187" xr:uid="{00000000-0005-0000-0000-0000BD5A0000}"/>
    <cellStyle name="40% - Accent2 2 2 3 3 3" xfId="8402" xr:uid="{00000000-0005-0000-0000-0000BE5A0000}"/>
    <cellStyle name="40% - Accent2 2 2 3 3 3 2" xfId="19703" xr:uid="{00000000-0005-0000-0000-0000BF5A0000}"/>
    <cellStyle name="40% - Accent2 2 2 3 3 3 2 2" xfId="42305" xr:uid="{00000000-0005-0000-0000-0000C05A0000}"/>
    <cellStyle name="40% - Accent2 2 2 3 3 3 3" xfId="31004" xr:uid="{00000000-0005-0000-0000-0000C15A0000}"/>
    <cellStyle name="40% - Accent2 2 2 3 3 4" xfId="14053" xr:uid="{00000000-0005-0000-0000-0000C25A0000}"/>
    <cellStyle name="40% - Accent2 2 2 3 3 4 2" xfId="36655" xr:uid="{00000000-0005-0000-0000-0000C35A0000}"/>
    <cellStyle name="40% - Accent2 2 2 3 3 5" xfId="25354" xr:uid="{00000000-0005-0000-0000-0000C45A0000}"/>
    <cellStyle name="40% - Accent2 2 2 3 4" xfId="4351" xr:uid="{00000000-0005-0000-0000-0000C55A0000}"/>
    <cellStyle name="40% - Accent2 2 2 3 4 2" xfId="10001" xr:uid="{00000000-0005-0000-0000-0000C65A0000}"/>
    <cellStyle name="40% - Accent2 2 2 3 4 2 2" xfId="21302" xr:uid="{00000000-0005-0000-0000-0000C75A0000}"/>
    <cellStyle name="40% - Accent2 2 2 3 4 2 2 2" xfId="43904" xr:uid="{00000000-0005-0000-0000-0000C85A0000}"/>
    <cellStyle name="40% - Accent2 2 2 3 4 2 3" xfId="32603" xr:uid="{00000000-0005-0000-0000-0000C95A0000}"/>
    <cellStyle name="40% - Accent2 2 2 3 4 3" xfId="15652" xr:uid="{00000000-0005-0000-0000-0000CA5A0000}"/>
    <cellStyle name="40% - Accent2 2 2 3 4 3 2" xfId="38254" xr:uid="{00000000-0005-0000-0000-0000CB5A0000}"/>
    <cellStyle name="40% - Accent2 2 2 3 4 4" xfId="26953" xr:uid="{00000000-0005-0000-0000-0000CC5A0000}"/>
    <cellStyle name="40% - Accent2 2 2 3 5" xfId="7148" xr:uid="{00000000-0005-0000-0000-0000CD5A0000}"/>
    <cellStyle name="40% - Accent2 2 2 3 5 2" xfId="18449" xr:uid="{00000000-0005-0000-0000-0000CE5A0000}"/>
    <cellStyle name="40% - Accent2 2 2 3 5 2 2" xfId="41051" xr:uid="{00000000-0005-0000-0000-0000CF5A0000}"/>
    <cellStyle name="40% - Accent2 2 2 3 5 3" xfId="29750" xr:uid="{00000000-0005-0000-0000-0000D05A0000}"/>
    <cellStyle name="40% - Accent2 2 2 3 6" xfId="12799" xr:uid="{00000000-0005-0000-0000-0000D15A0000}"/>
    <cellStyle name="40% - Accent2 2 2 3 6 2" xfId="35401" xr:uid="{00000000-0005-0000-0000-0000D25A0000}"/>
    <cellStyle name="40% - Accent2 2 2 3 7" xfId="24100" xr:uid="{00000000-0005-0000-0000-0000D35A0000}"/>
    <cellStyle name="40% - Accent2 2 2 4" xfId="857" xr:uid="{00000000-0005-0000-0000-0000D45A0000}"/>
    <cellStyle name="40% - Accent2 2 2 4 2" xfId="2930" xr:uid="{00000000-0005-0000-0000-0000D55A0000}"/>
    <cellStyle name="40% - Accent2 2 2 4 2 2" xfId="5902" xr:uid="{00000000-0005-0000-0000-0000D65A0000}"/>
    <cellStyle name="40% - Accent2 2 2 4 2 2 2" xfId="11552" xr:uid="{00000000-0005-0000-0000-0000D75A0000}"/>
    <cellStyle name="40% - Accent2 2 2 4 2 2 2 2" xfId="22853" xr:uid="{00000000-0005-0000-0000-0000D85A0000}"/>
    <cellStyle name="40% - Accent2 2 2 4 2 2 2 2 2" xfId="45455" xr:uid="{00000000-0005-0000-0000-0000D95A0000}"/>
    <cellStyle name="40% - Accent2 2 2 4 2 2 2 3" xfId="34154" xr:uid="{00000000-0005-0000-0000-0000DA5A0000}"/>
    <cellStyle name="40% - Accent2 2 2 4 2 2 3" xfId="17203" xr:uid="{00000000-0005-0000-0000-0000DB5A0000}"/>
    <cellStyle name="40% - Accent2 2 2 4 2 2 3 2" xfId="39805" xr:uid="{00000000-0005-0000-0000-0000DC5A0000}"/>
    <cellStyle name="40% - Accent2 2 2 4 2 2 4" xfId="28504" xr:uid="{00000000-0005-0000-0000-0000DD5A0000}"/>
    <cellStyle name="40% - Accent2 2 2 4 2 3" xfId="8720" xr:uid="{00000000-0005-0000-0000-0000DE5A0000}"/>
    <cellStyle name="40% - Accent2 2 2 4 2 3 2" xfId="20021" xr:uid="{00000000-0005-0000-0000-0000DF5A0000}"/>
    <cellStyle name="40% - Accent2 2 2 4 2 3 2 2" xfId="42623" xr:uid="{00000000-0005-0000-0000-0000E05A0000}"/>
    <cellStyle name="40% - Accent2 2 2 4 2 3 3" xfId="31322" xr:uid="{00000000-0005-0000-0000-0000E15A0000}"/>
    <cellStyle name="40% - Accent2 2 2 4 2 4" xfId="14371" xr:uid="{00000000-0005-0000-0000-0000E25A0000}"/>
    <cellStyle name="40% - Accent2 2 2 4 2 4 2" xfId="36973" xr:uid="{00000000-0005-0000-0000-0000E35A0000}"/>
    <cellStyle name="40% - Accent2 2 2 4 2 5" xfId="25672" xr:uid="{00000000-0005-0000-0000-0000E45A0000}"/>
    <cellStyle name="40% - Accent2 2 2 4 3" xfId="4668" xr:uid="{00000000-0005-0000-0000-0000E55A0000}"/>
    <cellStyle name="40% - Accent2 2 2 4 3 2" xfId="10318" xr:uid="{00000000-0005-0000-0000-0000E65A0000}"/>
    <cellStyle name="40% - Accent2 2 2 4 3 2 2" xfId="21619" xr:uid="{00000000-0005-0000-0000-0000E75A0000}"/>
    <cellStyle name="40% - Accent2 2 2 4 3 2 2 2" xfId="44221" xr:uid="{00000000-0005-0000-0000-0000E85A0000}"/>
    <cellStyle name="40% - Accent2 2 2 4 3 2 3" xfId="32920" xr:uid="{00000000-0005-0000-0000-0000E95A0000}"/>
    <cellStyle name="40% - Accent2 2 2 4 3 3" xfId="15969" xr:uid="{00000000-0005-0000-0000-0000EA5A0000}"/>
    <cellStyle name="40% - Accent2 2 2 4 3 3 2" xfId="38571" xr:uid="{00000000-0005-0000-0000-0000EB5A0000}"/>
    <cellStyle name="40% - Accent2 2 2 4 3 4" xfId="27270" xr:uid="{00000000-0005-0000-0000-0000EC5A0000}"/>
    <cellStyle name="40% - Accent2 2 2 4 4" xfId="6855" xr:uid="{00000000-0005-0000-0000-0000ED5A0000}"/>
    <cellStyle name="40% - Accent2 2 2 4 4 2" xfId="18156" xr:uid="{00000000-0005-0000-0000-0000EE5A0000}"/>
    <cellStyle name="40% - Accent2 2 2 4 4 2 2" xfId="40758" xr:uid="{00000000-0005-0000-0000-0000EF5A0000}"/>
    <cellStyle name="40% - Accent2 2 2 4 4 3" xfId="29457" xr:uid="{00000000-0005-0000-0000-0000F05A0000}"/>
    <cellStyle name="40% - Accent2 2 2 4 5" xfId="12506" xr:uid="{00000000-0005-0000-0000-0000F15A0000}"/>
    <cellStyle name="40% - Accent2 2 2 4 5 2" xfId="35108" xr:uid="{00000000-0005-0000-0000-0000F25A0000}"/>
    <cellStyle name="40% - Accent2 2 2 4 6" xfId="23807" xr:uid="{00000000-0005-0000-0000-0000F35A0000}"/>
    <cellStyle name="40% - Accent2 2 2 5" xfId="1854" xr:uid="{00000000-0005-0000-0000-0000F45A0000}"/>
    <cellStyle name="40% - Accent2 2 2 5 2" xfId="3726" xr:uid="{00000000-0005-0000-0000-0000F55A0000}"/>
    <cellStyle name="40% - Accent2 2 2 5 2 2" xfId="9436" xr:uid="{00000000-0005-0000-0000-0000F65A0000}"/>
    <cellStyle name="40% - Accent2 2 2 5 2 2 2" xfId="20737" xr:uid="{00000000-0005-0000-0000-0000F75A0000}"/>
    <cellStyle name="40% - Accent2 2 2 5 2 2 2 2" xfId="43339" xr:uid="{00000000-0005-0000-0000-0000F85A0000}"/>
    <cellStyle name="40% - Accent2 2 2 5 2 2 3" xfId="32038" xr:uid="{00000000-0005-0000-0000-0000F95A0000}"/>
    <cellStyle name="40% - Accent2 2 2 5 2 3" xfId="15087" xr:uid="{00000000-0005-0000-0000-0000FA5A0000}"/>
    <cellStyle name="40% - Accent2 2 2 5 2 3 2" xfId="37689" xr:uid="{00000000-0005-0000-0000-0000FB5A0000}"/>
    <cellStyle name="40% - Accent2 2 2 5 2 4" xfId="26388" xr:uid="{00000000-0005-0000-0000-0000FC5A0000}"/>
    <cellStyle name="40% - Accent2 2 2 5 3" xfId="5278" xr:uid="{00000000-0005-0000-0000-0000FD5A0000}"/>
    <cellStyle name="40% - Accent2 2 2 5 3 2" xfId="10928" xr:uid="{00000000-0005-0000-0000-0000FE5A0000}"/>
    <cellStyle name="40% - Accent2 2 2 5 3 2 2" xfId="22229" xr:uid="{00000000-0005-0000-0000-0000FF5A0000}"/>
    <cellStyle name="40% - Accent2 2 2 5 3 2 2 2" xfId="44831" xr:uid="{00000000-0005-0000-0000-0000005B0000}"/>
    <cellStyle name="40% - Accent2 2 2 5 3 2 3" xfId="33530" xr:uid="{00000000-0005-0000-0000-0000015B0000}"/>
    <cellStyle name="40% - Accent2 2 2 5 3 3" xfId="16579" xr:uid="{00000000-0005-0000-0000-0000025B0000}"/>
    <cellStyle name="40% - Accent2 2 2 5 3 3 2" xfId="39181" xr:uid="{00000000-0005-0000-0000-0000035B0000}"/>
    <cellStyle name="40% - Accent2 2 2 5 3 4" xfId="27880" xr:uid="{00000000-0005-0000-0000-0000045B0000}"/>
    <cellStyle name="40% - Accent2 2 2 5 4" xfId="7710" xr:uid="{00000000-0005-0000-0000-0000055B0000}"/>
    <cellStyle name="40% - Accent2 2 2 5 4 2" xfId="19011" xr:uid="{00000000-0005-0000-0000-0000065B0000}"/>
    <cellStyle name="40% - Accent2 2 2 5 4 2 2" xfId="41613" xr:uid="{00000000-0005-0000-0000-0000075B0000}"/>
    <cellStyle name="40% - Accent2 2 2 5 4 3" xfId="30312" xr:uid="{00000000-0005-0000-0000-0000085B0000}"/>
    <cellStyle name="40% - Accent2 2 2 5 5" xfId="13361" xr:uid="{00000000-0005-0000-0000-0000095B0000}"/>
    <cellStyle name="40% - Accent2 2 2 5 5 2" xfId="35963" xr:uid="{00000000-0005-0000-0000-00000A5B0000}"/>
    <cellStyle name="40% - Accent2 2 2 5 6" xfId="24662" xr:uid="{00000000-0005-0000-0000-00000B5B0000}"/>
    <cellStyle name="40% - Accent2 2 2 6" xfId="2255" xr:uid="{00000000-0005-0000-0000-00000C5B0000}"/>
    <cellStyle name="40% - Accent2 2 2 6 2" xfId="8092" xr:uid="{00000000-0005-0000-0000-00000D5B0000}"/>
    <cellStyle name="40% - Accent2 2 2 6 2 2" xfId="19393" xr:uid="{00000000-0005-0000-0000-00000E5B0000}"/>
    <cellStyle name="40% - Accent2 2 2 6 2 2 2" xfId="41995" xr:uid="{00000000-0005-0000-0000-00000F5B0000}"/>
    <cellStyle name="40% - Accent2 2 2 6 2 3" xfId="30694" xr:uid="{00000000-0005-0000-0000-0000105B0000}"/>
    <cellStyle name="40% - Accent2 2 2 6 3" xfId="13743" xr:uid="{00000000-0005-0000-0000-0000115B0000}"/>
    <cellStyle name="40% - Accent2 2 2 6 3 2" xfId="36345" xr:uid="{00000000-0005-0000-0000-0000125B0000}"/>
    <cellStyle name="40% - Accent2 2 2 6 4" xfId="25044" xr:uid="{00000000-0005-0000-0000-0000135B0000}"/>
    <cellStyle name="40% - Accent2 2 2 7" xfId="4044" xr:uid="{00000000-0005-0000-0000-0000145B0000}"/>
    <cellStyle name="40% - Accent2 2 2 7 2" xfId="9694" xr:uid="{00000000-0005-0000-0000-0000155B0000}"/>
    <cellStyle name="40% - Accent2 2 2 7 2 2" xfId="20995" xr:uid="{00000000-0005-0000-0000-0000165B0000}"/>
    <cellStyle name="40% - Accent2 2 2 7 2 2 2" xfId="43597" xr:uid="{00000000-0005-0000-0000-0000175B0000}"/>
    <cellStyle name="40% - Accent2 2 2 7 2 3" xfId="32296" xr:uid="{00000000-0005-0000-0000-0000185B0000}"/>
    <cellStyle name="40% - Accent2 2 2 7 3" xfId="15345" xr:uid="{00000000-0005-0000-0000-0000195B0000}"/>
    <cellStyle name="40% - Accent2 2 2 7 3 2" xfId="37947" xr:uid="{00000000-0005-0000-0000-00001A5B0000}"/>
    <cellStyle name="40% - Accent2 2 2 7 4" xfId="26646" xr:uid="{00000000-0005-0000-0000-00001B5B0000}"/>
    <cellStyle name="40% - Accent2 2 2 8" xfId="6495" xr:uid="{00000000-0005-0000-0000-00001C5B0000}"/>
    <cellStyle name="40% - Accent2 2 2 8 2" xfId="17796" xr:uid="{00000000-0005-0000-0000-00001D5B0000}"/>
    <cellStyle name="40% - Accent2 2 2 8 2 2" xfId="40398" xr:uid="{00000000-0005-0000-0000-00001E5B0000}"/>
    <cellStyle name="40% - Accent2 2 2 8 3" xfId="29097" xr:uid="{00000000-0005-0000-0000-00001F5B0000}"/>
    <cellStyle name="40% - Accent2 2 2 9" xfId="12146" xr:uid="{00000000-0005-0000-0000-0000205B0000}"/>
    <cellStyle name="40% - Accent2 2 2 9 2" xfId="34748" xr:uid="{00000000-0005-0000-0000-0000215B0000}"/>
    <cellStyle name="40% - Accent2 2 3" xfId="2817" xr:uid="{00000000-0005-0000-0000-0000225B0000}"/>
    <cellStyle name="40% - Accent2 2 3 2" xfId="3955" xr:uid="{00000000-0005-0000-0000-0000235B0000}"/>
    <cellStyle name="40% - Accent2 2 3 2 2" xfId="5832" xr:uid="{00000000-0005-0000-0000-0000245B0000}"/>
    <cellStyle name="40% - Accent2 2 3 2 2 2" xfId="11482" xr:uid="{00000000-0005-0000-0000-0000255B0000}"/>
    <cellStyle name="40% - Accent2 2 3 2 2 2 2" xfId="22783" xr:uid="{00000000-0005-0000-0000-0000265B0000}"/>
    <cellStyle name="40% - Accent2 2 3 2 2 2 2 2" xfId="45385" xr:uid="{00000000-0005-0000-0000-0000275B0000}"/>
    <cellStyle name="40% - Accent2 2 3 2 2 2 3" xfId="34084" xr:uid="{00000000-0005-0000-0000-0000285B0000}"/>
    <cellStyle name="40% - Accent2 2 3 2 2 3" xfId="17133" xr:uid="{00000000-0005-0000-0000-0000295B0000}"/>
    <cellStyle name="40% - Accent2 2 3 2 2 3 2" xfId="39735" xr:uid="{00000000-0005-0000-0000-00002A5B0000}"/>
    <cellStyle name="40% - Accent2 2 3 2 2 4" xfId="28434" xr:uid="{00000000-0005-0000-0000-00002B5B0000}"/>
    <cellStyle name="40% - Accent2 2 3 2 3" xfId="9617" xr:uid="{00000000-0005-0000-0000-00002C5B0000}"/>
    <cellStyle name="40% - Accent2 2 3 2 3 2" xfId="20918" xr:uid="{00000000-0005-0000-0000-00002D5B0000}"/>
    <cellStyle name="40% - Accent2 2 3 2 3 2 2" xfId="43520" xr:uid="{00000000-0005-0000-0000-00002E5B0000}"/>
    <cellStyle name="40% - Accent2 2 3 2 3 3" xfId="32219" xr:uid="{00000000-0005-0000-0000-00002F5B0000}"/>
    <cellStyle name="40% - Accent2 2 3 2 4" xfId="15268" xr:uid="{00000000-0005-0000-0000-0000305B0000}"/>
    <cellStyle name="40% - Accent2 2 3 2 4 2" xfId="37870" xr:uid="{00000000-0005-0000-0000-0000315B0000}"/>
    <cellStyle name="40% - Accent2 2 3 2 5" xfId="26569" xr:uid="{00000000-0005-0000-0000-0000325B0000}"/>
    <cellStyle name="40% - Accent2 2 3 3" xfId="4598" xr:uid="{00000000-0005-0000-0000-0000335B0000}"/>
    <cellStyle name="40% - Accent2 2 3 3 2" xfId="10248" xr:uid="{00000000-0005-0000-0000-0000345B0000}"/>
    <cellStyle name="40% - Accent2 2 3 3 2 2" xfId="21549" xr:uid="{00000000-0005-0000-0000-0000355B0000}"/>
    <cellStyle name="40% - Accent2 2 3 3 2 2 2" xfId="44151" xr:uid="{00000000-0005-0000-0000-0000365B0000}"/>
    <cellStyle name="40% - Accent2 2 3 3 2 3" xfId="32850" xr:uid="{00000000-0005-0000-0000-0000375B0000}"/>
    <cellStyle name="40% - Accent2 2 3 3 3" xfId="15899" xr:uid="{00000000-0005-0000-0000-0000385B0000}"/>
    <cellStyle name="40% - Accent2 2 3 3 3 2" xfId="38501" xr:uid="{00000000-0005-0000-0000-0000395B0000}"/>
    <cellStyle name="40% - Accent2 2 3 3 4" xfId="27200" xr:uid="{00000000-0005-0000-0000-00003A5B0000}"/>
    <cellStyle name="40% - Accent2 2 3 4" xfId="8650" xr:uid="{00000000-0005-0000-0000-00003B5B0000}"/>
    <cellStyle name="40% - Accent2 2 3 4 2" xfId="19951" xr:uid="{00000000-0005-0000-0000-00003C5B0000}"/>
    <cellStyle name="40% - Accent2 2 3 4 2 2" xfId="42553" xr:uid="{00000000-0005-0000-0000-00003D5B0000}"/>
    <cellStyle name="40% - Accent2 2 3 4 3" xfId="31252" xr:uid="{00000000-0005-0000-0000-00003E5B0000}"/>
    <cellStyle name="40% - Accent2 2 3 5" xfId="14301" xr:uid="{00000000-0005-0000-0000-00003F5B0000}"/>
    <cellStyle name="40% - Accent2 2 3 5 2" xfId="36903" xr:uid="{00000000-0005-0000-0000-0000405B0000}"/>
    <cellStyle name="40% - Accent2 2 3 6" xfId="25602" xr:uid="{00000000-0005-0000-0000-0000415B0000}"/>
    <cellStyle name="40% - Accent2 2 4" xfId="2831" xr:uid="{00000000-0005-0000-0000-0000425B0000}"/>
    <cellStyle name="40% - Accent2 2 5" xfId="3595" xr:uid="{00000000-0005-0000-0000-0000435B0000}"/>
    <cellStyle name="40% - Accent2 2 5 2" xfId="9310" xr:uid="{00000000-0005-0000-0000-0000445B0000}"/>
    <cellStyle name="40% - Accent2 2 5 2 2" xfId="20611" xr:uid="{00000000-0005-0000-0000-0000455B0000}"/>
    <cellStyle name="40% - Accent2 2 5 2 2 2" xfId="43213" xr:uid="{00000000-0005-0000-0000-0000465B0000}"/>
    <cellStyle name="40% - Accent2 2 5 2 3" xfId="31912" xr:uid="{00000000-0005-0000-0000-0000475B0000}"/>
    <cellStyle name="40% - Accent2 2 5 3" xfId="14961" xr:uid="{00000000-0005-0000-0000-0000485B0000}"/>
    <cellStyle name="40% - Accent2 2 5 3 2" xfId="37563" xr:uid="{00000000-0005-0000-0000-0000495B0000}"/>
    <cellStyle name="40% - Accent2 2 5 4" xfId="26262" xr:uid="{00000000-0005-0000-0000-00004A5B0000}"/>
    <cellStyle name="40% - Accent2 2 6" xfId="3482" xr:uid="{00000000-0005-0000-0000-00004B5B0000}"/>
    <cellStyle name="40% - Accent2 2 7" xfId="151" xr:uid="{00000000-0005-0000-0000-00004C5B0000}"/>
    <cellStyle name="40% - Accent2 3" xfId="212" xr:uid="{00000000-0005-0000-0000-00004D5B0000}"/>
    <cellStyle name="40% - Accent2 3 2" xfId="342" xr:uid="{00000000-0005-0000-0000-00004E5B0000}"/>
    <cellStyle name="40% - Accent2 3 2 10" xfId="23453" xr:uid="{00000000-0005-0000-0000-00004F5B0000}"/>
    <cellStyle name="40% - Accent2 3 2 2" xfId="603" xr:uid="{00000000-0005-0000-0000-0000505B0000}"/>
    <cellStyle name="40% - Accent2 3 2 2 2" xfId="1313" xr:uid="{00000000-0005-0000-0000-0000515B0000}"/>
    <cellStyle name="40% - Accent2 3 2 2 2 2" xfId="1860" xr:uid="{00000000-0005-0000-0000-0000525B0000}"/>
    <cellStyle name="40% - Accent2 3 2 2 2 2 2" xfId="3382" xr:uid="{00000000-0005-0000-0000-0000535B0000}"/>
    <cellStyle name="40% - Accent2 3 2 2 2 2 2 2" xfId="6354" xr:uid="{00000000-0005-0000-0000-0000545B0000}"/>
    <cellStyle name="40% - Accent2 3 2 2 2 2 2 2 2" xfId="12004" xr:uid="{00000000-0005-0000-0000-0000555B0000}"/>
    <cellStyle name="40% - Accent2 3 2 2 2 2 2 2 2 2" xfId="23305" xr:uid="{00000000-0005-0000-0000-0000565B0000}"/>
    <cellStyle name="40% - Accent2 3 2 2 2 2 2 2 2 2 2" xfId="45907" xr:uid="{00000000-0005-0000-0000-0000575B0000}"/>
    <cellStyle name="40% - Accent2 3 2 2 2 2 2 2 2 3" xfId="34606" xr:uid="{00000000-0005-0000-0000-0000585B0000}"/>
    <cellStyle name="40% - Accent2 3 2 2 2 2 2 2 3" xfId="17655" xr:uid="{00000000-0005-0000-0000-0000595B0000}"/>
    <cellStyle name="40% - Accent2 3 2 2 2 2 2 2 3 2" xfId="40257" xr:uid="{00000000-0005-0000-0000-00005A5B0000}"/>
    <cellStyle name="40% - Accent2 3 2 2 2 2 2 2 4" xfId="28956" xr:uid="{00000000-0005-0000-0000-00005B5B0000}"/>
    <cellStyle name="40% - Accent2 3 2 2 2 2 2 3" xfId="9172" xr:uid="{00000000-0005-0000-0000-00005C5B0000}"/>
    <cellStyle name="40% - Accent2 3 2 2 2 2 2 3 2" xfId="20473" xr:uid="{00000000-0005-0000-0000-00005D5B0000}"/>
    <cellStyle name="40% - Accent2 3 2 2 2 2 2 3 2 2" xfId="43075" xr:uid="{00000000-0005-0000-0000-00005E5B0000}"/>
    <cellStyle name="40% - Accent2 3 2 2 2 2 2 3 3" xfId="31774" xr:uid="{00000000-0005-0000-0000-00005F5B0000}"/>
    <cellStyle name="40% - Accent2 3 2 2 2 2 2 4" xfId="14823" xr:uid="{00000000-0005-0000-0000-0000605B0000}"/>
    <cellStyle name="40% - Accent2 3 2 2 2 2 2 4 2" xfId="37425" xr:uid="{00000000-0005-0000-0000-0000615B0000}"/>
    <cellStyle name="40% - Accent2 3 2 2 2 2 2 5" xfId="26124" xr:uid="{00000000-0005-0000-0000-0000625B0000}"/>
    <cellStyle name="40% - Accent2 3 2 2 2 2 3" xfId="5120" xr:uid="{00000000-0005-0000-0000-0000635B0000}"/>
    <cellStyle name="40% - Accent2 3 2 2 2 2 3 2" xfId="10770" xr:uid="{00000000-0005-0000-0000-0000645B0000}"/>
    <cellStyle name="40% - Accent2 3 2 2 2 2 3 2 2" xfId="22071" xr:uid="{00000000-0005-0000-0000-0000655B0000}"/>
    <cellStyle name="40% - Accent2 3 2 2 2 2 3 2 2 2" xfId="44673" xr:uid="{00000000-0005-0000-0000-0000665B0000}"/>
    <cellStyle name="40% - Accent2 3 2 2 2 2 3 2 3" xfId="33372" xr:uid="{00000000-0005-0000-0000-0000675B0000}"/>
    <cellStyle name="40% - Accent2 3 2 2 2 2 3 3" xfId="16421" xr:uid="{00000000-0005-0000-0000-0000685B0000}"/>
    <cellStyle name="40% - Accent2 3 2 2 2 2 3 3 2" xfId="39023" xr:uid="{00000000-0005-0000-0000-0000695B0000}"/>
    <cellStyle name="40% - Accent2 3 2 2 2 2 3 4" xfId="27722" xr:uid="{00000000-0005-0000-0000-00006A5B0000}"/>
    <cellStyle name="40% - Accent2 3 2 2 2 2 4" xfId="7716" xr:uid="{00000000-0005-0000-0000-00006B5B0000}"/>
    <cellStyle name="40% - Accent2 3 2 2 2 2 4 2" xfId="19017" xr:uid="{00000000-0005-0000-0000-00006C5B0000}"/>
    <cellStyle name="40% - Accent2 3 2 2 2 2 4 2 2" xfId="41619" xr:uid="{00000000-0005-0000-0000-00006D5B0000}"/>
    <cellStyle name="40% - Accent2 3 2 2 2 2 4 3" xfId="30318" xr:uid="{00000000-0005-0000-0000-00006E5B0000}"/>
    <cellStyle name="40% - Accent2 3 2 2 2 2 5" xfId="13367" xr:uid="{00000000-0005-0000-0000-00006F5B0000}"/>
    <cellStyle name="40% - Accent2 3 2 2 2 2 5 2" xfId="35969" xr:uid="{00000000-0005-0000-0000-0000705B0000}"/>
    <cellStyle name="40% - Accent2 3 2 2 2 2 6" xfId="24668" xr:uid="{00000000-0005-0000-0000-0000715B0000}"/>
    <cellStyle name="40% - Accent2 3 2 2 2 3" xfId="2711" xr:uid="{00000000-0005-0000-0000-0000725B0000}"/>
    <cellStyle name="40% - Accent2 3 2 2 2 3 2" xfId="5730" xr:uid="{00000000-0005-0000-0000-0000735B0000}"/>
    <cellStyle name="40% - Accent2 3 2 2 2 3 2 2" xfId="11380" xr:uid="{00000000-0005-0000-0000-0000745B0000}"/>
    <cellStyle name="40% - Accent2 3 2 2 2 3 2 2 2" xfId="22681" xr:uid="{00000000-0005-0000-0000-0000755B0000}"/>
    <cellStyle name="40% - Accent2 3 2 2 2 3 2 2 2 2" xfId="45283" xr:uid="{00000000-0005-0000-0000-0000765B0000}"/>
    <cellStyle name="40% - Accent2 3 2 2 2 3 2 2 3" xfId="33982" xr:uid="{00000000-0005-0000-0000-0000775B0000}"/>
    <cellStyle name="40% - Accent2 3 2 2 2 3 2 3" xfId="17031" xr:uid="{00000000-0005-0000-0000-0000785B0000}"/>
    <cellStyle name="40% - Accent2 3 2 2 2 3 2 3 2" xfId="39633" xr:uid="{00000000-0005-0000-0000-0000795B0000}"/>
    <cellStyle name="40% - Accent2 3 2 2 2 3 2 4" xfId="28332" xr:uid="{00000000-0005-0000-0000-00007A5B0000}"/>
    <cellStyle name="40% - Accent2 3 2 2 2 3 3" xfId="8547" xr:uid="{00000000-0005-0000-0000-00007B5B0000}"/>
    <cellStyle name="40% - Accent2 3 2 2 2 3 3 2" xfId="19848" xr:uid="{00000000-0005-0000-0000-00007C5B0000}"/>
    <cellStyle name="40% - Accent2 3 2 2 2 3 3 2 2" xfId="42450" xr:uid="{00000000-0005-0000-0000-00007D5B0000}"/>
    <cellStyle name="40% - Accent2 3 2 2 2 3 3 3" xfId="31149" xr:uid="{00000000-0005-0000-0000-00007E5B0000}"/>
    <cellStyle name="40% - Accent2 3 2 2 2 3 4" xfId="14198" xr:uid="{00000000-0005-0000-0000-00007F5B0000}"/>
    <cellStyle name="40% - Accent2 3 2 2 2 3 4 2" xfId="36800" xr:uid="{00000000-0005-0000-0000-0000805B0000}"/>
    <cellStyle name="40% - Accent2 3 2 2 2 3 5" xfId="25499" xr:uid="{00000000-0005-0000-0000-0000815B0000}"/>
    <cellStyle name="40% - Accent2 3 2 2 2 4" xfId="4496" xr:uid="{00000000-0005-0000-0000-0000825B0000}"/>
    <cellStyle name="40% - Accent2 3 2 2 2 4 2" xfId="10146" xr:uid="{00000000-0005-0000-0000-0000835B0000}"/>
    <cellStyle name="40% - Accent2 3 2 2 2 4 2 2" xfId="21447" xr:uid="{00000000-0005-0000-0000-0000845B0000}"/>
    <cellStyle name="40% - Accent2 3 2 2 2 4 2 2 2" xfId="44049" xr:uid="{00000000-0005-0000-0000-0000855B0000}"/>
    <cellStyle name="40% - Accent2 3 2 2 2 4 2 3" xfId="32748" xr:uid="{00000000-0005-0000-0000-0000865B0000}"/>
    <cellStyle name="40% - Accent2 3 2 2 2 4 3" xfId="15797" xr:uid="{00000000-0005-0000-0000-0000875B0000}"/>
    <cellStyle name="40% - Accent2 3 2 2 2 4 3 2" xfId="38399" xr:uid="{00000000-0005-0000-0000-0000885B0000}"/>
    <cellStyle name="40% - Accent2 3 2 2 2 4 4" xfId="27098" xr:uid="{00000000-0005-0000-0000-0000895B0000}"/>
    <cellStyle name="40% - Accent2 3 2 2 2 5" xfId="7292" xr:uid="{00000000-0005-0000-0000-00008A5B0000}"/>
    <cellStyle name="40% - Accent2 3 2 2 2 5 2" xfId="18593" xr:uid="{00000000-0005-0000-0000-00008B5B0000}"/>
    <cellStyle name="40% - Accent2 3 2 2 2 5 2 2" xfId="41195" xr:uid="{00000000-0005-0000-0000-00008C5B0000}"/>
    <cellStyle name="40% - Accent2 3 2 2 2 5 3" xfId="29894" xr:uid="{00000000-0005-0000-0000-00008D5B0000}"/>
    <cellStyle name="40% - Accent2 3 2 2 2 6" xfId="12943" xr:uid="{00000000-0005-0000-0000-00008E5B0000}"/>
    <cellStyle name="40% - Accent2 3 2 2 2 6 2" xfId="35545" xr:uid="{00000000-0005-0000-0000-00008F5B0000}"/>
    <cellStyle name="40% - Accent2 3 2 2 2 7" xfId="24244" xr:uid="{00000000-0005-0000-0000-0000905B0000}"/>
    <cellStyle name="40% - Accent2 3 2 2 3" xfId="1011" xr:uid="{00000000-0005-0000-0000-0000915B0000}"/>
    <cellStyle name="40% - Accent2 3 2 2 3 2" xfId="3074" xr:uid="{00000000-0005-0000-0000-0000925B0000}"/>
    <cellStyle name="40% - Accent2 3 2 2 3 2 2" xfId="6046" xr:uid="{00000000-0005-0000-0000-0000935B0000}"/>
    <cellStyle name="40% - Accent2 3 2 2 3 2 2 2" xfId="11696" xr:uid="{00000000-0005-0000-0000-0000945B0000}"/>
    <cellStyle name="40% - Accent2 3 2 2 3 2 2 2 2" xfId="22997" xr:uid="{00000000-0005-0000-0000-0000955B0000}"/>
    <cellStyle name="40% - Accent2 3 2 2 3 2 2 2 2 2" xfId="45599" xr:uid="{00000000-0005-0000-0000-0000965B0000}"/>
    <cellStyle name="40% - Accent2 3 2 2 3 2 2 2 3" xfId="34298" xr:uid="{00000000-0005-0000-0000-0000975B0000}"/>
    <cellStyle name="40% - Accent2 3 2 2 3 2 2 3" xfId="17347" xr:uid="{00000000-0005-0000-0000-0000985B0000}"/>
    <cellStyle name="40% - Accent2 3 2 2 3 2 2 3 2" xfId="39949" xr:uid="{00000000-0005-0000-0000-0000995B0000}"/>
    <cellStyle name="40% - Accent2 3 2 2 3 2 2 4" xfId="28648" xr:uid="{00000000-0005-0000-0000-00009A5B0000}"/>
    <cellStyle name="40% - Accent2 3 2 2 3 2 3" xfId="8864" xr:uid="{00000000-0005-0000-0000-00009B5B0000}"/>
    <cellStyle name="40% - Accent2 3 2 2 3 2 3 2" xfId="20165" xr:uid="{00000000-0005-0000-0000-00009C5B0000}"/>
    <cellStyle name="40% - Accent2 3 2 2 3 2 3 2 2" xfId="42767" xr:uid="{00000000-0005-0000-0000-00009D5B0000}"/>
    <cellStyle name="40% - Accent2 3 2 2 3 2 3 3" xfId="31466" xr:uid="{00000000-0005-0000-0000-00009E5B0000}"/>
    <cellStyle name="40% - Accent2 3 2 2 3 2 4" xfId="14515" xr:uid="{00000000-0005-0000-0000-00009F5B0000}"/>
    <cellStyle name="40% - Accent2 3 2 2 3 2 4 2" xfId="37117" xr:uid="{00000000-0005-0000-0000-0000A05B0000}"/>
    <cellStyle name="40% - Accent2 3 2 2 3 2 5" xfId="25816" xr:uid="{00000000-0005-0000-0000-0000A15B0000}"/>
    <cellStyle name="40% - Accent2 3 2 2 3 3" xfId="4812" xr:uid="{00000000-0005-0000-0000-0000A25B0000}"/>
    <cellStyle name="40% - Accent2 3 2 2 3 3 2" xfId="10462" xr:uid="{00000000-0005-0000-0000-0000A35B0000}"/>
    <cellStyle name="40% - Accent2 3 2 2 3 3 2 2" xfId="21763" xr:uid="{00000000-0005-0000-0000-0000A45B0000}"/>
    <cellStyle name="40% - Accent2 3 2 2 3 3 2 2 2" xfId="44365" xr:uid="{00000000-0005-0000-0000-0000A55B0000}"/>
    <cellStyle name="40% - Accent2 3 2 2 3 3 2 3" xfId="33064" xr:uid="{00000000-0005-0000-0000-0000A65B0000}"/>
    <cellStyle name="40% - Accent2 3 2 2 3 3 3" xfId="16113" xr:uid="{00000000-0005-0000-0000-0000A75B0000}"/>
    <cellStyle name="40% - Accent2 3 2 2 3 3 3 2" xfId="38715" xr:uid="{00000000-0005-0000-0000-0000A85B0000}"/>
    <cellStyle name="40% - Accent2 3 2 2 3 3 4" xfId="27414" xr:uid="{00000000-0005-0000-0000-0000A95B0000}"/>
    <cellStyle name="40% - Accent2 3 2 2 3 4" xfId="6999" xr:uid="{00000000-0005-0000-0000-0000AA5B0000}"/>
    <cellStyle name="40% - Accent2 3 2 2 3 4 2" xfId="18300" xr:uid="{00000000-0005-0000-0000-0000AB5B0000}"/>
    <cellStyle name="40% - Accent2 3 2 2 3 4 2 2" xfId="40902" xr:uid="{00000000-0005-0000-0000-0000AC5B0000}"/>
    <cellStyle name="40% - Accent2 3 2 2 3 4 3" xfId="29601" xr:uid="{00000000-0005-0000-0000-0000AD5B0000}"/>
    <cellStyle name="40% - Accent2 3 2 2 3 5" xfId="12650" xr:uid="{00000000-0005-0000-0000-0000AE5B0000}"/>
    <cellStyle name="40% - Accent2 3 2 2 3 5 2" xfId="35252" xr:uid="{00000000-0005-0000-0000-0000AF5B0000}"/>
    <cellStyle name="40% - Accent2 3 2 2 3 6" xfId="23951" xr:uid="{00000000-0005-0000-0000-0000B05B0000}"/>
    <cellStyle name="40% - Accent2 3 2 2 4" xfId="1859" xr:uid="{00000000-0005-0000-0000-0000B15B0000}"/>
    <cellStyle name="40% - Accent2 3 2 2 4 2" xfId="3729" xr:uid="{00000000-0005-0000-0000-0000B25B0000}"/>
    <cellStyle name="40% - Accent2 3 2 2 4 2 2" xfId="9439" xr:uid="{00000000-0005-0000-0000-0000B35B0000}"/>
    <cellStyle name="40% - Accent2 3 2 2 4 2 2 2" xfId="20740" xr:uid="{00000000-0005-0000-0000-0000B45B0000}"/>
    <cellStyle name="40% - Accent2 3 2 2 4 2 2 2 2" xfId="43342" xr:uid="{00000000-0005-0000-0000-0000B55B0000}"/>
    <cellStyle name="40% - Accent2 3 2 2 4 2 2 3" xfId="32041" xr:uid="{00000000-0005-0000-0000-0000B65B0000}"/>
    <cellStyle name="40% - Accent2 3 2 2 4 2 3" xfId="15090" xr:uid="{00000000-0005-0000-0000-0000B75B0000}"/>
    <cellStyle name="40% - Accent2 3 2 2 4 2 3 2" xfId="37692" xr:uid="{00000000-0005-0000-0000-0000B85B0000}"/>
    <cellStyle name="40% - Accent2 3 2 2 4 2 4" xfId="26391" xr:uid="{00000000-0005-0000-0000-0000B95B0000}"/>
    <cellStyle name="40% - Accent2 3 2 2 4 3" xfId="5422" xr:uid="{00000000-0005-0000-0000-0000BA5B0000}"/>
    <cellStyle name="40% - Accent2 3 2 2 4 3 2" xfId="11072" xr:uid="{00000000-0005-0000-0000-0000BB5B0000}"/>
    <cellStyle name="40% - Accent2 3 2 2 4 3 2 2" xfId="22373" xr:uid="{00000000-0005-0000-0000-0000BC5B0000}"/>
    <cellStyle name="40% - Accent2 3 2 2 4 3 2 2 2" xfId="44975" xr:uid="{00000000-0005-0000-0000-0000BD5B0000}"/>
    <cellStyle name="40% - Accent2 3 2 2 4 3 2 3" xfId="33674" xr:uid="{00000000-0005-0000-0000-0000BE5B0000}"/>
    <cellStyle name="40% - Accent2 3 2 2 4 3 3" xfId="16723" xr:uid="{00000000-0005-0000-0000-0000BF5B0000}"/>
    <cellStyle name="40% - Accent2 3 2 2 4 3 3 2" xfId="39325" xr:uid="{00000000-0005-0000-0000-0000C05B0000}"/>
    <cellStyle name="40% - Accent2 3 2 2 4 3 4" xfId="28024" xr:uid="{00000000-0005-0000-0000-0000C15B0000}"/>
    <cellStyle name="40% - Accent2 3 2 2 4 4" xfId="7715" xr:uid="{00000000-0005-0000-0000-0000C25B0000}"/>
    <cellStyle name="40% - Accent2 3 2 2 4 4 2" xfId="19016" xr:uid="{00000000-0005-0000-0000-0000C35B0000}"/>
    <cellStyle name="40% - Accent2 3 2 2 4 4 2 2" xfId="41618" xr:uid="{00000000-0005-0000-0000-0000C45B0000}"/>
    <cellStyle name="40% - Accent2 3 2 2 4 4 3" xfId="30317" xr:uid="{00000000-0005-0000-0000-0000C55B0000}"/>
    <cellStyle name="40% - Accent2 3 2 2 4 5" xfId="13366" xr:uid="{00000000-0005-0000-0000-0000C65B0000}"/>
    <cellStyle name="40% - Accent2 3 2 2 4 5 2" xfId="35968" xr:uid="{00000000-0005-0000-0000-0000C75B0000}"/>
    <cellStyle name="40% - Accent2 3 2 2 4 6" xfId="24667" xr:uid="{00000000-0005-0000-0000-0000C85B0000}"/>
    <cellStyle name="40% - Accent2 3 2 2 5" xfId="2403" xr:uid="{00000000-0005-0000-0000-0000C95B0000}"/>
    <cellStyle name="40% - Accent2 3 2 2 5 2" xfId="8239" xr:uid="{00000000-0005-0000-0000-0000CA5B0000}"/>
    <cellStyle name="40% - Accent2 3 2 2 5 2 2" xfId="19540" xr:uid="{00000000-0005-0000-0000-0000CB5B0000}"/>
    <cellStyle name="40% - Accent2 3 2 2 5 2 2 2" xfId="42142" xr:uid="{00000000-0005-0000-0000-0000CC5B0000}"/>
    <cellStyle name="40% - Accent2 3 2 2 5 2 3" xfId="30841" xr:uid="{00000000-0005-0000-0000-0000CD5B0000}"/>
    <cellStyle name="40% - Accent2 3 2 2 5 3" xfId="13890" xr:uid="{00000000-0005-0000-0000-0000CE5B0000}"/>
    <cellStyle name="40% - Accent2 3 2 2 5 3 2" xfId="36492" xr:uid="{00000000-0005-0000-0000-0000CF5B0000}"/>
    <cellStyle name="40% - Accent2 3 2 2 5 4" xfId="25191" xr:uid="{00000000-0005-0000-0000-0000D05B0000}"/>
    <cellStyle name="40% - Accent2 3 2 2 6" xfId="4188" xr:uid="{00000000-0005-0000-0000-0000D15B0000}"/>
    <cellStyle name="40% - Accent2 3 2 2 6 2" xfId="9838" xr:uid="{00000000-0005-0000-0000-0000D25B0000}"/>
    <cellStyle name="40% - Accent2 3 2 2 6 2 2" xfId="21139" xr:uid="{00000000-0005-0000-0000-0000D35B0000}"/>
    <cellStyle name="40% - Accent2 3 2 2 6 2 2 2" xfId="43741" xr:uid="{00000000-0005-0000-0000-0000D45B0000}"/>
    <cellStyle name="40% - Accent2 3 2 2 6 2 3" xfId="32440" xr:uid="{00000000-0005-0000-0000-0000D55B0000}"/>
    <cellStyle name="40% - Accent2 3 2 2 6 3" xfId="15489" xr:uid="{00000000-0005-0000-0000-0000D65B0000}"/>
    <cellStyle name="40% - Accent2 3 2 2 6 3 2" xfId="38091" xr:uid="{00000000-0005-0000-0000-0000D75B0000}"/>
    <cellStyle name="40% - Accent2 3 2 2 6 4" xfId="26790" xr:uid="{00000000-0005-0000-0000-0000D85B0000}"/>
    <cellStyle name="40% - Accent2 3 2 2 7" xfId="6668" xr:uid="{00000000-0005-0000-0000-0000D95B0000}"/>
    <cellStyle name="40% - Accent2 3 2 2 7 2" xfId="17969" xr:uid="{00000000-0005-0000-0000-0000DA5B0000}"/>
    <cellStyle name="40% - Accent2 3 2 2 7 2 2" xfId="40571" xr:uid="{00000000-0005-0000-0000-0000DB5B0000}"/>
    <cellStyle name="40% - Accent2 3 2 2 7 3" xfId="29270" xr:uid="{00000000-0005-0000-0000-0000DC5B0000}"/>
    <cellStyle name="40% - Accent2 3 2 2 8" xfId="12319" xr:uid="{00000000-0005-0000-0000-0000DD5B0000}"/>
    <cellStyle name="40% - Accent2 3 2 2 8 2" xfId="34921" xr:uid="{00000000-0005-0000-0000-0000DE5B0000}"/>
    <cellStyle name="40% - Accent2 3 2 2 9" xfId="23620" xr:uid="{00000000-0005-0000-0000-0000DF5B0000}"/>
    <cellStyle name="40% - Accent2 3 2 3" xfId="1175" xr:uid="{00000000-0005-0000-0000-0000E05B0000}"/>
    <cellStyle name="40% - Accent2 3 2 3 2" xfId="1861" xr:uid="{00000000-0005-0000-0000-0000E15B0000}"/>
    <cellStyle name="40% - Accent2 3 2 3 2 2" xfId="3243" xr:uid="{00000000-0005-0000-0000-0000E25B0000}"/>
    <cellStyle name="40% - Accent2 3 2 3 2 2 2" xfId="6215" xr:uid="{00000000-0005-0000-0000-0000E35B0000}"/>
    <cellStyle name="40% - Accent2 3 2 3 2 2 2 2" xfId="11865" xr:uid="{00000000-0005-0000-0000-0000E45B0000}"/>
    <cellStyle name="40% - Accent2 3 2 3 2 2 2 2 2" xfId="23166" xr:uid="{00000000-0005-0000-0000-0000E55B0000}"/>
    <cellStyle name="40% - Accent2 3 2 3 2 2 2 2 2 2" xfId="45768" xr:uid="{00000000-0005-0000-0000-0000E65B0000}"/>
    <cellStyle name="40% - Accent2 3 2 3 2 2 2 2 3" xfId="34467" xr:uid="{00000000-0005-0000-0000-0000E75B0000}"/>
    <cellStyle name="40% - Accent2 3 2 3 2 2 2 3" xfId="17516" xr:uid="{00000000-0005-0000-0000-0000E85B0000}"/>
    <cellStyle name="40% - Accent2 3 2 3 2 2 2 3 2" xfId="40118" xr:uid="{00000000-0005-0000-0000-0000E95B0000}"/>
    <cellStyle name="40% - Accent2 3 2 3 2 2 2 4" xfId="28817" xr:uid="{00000000-0005-0000-0000-0000EA5B0000}"/>
    <cellStyle name="40% - Accent2 3 2 3 2 2 3" xfId="9033" xr:uid="{00000000-0005-0000-0000-0000EB5B0000}"/>
    <cellStyle name="40% - Accent2 3 2 3 2 2 3 2" xfId="20334" xr:uid="{00000000-0005-0000-0000-0000EC5B0000}"/>
    <cellStyle name="40% - Accent2 3 2 3 2 2 3 2 2" xfId="42936" xr:uid="{00000000-0005-0000-0000-0000ED5B0000}"/>
    <cellStyle name="40% - Accent2 3 2 3 2 2 3 3" xfId="31635" xr:uid="{00000000-0005-0000-0000-0000EE5B0000}"/>
    <cellStyle name="40% - Accent2 3 2 3 2 2 4" xfId="14684" xr:uid="{00000000-0005-0000-0000-0000EF5B0000}"/>
    <cellStyle name="40% - Accent2 3 2 3 2 2 4 2" xfId="37286" xr:uid="{00000000-0005-0000-0000-0000F05B0000}"/>
    <cellStyle name="40% - Accent2 3 2 3 2 2 5" xfId="25985" xr:uid="{00000000-0005-0000-0000-0000F15B0000}"/>
    <cellStyle name="40% - Accent2 3 2 3 2 3" xfId="4981" xr:uid="{00000000-0005-0000-0000-0000F25B0000}"/>
    <cellStyle name="40% - Accent2 3 2 3 2 3 2" xfId="10631" xr:uid="{00000000-0005-0000-0000-0000F35B0000}"/>
    <cellStyle name="40% - Accent2 3 2 3 2 3 2 2" xfId="21932" xr:uid="{00000000-0005-0000-0000-0000F45B0000}"/>
    <cellStyle name="40% - Accent2 3 2 3 2 3 2 2 2" xfId="44534" xr:uid="{00000000-0005-0000-0000-0000F55B0000}"/>
    <cellStyle name="40% - Accent2 3 2 3 2 3 2 3" xfId="33233" xr:uid="{00000000-0005-0000-0000-0000F65B0000}"/>
    <cellStyle name="40% - Accent2 3 2 3 2 3 3" xfId="16282" xr:uid="{00000000-0005-0000-0000-0000F75B0000}"/>
    <cellStyle name="40% - Accent2 3 2 3 2 3 3 2" xfId="38884" xr:uid="{00000000-0005-0000-0000-0000F85B0000}"/>
    <cellStyle name="40% - Accent2 3 2 3 2 3 4" xfId="27583" xr:uid="{00000000-0005-0000-0000-0000F95B0000}"/>
    <cellStyle name="40% - Accent2 3 2 3 2 4" xfId="7717" xr:uid="{00000000-0005-0000-0000-0000FA5B0000}"/>
    <cellStyle name="40% - Accent2 3 2 3 2 4 2" xfId="19018" xr:uid="{00000000-0005-0000-0000-0000FB5B0000}"/>
    <cellStyle name="40% - Accent2 3 2 3 2 4 2 2" xfId="41620" xr:uid="{00000000-0005-0000-0000-0000FC5B0000}"/>
    <cellStyle name="40% - Accent2 3 2 3 2 4 3" xfId="30319" xr:uid="{00000000-0005-0000-0000-0000FD5B0000}"/>
    <cellStyle name="40% - Accent2 3 2 3 2 5" xfId="13368" xr:uid="{00000000-0005-0000-0000-0000FE5B0000}"/>
    <cellStyle name="40% - Accent2 3 2 3 2 5 2" xfId="35970" xr:uid="{00000000-0005-0000-0000-0000FF5B0000}"/>
    <cellStyle name="40% - Accent2 3 2 3 2 6" xfId="24669" xr:uid="{00000000-0005-0000-0000-0000005C0000}"/>
    <cellStyle name="40% - Accent2 3 2 3 3" xfId="2572" xr:uid="{00000000-0005-0000-0000-0000015C0000}"/>
    <cellStyle name="40% - Accent2 3 2 3 3 2" xfId="5591" xr:uid="{00000000-0005-0000-0000-0000025C0000}"/>
    <cellStyle name="40% - Accent2 3 2 3 3 2 2" xfId="11241" xr:uid="{00000000-0005-0000-0000-0000035C0000}"/>
    <cellStyle name="40% - Accent2 3 2 3 3 2 2 2" xfId="22542" xr:uid="{00000000-0005-0000-0000-0000045C0000}"/>
    <cellStyle name="40% - Accent2 3 2 3 3 2 2 2 2" xfId="45144" xr:uid="{00000000-0005-0000-0000-0000055C0000}"/>
    <cellStyle name="40% - Accent2 3 2 3 3 2 2 3" xfId="33843" xr:uid="{00000000-0005-0000-0000-0000065C0000}"/>
    <cellStyle name="40% - Accent2 3 2 3 3 2 3" xfId="16892" xr:uid="{00000000-0005-0000-0000-0000075C0000}"/>
    <cellStyle name="40% - Accent2 3 2 3 3 2 3 2" xfId="39494" xr:uid="{00000000-0005-0000-0000-0000085C0000}"/>
    <cellStyle name="40% - Accent2 3 2 3 3 2 4" xfId="28193" xr:uid="{00000000-0005-0000-0000-0000095C0000}"/>
    <cellStyle name="40% - Accent2 3 2 3 3 3" xfId="8408" xr:uid="{00000000-0005-0000-0000-00000A5C0000}"/>
    <cellStyle name="40% - Accent2 3 2 3 3 3 2" xfId="19709" xr:uid="{00000000-0005-0000-0000-00000B5C0000}"/>
    <cellStyle name="40% - Accent2 3 2 3 3 3 2 2" xfId="42311" xr:uid="{00000000-0005-0000-0000-00000C5C0000}"/>
    <cellStyle name="40% - Accent2 3 2 3 3 3 3" xfId="31010" xr:uid="{00000000-0005-0000-0000-00000D5C0000}"/>
    <cellStyle name="40% - Accent2 3 2 3 3 4" xfId="14059" xr:uid="{00000000-0005-0000-0000-00000E5C0000}"/>
    <cellStyle name="40% - Accent2 3 2 3 3 4 2" xfId="36661" xr:uid="{00000000-0005-0000-0000-00000F5C0000}"/>
    <cellStyle name="40% - Accent2 3 2 3 3 5" xfId="25360" xr:uid="{00000000-0005-0000-0000-0000105C0000}"/>
    <cellStyle name="40% - Accent2 3 2 3 4" xfId="4357" xr:uid="{00000000-0005-0000-0000-0000115C0000}"/>
    <cellStyle name="40% - Accent2 3 2 3 4 2" xfId="10007" xr:uid="{00000000-0005-0000-0000-0000125C0000}"/>
    <cellStyle name="40% - Accent2 3 2 3 4 2 2" xfId="21308" xr:uid="{00000000-0005-0000-0000-0000135C0000}"/>
    <cellStyle name="40% - Accent2 3 2 3 4 2 2 2" xfId="43910" xr:uid="{00000000-0005-0000-0000-0000145C0000}"/>
    <cellStyle name="40% - Accent2 3 2 3 4 2 3" xfId="32609" xr:uid="{00000000-0005-0000-0000-0000155C0000}"/>
    <cellStyle name="40% - Accent2 3 2 3 4 3" xfId="15658" xr:uid="{00000000-0005-0000-0000-0000165C0000}"/>
    <cellStyle name="40% - Accent2 3 2 3 4 3 2" xfId="38260" xr:uid="{00000000-0005-0000-0000-0000175C0000}"/>
    <cellStyle name="40% - Accent2 3 2 3 4 4" xfId="26959" xr:uid="{00000000-0005-0000-0000-0000185C0000}"/>
    <cellStyle name="40% - Accent2 3 2 3 5" xfId="7154" xr:uid="{00000000-0005-0000-0000-0000195C0000}"/>
    <cellStyle name="40% - Accent2 3 2 3 5 2" xfId="18455" xr:uid="{00000000-0005-0000-0000-00001A5C0000}"/>
    <cellStyle name="40% - Accent2 3 2 3 5 2 2" xfId="41057" xr:uid="{00000000-0005-0000-0000-00001B5C0000}"/>
    <cellStyle name="40% - Accent2 3 2 3 5 3" xfId="29756" xr:uid="{00000000-0005-0000-0000-00001C5C0000}"/>
    <cellStyle name="40% - Accent2 3 2 3 6" xfId="12805" xr:uid="{00000000-0005-0000-0000-00001D5C0000}"/>
    <cellStyle name="40% - Accent2 3 2 3 6 2" xfId="35407" xr:uid="{00000000-0005-0000-0000-00001E5C0000}"/>
    <cellStyle name="40% - Accent2 3 2 3 7" xfId="24106" xr:uid="{00000000-0005-0000-0000-00001F5C0000}"/>
    <cellStyle name="40% - Accent2 3 2 4" xfId="864" xr:uid="{00000000-0005-0000-0000-0000205C0000}"/>
    <cellStyle name="40% - Accent2 3 2 4 2" xfId="2936" xr:uid="{00000000-0005-0000-0000-0000215C0000}"/>
    <cellStyle name="40% - Accent2 3 2 4 2 2" xfId="5908" xr:uid="{00000000-0005-0000-0000-0000225C0000}"/>
    <cellStyle name="40% - Accent2 3 2 4 2 2 2" xfId="11558" xr:uid="{00000000-0005-0000-0000-0000235C0000}"/>
    <cellStyle name="40% - Accent2 3 2 4 2 2 2 2" xfId="22859" xr:uid="{00000000-0005-0000-0000-0000245C0000}"/>
    <cellStyle name="40% - Accent2 3 2 4 2 2 2 2 2" xfId="45461" xr:uid="{00000000-0005-0000-0000-0000255C0000}"/>
    <cellStyle name="40% - Accent2 3 2 4 2 2 2 3" xfId="34160" xr:uid="{00000000-0005-0000-0000-0000265C0000}"/>
    <cellStyle name="40% - Accent2 3 2 4 2 2 3" xfId="17209" xr:uid="{00000000-0005-0000-0000-0000275C0000}"/>
    <cellStyle name="40% - Accent2 3 2 4 2 2 3 2" xfId="39811" xr:uid="{00000000-0005-0000-0000-0000285C0000}"/>
    <cellStyle name="40% - Accent2 3 2 4 2 2 4" xfId="28510" xr:uid="{00000000-0005-0000-0000-0000295C0000}"/>
    <cellStyle name="40% - Accent2 3 2 4 2 3" xfId="8726" xr:uid="{00000000-0005-0000-0000-00002A5C0000}"/>
    <cellStyle name="40% - Accent2 3 2 4 2 3 2" xfId="20027" xr:uid="{00000000-0005-0000-0000-00002B5C0000}"/>
    <cellStyle name="40% - Accent2 3 2 4 2 3 2 2" xfId="42629" xr:uid="{00000000-0005-0000-0000-00002C5C0000}"/>
    <cellStyle name="40% - Accent2 3 2 4 2 3 3" xfId="31328" xr:uid="{00000000-0005-0000-0000-00002D5C0000}"/>
    <cellStyle name="40% - Accent2 3 2 4 2 4" xfId="14377" xr:uid="{00000000-0005-0000-0000-00002E5C0000}"/>
    <cellStyle name="40% - Accent2 3 2 4 2 4 2" xfId="36979" xr:uid="{00000000-0005-0000-0000-00002F5C0000}"/>
    <cellStyle name="40% - Accent2 3 2 4 2 5" xfId="25678" xr:uid="{00000000-0005-0000-0000-0000305C0000}"/>
    <cellStyle name="40% - Accent2 3 2 4 3" xfId="4674" xr:uid="{00000000-0005-0000-0000-0000315C0000}"/>
    <cellStyle name="40% - Accent2 3 2 4 3 2" xfId="10324" xr:uid="{00000000-0005-0000-0000-0000325C0000}"/>
    <cellStyle name="40% - Accent2 3 2 4 3 2 2" xfId="21625" xr:uid="{00000000-0005-0000-0000-0000335C0000}"/>
    <cellStyle name="40% - Accent2 3 2 4 3 2 2 2" xfId="44227" xr:uid="{00000000-0005-0000-0000-0000345C0000}"/>
    <cellStyle name="40% - Accent2 3 2 4 3 2 3" xfId="32926" xr:uid="{00000000-0005-0000-0000-0000355C0000}"/>
    <cellStyle name="40% - Accent2 3 2 4 3 3" xfId="15975" xr:uid="{00000000-0005-0000-0000-0000365C0000}"/>
    <cellStyle name="40% - Accent2 3 2 4 3 3 2" xfId="38577" xr:uid="{00000000-0005-0000-0000-0000375C0000}"/>
    <cellStyle name="40% - Accent2 3 2 4 3 4" xfId="27276" xr:uid="{00000000-0005-0000-0000-0000385C0000}"/>
    <cellStyle name="40% - Accent2 3 2 4 4" xfId="6861" xr:uid="{00000000-0005-0000-0000-0000395C0000}"/>
    <cellStyle name="40% - Accent2 3 2 4 4 2" xfId="18162" xr:uid="{00000000-0005-0000-0000-00003A5C0000}"/>
    <cellStyle name="40% - Accent2 3 2 4 4 2 2" xfId="40764" xr:uid="{00000000-0005-0000-0000-00003B5C0000}"/>
    <cellStyle name="40% - Accent2 3 2 4 4 3" xfId="29463" xr:uid="{00000000-0005-0000-0000-00003C5C0000}"/>
    <cellStyle name="40% - Accent2 3 2 4 5" xfId="12512" xr:uid="{00000000-0005-0000-0000-00003D5C0000}"/>
    <cellStyle name="40% - Accent2 3 2 4 5 2" xfId="35114" xr:uid="{00000000-0005-0000-0000-00003E5C0000}"/>
    <cellStyle name="40% - Accent2 3 2 4 6" xfId="23813" xr:uid="{00000000-0005-0000-0000-00003F5C0000}"/>
    <cellStyle name="40% - Accent2 3 2 5" xfId="1858" xr:uid="{00000000-0005-0000-0000-0000405C0000}"/>
    <cellStyle name="40% - Accent2 3 2 5 2" xfId="3728" xr:uid="{00000000-0005-0000-0000-0000415C0000}"/>
    <cellStyle name="40% - Accent2 3 2 5 2 2" xfId="9438" xr:uid="{00000000-0005-0000-0000-0000425C0000}"/>
    <cellStyle name="40% - Accent2 3 2 5 2 2 2" xfId="20739" xr:uid="{00000000-0005-0000-0000-0000435C0000}"/>
    <cellStyle name="40% - Accent2 3 2 5 2 2 2 2" xfId="43341" xr:uid="{00000000-0005-0000-0000-0000445C0000}"/>
    <cellStyle name="40% - Accent2 3 2 5 2 2 3" xfId="32040" xr:uid="{00000000-0005-0000-0000-0000455C0000}"/>
    <cellStyle name="40% - Accent2 3 2 5 2 3" xfId="15089" xr:uid="{00000000-0005-0000-0000-0000465C0000}"/>
    <cellStyle name="40% - Accent2 3 2 5 2 3 2" xfId="37691" xr:uid="{00000000-0005-0000-0000-0000475C0000}"/>
    <cellStyle name="40% - Accent2 3 2 5 2 4" xfId="26390" xr:uid="{00000000-0005-0000-0000-0000485C0000}"/>
    <cellStyle name="40% - Accent2 3 2 5 3" xfId="5284" xr:uid="{00000000-0005-0000-0000-0000495C0000}"/>
    <cellStyle name="40% - Accent2 3 2 5 3 2" xfId="10934" xr:uid="{00000000-0005-0000-0000-00004A5C0000}"/>
    <cellStyle name="40% - Accent2 3 2 5 3 2 2" xfId="22235" xr:uid="{00000000-0005-0000-0000-00004B5C0000}"/>
    <cellStyle name="40% - Accent2 3 2 5 3 2 2 2" xfId="44837" xr:uid="{00000000-0005-0000-0000-00004C5C0000}"/>
    <cellStyle name="40% - Accent2 3 2 5 3 2 3" xfId="33536" xr:uid="{00000000-0005-0000-0000-00004D5C0000}"/>
    <cellStyle name="40% - Accent2 3 2 5 3 3" xfId="16585" xr:uid="{00000000-0005-0000-0000-00004E5C0000}"/>
    <cellStyle name="40% - Accent2 3 2 5 3 3 2" xfId="39187" xr:uid="{00000000-0005-0000-0000-00004F5C0000}"/>
    <cellStyle name="40% - Accent2 3 2 5 3 4" xfId="27886" xr:uid="{00000000-0005-0000-0000-0000505C0000}"/>
    <cellStyle name="40% - Accent2 3 2 5 4" xfId="7714" xr:uid="{00000000-0005-0000-0000-0000515C0000}"/>
    <cellStyle name="40% - Accent2 3 2 5 4 2" xfId="19015" xr:uid="{00000000-0005-0000-0000-0000525C0000}"/>
    <cellStyle name="40% - Accent2 3 2 5 4 2 2" xfId="41617" xr:uid="{00000000-0005-0000-0000-0000535C0000}"/>
    <cellStyle name="40% - Accent2 3 2 5 4 3" xfId="30316" xr:uid="{00000000-0005-0000-0000-0000545C0000}"/>
    <cellStyle name="40% - Accent2 3 2 5 5" xfId="13365" xr:uid="{00000000-0005-0000-0000-0000555C0000}"/>
    <cellStyle name="40% - Accent2 3 2 5 5 2" xfId="35967" xr:uid="{00000000-0005-0000-0000-0000565C0000}"/>
    <cellStyle name="40% - Accent2 3 2 5 6" xfId="24666" xr:uid="{00000000-0005-0000-0000-0000575C0000}"/>
    <cellStyle name="40% - Accent2 3 2 6" xfId="2262" xr:uid="{00000000-0005-0000-0000-0000585C0000}"/>
    <cellStyle name="40% - Accent2 3 2 6 2" xfId="8098" xr:uid="{00000000-0005-0000-0000-0000595C0000}"/>
    <cellStyle name="40% - Accent2 3 2 6 2 2" xfId="19399" xr:uid="{00000000-0005-0000-0000-00005A5C0000}"/>
    <cellStyle name="40% - Accent2 3 2 6 2 2 2" xfId="42001" xr:uid="{00000000-0005-0000-0000-00005B5C0000}"/>
    <cellStyle name="40% - Accent2 3 2 6 2 3" xfId="30700" xr:uid="{00000000-0005-0000-0000-00005C5C0000}"/>
    <cellStyle name="40% - Accent2 3 2 6 3" xfId="13749" xr:uid="{00000000-0005-0000-0000-00005D5C0000}"/>
    <cellStyle name="40% - Accent2 3 2 6 3 2" xfId="36351" xr:uid="{00000000-0005-0000-0000-00005E5C0000}"/>
    <cellStyle name="40% - Accent2 3 2 6 4" xfId="25050" xr:uid="{00000000-0005-0000-0000-00005F5C0000}"/>
    <cellStyle name="40% - Accent2 3 2 7" xfId="4050" xr:uid="{00000000-0005-0000-0000-0000605C0000}"/>
    <cellStyle name="40% - Accent2 3 2 7 2" xfId="9700" xr:uid="{00000000-0005-0000-0000-0000615C0000}"/>
    <cellStyle name="40% - Accent2 3 2 7 2 2" xfId="21001" xr:uid="{00000000-0005-0000-0000-0000625C0000}"/>
    <cellStyle name="40% - Accent2 3 2 7 2 2 2" xfId="43603" xr:uid="{00000000-0005-0000-0000-0000635C0000}"/>
    <cellStyle name="40% - Accent2 3 2 7 2 3" xfId="32302" xr:uid="{00000000-0005-0000-0000-0000645C0000}"/>
    <cellStyle name="40% - Accent2 3 2 7 3" xfId="15351" xr:uid="{00000000-0005-0000-0000-0000655C0000}"/>
    <cellStyle name="40% - Accent2 3 2 7 3 2" xfId="37953" xr:uid="{00000000-0005-0000-0000-0000665C0000}"/>
    <cellStyle name="40% - Accent2 3 2 7 4" xfId="26652" xr:uid="{00000000-0005-0000-0000-0000675C0000}"/>
    <cellStyle name="40% - Accent2 3 2 8" xfId="6501" xr:uid="{00000000-0005-0000-0000-0000685C0000}"/>
    <cellStyle name="40% - Accent2 3 2 8 2" xfId="17802" xr:uid="{00000000-0005-0000-0000-0000695C0000}"/>
    <cellStyle name="40% - Accent2 3 2 8 2 2" xfId="40404" xr:uid="{00000000-0005-0000-0000-00006A5C0000}"/>
    <cellStyle name="40% - Accent2 3 2 8 3" xfId="29103" xr:uid="{00000000-0005-0000-0000-00006B5C0000}"/>
    <cellStyle name="40% - Accent2 3 2 9" xfId="12152" xr:uid="{00000000-0005-0000-0000-00006C5C0000}"/>
    <cellStyle name="40% - Accent2 3 2 9 2" xfId="34754" xr:uid="{00000000-0005-0000-0000-00006D5C0000}"/>
    <cellStyle name="40% - Accent2 3 3" xfId="407" xr:uid="{00000000-0005-0000-0000-00006E5C0000}"/>
    <cellStyle name="40% - Accent2 3 3 10" xfId="23502" xr:uid="{00000000-0005-0000-0000-00006F5C0000}"/>
    <cellStyle name="40% - Accent2 3 3 2" xfId="652" xr:uid="{00000000-0005-0000-0000-0000705C0000}"/>
    <cellStyle name="40% - Accent2 3 3 2 2" xfId="1362" xr:uid="{00000000-0005-0000-0000-0000715C0000}"/>
    <cellStyle name="40% - Accent2 3 3 2 2 2" xfId="1864" xr:uid="{00000000-0005-0000-0000-0000725C0000}"/>
    <cellStyle name="40% - Accent2 3 3 2 2 2 2" xfId="3431" xr:uid="{00000000-0005-0000-0000-0000735C0000}"/>
    <cellStyle name="40% - Accent2 3 3 2 2 2 2 2" xfId="6403" xr:uid="{00000000-0005-0000-0000-0000745C0000}"/>
    <cellStyle name="40% - Accent2 3 3 2 2 2 2 2 2" xfId="12053" xr:uid="{00000000-0005-0000-0000-0000755C0000}"/>
    <cellStyle name="40% - Accent2 3 3 2 2 2 2 2 2 2" xfId="23354" xr:uid="{00000000-0005-0000-0000-0000765C0000}"/>
    <cellStyle name="40% - Accent2 3 3 2 2 2 2 2 2 2 2" xfId="45956" xr:uid="{00000000-0005-0000-0000-0000775C0000}"/>
    <cellStyle name="40% - Accent2 3 3 2 2 2 2 2 2 3" xfId="34655" xr:uid="{00000000-0005-0000-0000-0000785C0000}"/>
    <cellStyle name="40% - Accent2 3 3 2 2 2 2 2 3" xfId="17704" xr:uid="{00000000-0005-0000-0000-0000795C0000}"/>
    <cellStyle name="40% - Accent2 3 3 2 2 2 2 2 3 2" xfId="40306" xr:uid="{00000000-0005-0000-0000-00007A5C0000}"/>
    <cellStyle name="40% - Accent2 3 3 2 2 2 2 2 4" xfId="29005" xr:uid="{00000000-0005-0000-0000-00007B5C0000}"/>
    <cellStyle name="40% - Accent2 3 3 2 2 2 2 3" xfId="9221" xr:uid="{00000000-0005-0000-0000-00007C5C0000}"/>
    <cellStyle name="40% - Accent2 3 3 2 2 2 2 3 2" xfId="20522" xr:uid="{00000000-0005-0000-0000-00007D5C0000}"/>
    <cellStyle name="40% - Accent2 3 3 2 2 2 2 3 2 2" xfId="43124" xr:uid="{00000000-0005-0000-0000-00007E5C0000}"/>
    <cellStyle name="40% - Accent2 3 3 2 2 2 2 3 3" xfId="31823" xr:uid="{00000000-0005-0000-0000-00007F5C0000}"/>
    <cellStyle name="40% - Accent2 3 3 2 2 2 2 4" xfId="14872" xr:uid="{00000000-0005-0000-0000-0000805C0000}"/>
    <cellStyle name="40% - Accent2 3 3 2 2 2 2 4 2" xfId="37474" xr:uid="{00000000-0005-0000-0000-0000815C0000}"/>
    <cellStyle name="40% - Accent2 3 3 2 2 2 2 5" xfId="26173" xr:uid="{00000000-0005-0000-0000-0000825C0000}"/>
    <cellStyle name="40% - Accent2 3 3 2 2 2 3" xfId="5169" xr:uid="{00000000-0005-0000-0000-0000835C0000}"/>
    <cellStyle name="40% - Accent2 3 3 2 2 2 3 2" xfId="10819" xr:uid="{00000000-0005-0000-0000-0000845C0000}"/>
    <cellStyle name="40% - Accent2 3 3 2 2 2 3 2 2" xfId="22120" xr:uid="{00000000-0005-0000-0000-0000855C0000}"/>
    <cellStyle name="40% - Accent2 3 3 2 2 2 3 2 2 2" xfId="44722" xr:uid="{00000000-0005-0000-0000-0000865C0000}"/>
    <cellStyle name="40% - Accent2 3 3 2 2 2 3 2 3" xfId="33421" xr:uid="{00000000-0005-0000-0000-0000875C0000}"/>
    <cellStyle name="40% - Accent2 3 3 2 2 2 3 3" xfId="16470" xr:uid="{00000000-0005-0000-0000-0000885C0000}"/>
    <cellStyle name="40% - Accent2 3 3 2 2 2 3 3 2" xfId="39072" xr:uid="{00000000-0005-0000-0000-0000895C0000}"/>
    <cellStyle name="40% - Accent2 3 3 2 2 2 3 4" xfId="27771" xr:uid="{00000000-0005-0000-0000-00008A5C0000}"/>
    <cellStyle name="40% - Accent2 3 3 2 2 2 4" xfId="7720" xr:uid="{00000000-0005-0000-0000-00008B5C0000}"/>
    <cellStyle name="40% - Accent2 3 3 2 2 2 4 2" xfId="19021" xr:uid="{00000000-0005-0000-0000-00008C5C0000}"/>
    <cellStyle name="40% - Accent2 3 3 2 2 2 4 2 2" xfId="41623" xr:uid="{00000000-0005-0000-0000-00008D5C0000}"/>
    <cellStyle name="40% - Accent2 3 3 2 2 2 4 3" xfId="30322" xr:uid="{00000000-0005-0000-0000-00008E5C0000}"/>
    <cellStyle name="40% - Accent2 3 3 2 2 2 5" xfId="13371" xr:uid="{00000000-0005-0000-0000-00008F5C0000}"/>
    <cellStyle name="40% - Accent2 3 3 2 2 2 5 2" xfId="35973" xr:uid="{00000000-0005-0000-0000-0000905C0000}"/>
    <cellStyle name="40% - Accent2 3 3 2 2 2 6" xfId="24672" xr:uid="{00000000-0005-0000-0000-0000915C0000}"/>
    <cellStyle name="40% - Accent2 3 3 2 2 3" xfId="2760" xr:uid="{00000000-0005-0000-0000-0000925C0000}"/>
    <cellStyle name="40% - Accent2 3 3 2 2 3 2" xfId="5779" xr:uid="{00000000-0005-0000-0000-0000935C0000}"/>
    <cellStyle name="40% - Accent2 3 3 2 2 3 2 2" xfId="11429" xr:uid="{00000000-0005-0000-0000-0000945C0000}"/>
    <cellStyle name="40% - Accent2 3 3 2 2 3 2 2 2" xfId="22730" xr:uid="{00000000-0005-0000-0000-0000955C0000}"/>
    <cellStyle name="40% - Accent2 3 3 2 2 3 2 2 2 2" xfId="45332" xr:uid="{00000000-0005-0000-0000-0000965C0000}"/>
    <cellStyle name="40% - Accent2 3 3 2 2 3 2 2 3" xfId="34031" xr:uid="{00000000-0005-0000-0000-0000975C0000}"/>
    <cellStyle name="40% - Accent2 3 3 2 2 3 2 3" xfId="17080" xr:uid="{00000000-0005-0000-0000-0000985C0000}"/>
    <cellStyle name="40% - Accent2 3 3 2 2 3 2 3 2" xfId="39682" xr:uid="{00000000-0005-0000-0000-0000995C0000}"/>
    <cellStyle name="40% - Accent2 3 3 2 2 3 2 4" xfId="28381" xr:uid="{00000000-0005-0000-0000-00009A5C0000}"/>
    <cellStyle name="40% - Accent2 3 3 2 2 3 3" xfId="8596" xr:uid="{00000000-0005-0000-0000-00009B5C0000}"/>
    <cellStyle name="40% - Accent2 3 3 2 2 3 3 2" xfId="19897" xr:uid="{00000000-0005-0000-0000-00009C5C0000}"/>
    <cellStyle name="40% - Accent2 3 3 2 2 3 3 2 2" xfId="42499" xr:uid="{00000000-0005-0000-0000-00009D5C0000}"/>
    <cellStyle name="40% - Accent2 3 3 2 2 3 3 3" xfId="31198" xr:uid="{00000000-0005-0000-0000-00009E5C0000}"/>
    <cellStyle name="40% - Accent2 3 3 2 2 3 4" xfId="14247" xr:uid="{00000000-0005-0000-0000-00009F5C0000}"/>
    <cellStyle name="40% - Accent2 3 3 2 2 3 4 2" xfId="36849" xr:uid="{00000000-0005-0000-0000-0000A05C0000}"/>
    <cellStyle name="40% - Accent2 3 3 2 2 3 5" xfId="25548" xr:uid="{00000000-0005-0000-0000-0000A15C0000}"/>
    <cellStyle name="40% - Accent2 3 3 2 2 4" xfId="4545" xr:uid="{00000000-0005-0000-0000-0000A25C0000}"/>
    <cellStyle name="40% - Accent2 3 3 2 2 4 2" xfId="10195" xr:uid="{00000000-0005-0000-0000-0000A35C0000}"/>
    <cellStyle name="40% - Accent2 3 3 2 2 4 2 2" xfId="21496" xr:uid="{00000000-0005-0000-0000-0000A45C0000}"/>
    <cellStyle name="40% - Accent2 3 3 2 2 4 2 2 2" xfId="44098" xr:uid="{00000000-0005-0000-0000-0000A55C0000}"/>
    <cellStyle name="40% - Accent2 3 3 2 2 4 2 3" xfId="32797" xr:uid="{00000000-0005-0000-0000-0000A65C0000}"/>
    <cellStyle name="40% - Accent2 3 3 2 2 4 3" xfId="15846" xr:uid="{00000000-0005-0000-0000-0000A75C0000}"/>
    <cellStyle name="40% - Accent2 3 3 2 2 4 3 2" xfId="38448" xr:uid="{00000000-0005-0000-0000-0000A85C0000}"/>
    <cellStyle name="40% - Accent2 3 3 2 2 4 4" xfId="27147" xr:uid="{00000000-0005-0000-0000-0000A95C0000}"/>
    <cellStyle name="40% - Accent2 3 3 2 2 5" xfId="7341" xr:uid="{00000000-0005-0000-0000-0000AA5C0000}"/>
    <cellStyle name="40% - Accent2 3 3 2 2 5 2" xfId="18642" xr:uid="{00000000-0005-0000-0000-0000AB5C0000}"/>
    <cellStyle name="40% - Accent2 3 3 2 2 5 2 2" xfId="41244" xr:uid="{00000000-0005-0000-0000-0000AC5C0000}"/>
    <cellStyle name="40% - Accent2 3 3 2 2 5 3" xfId="29943" xr:uid="{00000000-0005-0000-0000-0000AD5C0000}"/>
    <cellStyle name="40% - Accent2 3 3 2 2 6" xfId="12992" xr:uid="{00000000-0005-0000-0000-0000AE5C0000}"/>
    <cellStyle name="40% - Accent2 3 3 2 2 6 2" xfId="35594" xr:uid="{00000000-0005-0000-0000-0000AF5C0000}"/>
    <cellStyle name="40% - Accent2 3 3 2 2 7" xfId="24293" xr:uid="{00000000-0005-0000-0000-0000B05C0000}"/>
    <cellStyle name="40% - Accent2 3 3 2 3" xfId="1060" xr:uid="{00000000-0005-0000-0000-0000B15C0000}"/>
    <cellStyle name="40% - Accent2 3 3 2 3 2" xfId="3123" xr:uid="{00000000-0005-0000-0000-0000B25C0000}"/>
    <cellStyle name="40% - Accent2 3 3 2 3 2 2" xfId="6095" xr:uid="{00000000-0005-0000-0000-0000B35C0000}"/>
    <cellStyle name="40% - Accent2 3 3 2 3 2 2 2" xfId="11745" xr:uid="{00000000-0005-0000-0000-0000B45C0000}"/>
    <cellStyle name="40% - Accent2 3 3 2 3 2 2 2 2" xfId="23046" xr:uid="{00000000-0005-0000-0000-0000B55C0000}"/>
    <cellStyle name="40% - Accent2 3 3 2 3 2 2 2 2 2" xfId="45648" xr:uid="{00000000-0005-0000-0000-0000B65C0000}"/>
    <cellStyle name="40% - Accent2 3 3 2 3 2 2 2 3" xfId="34347" xr:uid="{00000000-0005-0000-0000-0000B75C0000}"/>
    <cellStyle name="40% - Accent2 3 3 2 3 2 2 3" xfId="17396" xr:uid="{00000000-0005-0000-0000-0000B85C0000}"/>
    <cellStyle name="40% - Accent2 3 3 2 3 2 2 3 2" xfId="39998" xr:uid="{00000000-0005-0000-0000-0000B95C0000}"/>
    <cellStyle name="40% - Accent2 3 3 2 3 2 2 4" xfId="28697" xr:uid="{00000000-0005-0000-0000-0000BA5C0000}"/>
    <cellStyle name="40% - Accent2 3 3 2 3 2 3" xfId="8913" xr:uid="{00000000-0005-0000-0000-0000BB5C0000}"/>
    <cellStyle name="40% - Accent2 3 3 2 3 2 3 2" xfId="20214" xr:uid="{00000000-0005-0000-0000-0000BC5C0000}"/>
    <cellStyle name="40% - Accent2 3 3 2 3 2 3 2 2" xfId="42816" xr:uid="{00000000-0005-0000-0000-0000BD5C0000}"/>
    <cellStyle name="40% - Accent2 3 3 2 3 2 3 3" xfId="31515" xr:uid="{00000000-0005-0000-0000-0000BE5C0000}"/>
    <cellStyle name="40% - Accent2 3 3 2 3 2 4" xfId="14564" xr:uid="{00000000-0005-0000-0000-0000BF5C0000}"/>
    <cellStyle name="40% - Accent2 3 3 2 3 2 4 2" xfId="37166" xr:uid="{00000000-0005-0000-0000-0000C05C0000}"/>
    <cellStyle name="40% - Accent2 3 3 2 3 2 5" xfId="25865" xr:uid="{00000000-0005-0000-0000-0000C15C0000}"/>
    <cellStyle name="40% - Accent2 3 3 2 3 3" xfId="4861" xr:uid="{00000000-0005-0000-0000-0000C25C0000}"/>
    <cellStyle name="40% - Accent2 3 3 2 3 3 2" xfId="10511" xr:uid="{00000000-0005-0000-0000-0000C35C0000}"/>
    <cellStyle name="40% - Accent2 3 3 2 3 3 2 2" xfId="21812" xr:uid="{00000000-0005-0000-0000-0000C45C0000}"/>
    <cellStyle name="40% - Accent2 3 3 2 3 3 2 2 2" xfId="44414" xr:uid="{00000000-0005-0000-0000-0000C55C0000}"/>
    <cellStyle name="40% - Accent2 3 3 2 3 3 2 3" xfId="33113" xr:uid="{00000000-0005-0000-0000-0000C65C0000}"/>
    <cellStyle name="40% - Accent2 3 3 2 3 3 3" xfId="16162" xr:uid="{00000000-0005-0000-0000-0000C75C0000}"/>
    <cellStyle name="40% - Accent2 3 3 2 3 3 3 2" xfId="38764" xr:uid="{00000000-0005-0000-0000-0000C85C0000}"/>
    <cellStyle name="40% - Accent2 3 3 2 3 3 4" xfId="27463" xr:uid="{00000000-0005-0000-0000-0000C95C0000}"/>
    <cellStyle name="40% - Accent2 3 3 2 3 4" xfId="7048" xr:uid="{00000000-0005-0000-0000-0000CA5C0000}"/>
    <cellStyle name="40% - Accent2 3 3 2 3 4 2" xfId="18349" xr:uid="{00000000-0005-0000-0000-0000CB5C0000}"/>
    <cellStyle name="40% - Accent2 3 3 2 3 4 2 2" xfId="40951" xr:uid="{00000000-0005-0000-0000-0000CC5C0000}"/>
    <cellStyle name="40% - Accent2 3 3 2 3 4 3" xfId="29650" xr:uid="{00000000-0005-0000-0000-0000CD5C0000}"/>
    <cellStyle name="40% - Accent2 3 3 2 3 5" xfId="12699" xr:uid="{00000000-0005-0000-0000-0000CE5C0000}"/>
    <cellStyle name="40% - Accent2 3 3 2 3 5 2" xfId="35301" xr:uid="{00000000-0005-0000-0000-0000CF5C0000}"/>
    <cellStyle name="40% - Accent2 3 3 2 3 6" xfId="24000" xr:uid="{00000000-0005-0000-0000-0000D05C0000}"/>
    <cellStyle name="40% - Accent2 3 3 2 4" xfId="1863" xr:uid="{00000000-0005-0000-0000-0000D15C0000}"/>
    <cellStyle name="40% - Accent2 3 3 2 4 2" xfId="3731" xr:uid="{00000000-0005-0000-0000-0000D25C0000}"/>
    <cellStyle name="40% - Accent2 3 3 2 4 2 2" xfId="9441" xr:uid="{00000000-0005-0000-0000-0000D35C0000}"/>
    <cellStyle name="40% - Accent2 3 3 2 4 2 2 2" xfId="20742" xr:uid="{00000000-0005-0000-0000-0000D45C0000}"/>
    <cellStyle name="40% - Accent2 3 3 2 4 2 2 2 2" xfId="43344" xr:uid="{00000000-0005-0000-0000-0000D55C0000}"/>
    <cellStyle name="40% - Accent2 3 3 2 4 2 2 3" xfId="32043" xr:uid="{00000000-0005-0000-0000-0000D65C0000}"/>
    <cellStyle name="40% - Accent2 3 3 2 4 2 3" xfId="15092" xr:uid="{00000000-0005-0000-0000-0000D75C0000}"/>
    <cellStyle name="40% - Accent2 3 3 2 4 2 3 2" xfId="37694" xr:uid="{00000000-0005-0000-0000-0000D85C0000}"/>
    <cellStyle name="40% - Accent2 3 3 2 4 2 4" xfId="26393" xr:uid="{00000000-0005-0000-0000-0000D95C0000}"/>
    <cellStyle name="40% - Accent2 3 3 2 4 3" xfId="5471" xr:uid="{00000000-0005-0000-0000-0000DA5C0000}"/>
    <cellStyle name="40% - Accent2 3 3 2 4 3 2" xfId="11121" xr:uid="{00000000-0005-0000-0000-0000DB5C0000}"/>
    <cellStyle name="40% - Accent2 3 3 2 4 3 2 2" xfId="22422" xr:uid="{00000000-0005-0000-0000-0000DC5C0000}"/>
    <cellStyle name="40% - Accent2 3 3 2 4 3 2 2 2" xfId="45024" xr:uid="{00000000-0005-0000-0000-0000DD5C0000}"/>
    <cellStyle name="40% - Accent2 3 3 2 4 3 2 3" xfId="33723" xr:uid="{00000000-0005-0000-0000-0000DE5C0000}"/>
    <cellStyle name="40% - Accent2 3 3 2 4 3 3" xfId="16772" xr:uid="{00000000-0005-0000-0000-0000DF5C0000}"/>
    <cellStyle name="40% - Accent2 3 3 2 4 3 3 2" xfId="39374" xr:uid="{00000000-0005-0000-0000-0000E05C0000}"/>
    <cellStyle name="40% - Accent2 3 3 2 4 3 4" xfId="28073" xr:uid="{00000000-0005-0000-0000-0000E15C0000}"/>
    <cellStyle name="40% - Accent2 3 3 2 4 4" xfId="7719" xr:uid="{00000000-0005-0000-0000-0000E25C0000}"/>
    <cellStyle name="40% - Accent2 3 3 2 4 4 2" xfId="19020" xr:uid="{00000000-0005-0000-0000-0000E35C0000}"/>
    <cellStyle name="40% - Accent2 3 3 2 4 4 2 2" xfId="41622" xr:uid="{00000000-0005-0000-0000-0000E45C0000}"/>
    <cellStyle name="40% - Accent2 3 3 2 4 4 3" xfId="30321" xr:uid="{00000000-0005-0000-0000-0000E55C0000}"/>
    <cellStyle name="40% - Accent2 3 3 2 4 5" xfId="13370" xr:uid="{00000000-0005-0000-0000-0000E65C0000}"/>
    <cellStyle name="40% - Accent2 3 3 2 4 5 2" xfId="35972" xr:uid="{00000000-0005-0000-0000-0000E75C0000}"/>
    <cellStyle name="40% - Accent2 3 3 2 4 6" xfId="24671" xr:uid="{00000000-0005-0000-0000-0000E85C0000}"/>
    <cellStyle name="40% - Accent2 3 3 2 5" xfId="2452" xr:uid="{00000000-0005-0000-0000-0000E95C0000}"/>
    <cellStyle name="40% - Accent2 3 3 2 5 2" xfId="8288" xr:uid="{00000000-0005-0000-0000-0000EA5C0000}"/>
    <cellStyle name="40% - Accent2 3 3 2 5 2 2" xfId="19589" xr:uid="{00000000-0005-0000-0000-0000EB5C0000}"/>
    <cellStyle name="40% - Accent2 3 3 2 5 2 2 2" xfId="42191" xr:uid="{00000000-0005-0000-0000-0000EC5C0000}"/>
    <cellStyle name="40% - Accent2 3 3 2 5 2 3" xfId="30890" xr:uid="{00000000-0005-0000-0000-0000ED5C0000}"/>
    <cellStyle name="40% - Accent2 3 3 2 5 3" xfId="13939" xr:uid="{00000000-0005-0000-0000-0000EE5C0000}"/>
    <cellStyle name="40% - Accent2 3 3 2 5 3 2" xfId="36541" xr:uid="{00000000-0005-0000-0000-0000EF5C0000}"/>
    <cellStyle name="40% - Accent2 3 3 2 5 4" xfId="25240" xr:uid="{00000000-0005-0000-0000-0000F05C0000}"/>
    <cellStyle name="40% - Accent2 3 3 2 6" xfId="4237" xr:uid="{00000000-0005-0000-0000-0000F15C0000}"/>
    <cellStyle name="40% - Accent2 3 3 2 6 2" xfId="9887" xr:uid="{00000000-0005-0000-0000-0000F25C0000}"/>
    <cellStyle name="40% - Accent2 3 3 2 6 2 2" xfId="21188" xr:uid="{00000000-0005-0000-0000-0000F35C0000}"/>
    <cellStyle name="40% - Accent2 3 3 2 6 2 2 2" xfId="43790" xr:uid="{00000000-0005-0000-0000-0000F45C0000}"/>
    <cellStyle name="40% - Accent2 3 3 2 6 2 3" xfId="32489" xr:uid="{00000000-0005-0000-0000-0000F55C0000}"/>
    <cellStyle name="40% - Accent2 3 3 2 6 3" xfId="15538" xr:uid="{00000000-0005-0000-0000-0000F65C0000}"/>
    <cellStyle name="40% - Accent2 3 3 2 6 3 2" xfId="38140" xr:uid="{00000000-0005-0000-0000-0000F75C0000}"/>
    <cellStyle name="40% - Accent2 3 3 2 6 4" xfId="26839" xr:uid="{00000000-0005-0000-0000-0000F85C0000}"/>
    <cellStyle name="40% - Accent2 3 3 2 7" xfId="6717" xr:uid="{00000000-0005-0000-0000-0000F95C0000}"/>
    <cellStyle name="40% - Accent2 3 3 2 7 2" xfId="18018" xr:uid="{00000000-0005-0000-0000-0000FA5C0000}"/>
    <cellStyle name="40% - Accent2 3 3 2 7 2 2" xfId="40620" xr:uid="{00000000-0005-0000-0000-0000FB5C0000}"/>
    <cellStyle name="40% - Accent2 3 3 2 7 3" xfId="29319" xr:uid="{00000000-0005-0000-0000-0000FC5C0000}"/>
    <cellStyle name="40% - Accent2 3 3 2 8" xfId="12368" xr:uid="{00000000-0005-0000-0000-0000FD5C0000}"/>
    <cellStyle name="40% - Accent2 3 3 2 8 2" xfId="34970" xr:uid="{00000000-0005-0000-0000-0000FE5C0000}"/>
    <cellStyle name="40% - Accent2 3 3 2 9" xfId="23669" xr:uid="{00000000-0005-0000-0000-0000FF5C0000}"/>
    <cellStyle name="40% - Accent2 3 3 3" xfId="1224" xr:uid="{00000000-0005-0000-0000-0000005D0000}"/>
    <cellStyle name="40% - Accent2 3 3 3 2" xfId="1865" xr:uid="{00000000-0005-0000-0000-0000015D0000}"/>
    <cellStyle name="40% - Accent2 3 3 3 2 2" xfId="3292" xr:uid="{00000000-0005-0000-0000-0000025D0000}"/>
    <cellStyle name="40% - Accent2 3 3 3 2 2 2" xfId="6264" xr:uid="{00000000-0005-0000-0000-0000035D0000}"/>
    <cellStyle name="40% - Accent2 3 3 3 2 2 2 2" xfId="11914" xr:uid="{00000000-0005-0000-0000-0000045D0000}"/>
    <cellStyle name="40% - Accent2 3 3 3 2 2 2 2 2" xfId="23215" xr:uid="{00000000-0005-0000-0000-0000055D0000}"/>
    <cellStyle name="40% - Accent2 3 3 3 2 2 2 2 2 2" xfId="45817" xr:uid="{00000000-0005-0000-0000-0000065D0000}"/>
    <cellStyle name="40% - Accent2 3 3 3 2 2 2 2 3" xfId="34516" xr:uid="{00000000-0005-0000-0000-0000075D0000}"/>
    <cellStyle name="40% - Accent2 3 3 3 2 2 2 3" xfId="17565" xr:uid="{00000000-0005-0000-0000-0000085D0000}"/>
    <cellStyle name="40% - Accent2 3 3 3 2 2 2 3 2" xfId="40167" xr:uid="{00000000-0005-0000-0000-0000095D0000}"/>
    <cellStyle name="40% - Accent2 3 3 3 2 2 2 4" xfId="28866" xr:uid="{00000000-0005-0000-0000-00000A5D0000}"/>
    <cellStyle name="40% - Accent2 3 3 3 2 2 3" xfId="9082" xr:uid="{00000000-0005-0000-0000-00000B5D0000}"/>
    <cellStyle name="40% - Accent2 3 3 3 2 2 3 2" xfId="20383" xr:uid="{00000000-0005-0000-0000-00000C5D0000}"/>
    <cellStyle name="40% - Accent2 3 3 3 2 2 3 2 2" xfId="42985" xr:uid="{00000000-0005-0000-0000-00000D5D0000}"/>
    <cellStyle name="40% - Accent2 3 3 3 2 2 3 3" xfId="31684" xr:uid="{00000000-0005-0000-0000-00000E5D0000}"/>
    <cellStyle name="40% - Accent2 3 3 3 2 2 4" xfId="14733" xr:uid="{00000000-0005-0000-0000-00000F5D0000}"/>
    <cellStyle name="40% - Accent2 3 3 3 2 2 4 2" xfId="37335" xr:uid="{00000000-0005-0000-0000-0000105D0000}"/>
    <cellStyle name="40% - Accent2 3 3 3 2 2 5" xfId="26034" xr:uid="{00000000-0005-0000-0000-0000115D0000}"/>
    <cellStyle name="40% - Accent2 3 3 3 2 3" xfId="5030" xr:uid="{00000000-0005-0000-0000-0000125D0000}"/>
    <cellStyle name="40% - Accent2 3 3 3 2 3 2" xfId="10680" xr:uid="{00000000-0005-0000-0000-0000135D0000}"/>
    <cellStyle name="40% - Accent2 3 3 3 2 3 2 2" xfId="21981" xr:uid="{00000000-0005-0000-0000-0000145D0000}"/>
    <cellStyle name="40% - Accent2 3 3 3 2 3 2 2 2" xfId="44583" xr:uid="{00000000-0005-0000-0000-0000155D0000}"/>
    <cellStyle name="40% - Accent2 3 3 3 2 3 2 3" xfId="33282" xr:uid="{00000000-0005-0000-0000-0000165D0000}"/>
    <cellStyle name="40% - Accent2 3 3 3 2 3 3" xfId="16331" xr:uid="{00000000-0005-0000-0000-0000175D0000}"/>
    <cellStyle name="40% - Accent2 3 3 3 2 3 3 2" xfId="38933" xr:uid="{00000000-0005-0000-0000-0000185D0000}"/>
    <cellStyle name="40% - Accent2 3 3 3 2 3 4" xfId="27632" xr:uid="{00000000-0005-0000-0000-0000195D0000}"/>
    <cellStyle name="40% - Accent2 3 3 3 2 4" xfId="7721" xr:uid="{00000000-0005-0000-0000-00001A5D0000}"/>
    <cellStyle name="40% - Accent2 3 3 3 2 4 2" xfId="19022" xr:uid="{00000000-0005-0000-0000-00001B5D0000}"/>
    <cellStyle name="40% - Accent2 3 3 3 2 4 2 2" xfId="41624" xr:uid="{00000000-0005-0000-0000-00001C5D0000}"/>
    <cellStyle name="40% - Accent2 3 3 3 2 4 3" xfId="30323" xr:uid="{00000000-0005-0000-0000-00001D5D0000}"/>
    <cellStyle name="40% - Accent2 3 3 3 2 5" xfId="13372" xr:uid="{00000000-0005-0000-0000-00001E5D0000}"/>
    <cellStyle name="40% - Accent2 3 3 3 2 5 2" xfId="35974" xr:uid="{00000000-0005-0000-0000-00001F5D0000}"/>
    <cellStyle name="40% - Accent2 3 3 3 2 6" xfId="24673" xr:uid="{00000000-0005-0000-0000-0000205D0000}"/>
    <cellStyle name="40% - Accent2 3 3 3 3" xfId="2621" xr:uid="{00000000-0005-0000-0000-0000215D0000}"/>
    <cellStyle name="40% - Accent2 3 3 3 3 2" xfId="5640" xr:uid="{00000000-0005-0000-0000-0000225D0000}"/>
    <cellStyle name="40% - Accent2 3 3 3 3 2 2" xfId="11290" xr:uid="{00000000-0005-0000-0000-0000235D0000}"/>
    <cellStyle name="40% - Accent2 3 3 3 3 2 2 2" xfId="22591" xr:uid="{00000000-0005-0000-0000-0000245D0000}"/>
    <cellStyle name="40% - Accent2 3 3 3 3 2 2 2 2" xfId="45193" xr:uid="{00000000-0005-0000-0000-0000255D0000}"/>
    <cellStyle name="40% - Accent2 3 3 3 3 2 2 3" xfId="33892" xr:uid="{00000000-0005-0000-0000-0000265D0000}"/>
    <cellStyle name="40% - Accent2 3 3 3 3 2 3" xfId="16941" xr:uid="{00000000-0005-0000-0000-0000275D0000}"/>
    <cellStyle name="40% - Accent2 3 3 3 3 2 3 2" xfId="39543" xr:uid="{00000000-0005-0000-0000-0000285D0000}"/>
    <cellStyle name="40% - Accent2 3 3 3 3 2 4" xfId="28242" xr:uid="{00000000-0005-0000-0000-0000295D0000}"/>
    <cellStyle name="40% - Accent2 3 3 3 3 3" xfId="8457" xr:uid="{00000000-0005-0000-0000-00002A5D0000}"/>
    <cellStyle name="40% - Accent2 3 3 3 3 3 2" xfId="19758" xr:uid="{00000000-0005-0000-0000-00002B5D0000}"/>
    <cellStyle name="40% - Accent2 3 3 3 3 3 2 2" xfId="42360" xr:uid="{00000000-0005-0000-0000-00002C5D0000}"/>
    <cellStyle name="40% - Accent2 3 3 3 3 3 3" xfId="31059" xr:uid="{00000000-0005-0000-0000-00002D5D0000}"/>
    <cellStyle name="40% - Accent2 3 3 3 3 4" xfId="14108" xr:uid="{00000000-0005-0000-0000-00002E5D0000}"/>
    <cellStyle name="40% - Accent2 3 3 3 3 4 2" xfId="36710" xr:uid="{00000000-0005-0000-0000-00002F5D0000}"/>
    <cellStyle name="40% - Accent2 3 3 3 3 5" xfId="25409" xr:uid="{00000000-0005-0000-0000-0000305D0000}"/>
    <cellStyle name="40% - Accent2 3 3 3 4" xfId="4406" xr:uid="{00000000-0005-0000-0000-0000315D0000}"/>
    <cellStyle name="40% - Accent2 3 3 3 4 2" xfId="10056" xr:uid="{00000000-0005-0000-0000-0000325D0000}"/>
    <cellStyle name="40% - Accent2 3 3 3 4 2 2" xfId="21357" xr:uid="{00000000-0005-0000-0000-0000335D0000}"/>
    <cellStyle name="40% - Accent2 3 3 3 4 2 2 2" xfId="43959" xr:uid="{00000000-0005-0000-0000-0000345D0000}"/>
    <cellStyle name="40% - Accent2 3 3 3 4 2 3" xfId="32658" xr:uid="{00000000-0005-0000-0000-0000355D0000}"/>
    <cellStyle name="40% - Accent2 3 3 3 4 3" xfId="15707" xr:uid="{00000000-0005-0000-0000-0000365D0000}"/>
    <cellStyle name="40% - Accent2 3 3 3 4 3 2" xfId="38309" xr:uid="{00000000-0005-0000-0000-0000375D0000}"/>
    <cellStyle name="40% - Accent2 3 3 3 4 4" xfId="27008" xr:uid="{00000000-0005-0000-0000-0000385D0000}"/>
    <cellStyle name="40% - Accent2 3 3 3 5" xfId="7203" xr:uid="{00000000-0005-0000-0000-0000395D0000}"/>
    <cellStyle name="40% - Accent2 3 3 3 5 2" xfId="18504" xr:uid="{00000000-0005-0000-0000-00003A5D0000}"/>
    <cellStyle name="40% - Accent2 3 3 3 5 2 2" xfId="41106" xr:uid="{00000000-0005-0000-0000-00003B5D0000}"/>
    <cellStyle name="40% - Accent2 3 3 3 5 3" xfId="29805" xr:uid="{00000000-0005-0000-0000-00003C5D0000}"/>
    <cellStyle name="40% - Accent2 3 3 3 6" xfId="12854" xr:uid="{00000000-0005-0000-0000-00003D5D0000}"/>
    <cellStyle name="40% - Accent2 3 3 3 6 2" xfId="35456" xr:uid="{00000000-0005-0000-0000-00003E5D0000}"/>
    <cellStyle name="40% - Accent2 3 3 3 7" xfId="24155" xr:uid="{00000000-0005-0000-0000-00003F5D0000}"/>
    <cellStyle name="40% - Accent2 3 3 4" xfId="915" xr:uid="{00000000-0005-0000-0000-0000405D0000}"/>
    <cellStyle name="40% - Accent2 3 3 4 2" xfId="2985" xr:uid="{00000000-0005-0000-0000-0000415D0000}"/>
    <cellStyle name="40% - Accent2 3 3 4 2 2" xfId="5957" xr:uid="{00000000-0005-0000-0000-0000425D0000}"/>
    <cellStyle name="40% - Accent2 3 3 4 2 2 2" xfId="11607" xr:uid="{00000000-0005-0000-0000-0000435D0000}"/>
    <cellStyle name="40% - Accent2 3 3 4 2 2 2 2" xfId="22908" xr:uid="{00000000-0005-0000-0000-0000445D0000}"/>
    <cellStyle name="40% - Accent2 3 3 4 2 2 2 2 2" xfId="45510" xr:uid="{00000000-0005-0000-0000-0000455D0000}"/>
    <cellStyle name="40% - Accent2 3 3 4 2 2 2 3" xfId="34209" xr:uid="{00000000-0005-0000-0000-0000465D0000}"/>
    <cellStyle name="40% - Accent2 3 3 4 2 2 3" xfId="17258" xr:uid="{00000000-0005-0000-0000-0000475D0000}"/>
    <cellStyle name="40% - Accent2 3 3 4 2 2 3 2" xfId="39860" xr:uid="{00000000-0005-0000-0000-0000485D0000}"/>
    <cellStyle name="40% - Accent2 3 3 4 2 2 4" xfId="28559" xr:uid="{00000000-0005-0000-0000-0000495D0000}"/>
    <cellStyle name="40% - Accent2 3 3 4 2 3" xfId="8775" xr:uid="{00000000-0005-0000-0000-00004A5D0000}"/>
    <cellStyle name="40% - Accent2 3 3 4 2 3 2" xfId="20076" xr:uid="{00000000-0005-0000-0000-00004B5D0000}"/>
    <cellStyle name="40% - Accent2 3 3 4 2 3 2 2" xfId="42678" xr:uid="{00000000-0005-0000-0000-00004C5D0000}"/>
    <cellStyle name="40% - Accent2 3 3 4 2 3 3" xfId="31377" xr:uid="{00000000-0005-0000-0000-00004D5D0000}"/>
    <cellStyle name="40% - Accent2 3 3 4 2 4" xfId="14426" xr:uid="{00000000-0005-0000-0000-00004E5D0000}"/>
    <cellStyle name="40% - Accent2 3 3 4 2 4 2" xfId="37028" xr:uid="{00000000-0005-0000-0000-00004F5D0000}"/>
    <cellStyle name="40% - Accent2 3 3 4 2 5" xfId="25727" xr:uid="{00000000-0005-0000-0000-0000505D0000}"/>
    <cellStyle name="40% - Accent2 3 3 4 3" xfId="4723" xr:uid="{00000000-0005-0000-0000-0000515D0000}"/>
    <cellStyle name="40% - Accent2 3 3 4 3 2" xfId="10373" xr:uid="{00000000-0005-0000-0000-0000525D0000}"/>
    <cellStyle name="40% - Accent2 3 3 4 3 2 2" xfId="21674" xr:uid="{00000000-0005-0000-0000-0000535D0000}"/>
    <cellStyle name="40% - Accent2 3 3 4 3 2 2 2" xfId="44276" xr:uid="{00000000-0005-0000-0000-0000545D0000}"/>
    <cellStyle name="40% - Accent2 3 3 4 3 2 3" xfId="32975" xr:uid="{00000000-0005-0000-0000-0000555D0000}"/>
    <cellStyle name="40% - Accent2 3 3 4 3 3" xfId="16024" xr:uid="{00000000-0005-0000-0000-0000565D0000}"/>
    <cellStyle name="40% - Accent2 3 3 4 3 3 2" xfId="38626" xr:uid="{00000000-0005-0000-0000-0000575D0000}"/>
    <cellStyle name="40% - Accent2 3 3 4 3 4" xfId="27325" xr:uid="{00000000-0005-0000-0000-0000585D0000}"/>
    <cellStyle name="40% - Accent2 3 3 4 4" xfId="6910" xr:uid="{00000000-0005-0000-0000-0000595D0000}"/>
    <cellStyle name="40% - Accent2 3 3 4 4 2" xfId="18211" xr:uid="{00000000-0005-0000-0000-00005A5D0000}"/>
    <cellStyle name="40% - Accent2 3 3 4 4 2 2" xfId="40813" xr:uid="{00000000-0005-0000-0000-00005B5D0000}"/>
    <cellStyle name="40% - Accent2 3 3 4 4 3" xfId="29512" xr:uid="{00000000-0005-0000-0000-00005C5D0000}"/>
    <cellStyle name="40% - Accent2 3 3 4 5" xfId="12561" xr:uid="{00000000-0005-0000-0000-00005D5D0000}"/>
    <cellStyle name="40% - Accent2 3 3 4 5 2" xfId="35163" xr:uid="{00000000-0005-0000-0000-00005E5D0000}"/>
    <cellStyle name="40% - Accent2 3 3 4 6" xfId="23862" xr:uid="{00000000-0005-0000-0000-00005F5D0000}"/>
    <cellStyle name="40% - Accent2 3 3 5" xfId="1862" xr:uid="{00000000-0005-0000-0000-0000605D0000}"/>
    <cellStyle name="40% - Accent2 3 3 5 2" xfId="3730" xr:uid="{00000000-0005-0000-0000-0000615D0000}"/>
    <cellStyle name="40% - Accent2 3 3 5 2 2" xfId="9440" xr:uid="{00000000-0005-0000-0000-0000625D0000}"/>
    <cellStyle name="40% - Accent2 3 3 5 2 2 2" xfId="20741" xr:uid="{00000000-0005-0000-0000-0000635D0000}"/>
    <cellStyle name="40% - Accent2 3 3 5 2 2 2 2" xfId="43343" xr:uid="{00000000-0005-0000-0000-0000645D0000}"/>
    <cellStyle name="40% - Accent2 3 3 5 2 2 3" xfId="32042" xr:uid="{00000000-0005-0000-0000-0000655D0000}"/>
    <cellStyle name="40% - Accent2 3 3 5 2 3" xfId="15091" xr:uid="{00000000-0005-0000-0000-0000665D0000}"/>
    <cellStyle name="40% - Accent2 3 3 5 2 3 2" xfId="37693" xr:uid="{00000000-0005-0000-0000-0000675D0000}"/>
    <cellStyle name="40% - Accent2 3 3 5 2 4" xfId="26392" xr:uid="{00000000-0005-0000-0000-0000685D0000}"/>
    <cellStyle name="40% - Accent2 3 3 5 3" xfId="5333" xr:uid="{00000000-0005-0000-0000-0000695D0000}"/>
    <cellStyle name="40% - Accent2 3 3 5 3 2" xfId="10983" xr:uid="{00000000-0005-0000-0000-00006A5D0000}"/>
    <cellStyle name="40% - Accent2 3 3 5 3 2 2" xfId="22284" xr:uid="{00000000-0005-0000-0000-00006B5D0000}"/>
    <cellStyle name="40% - Accent2 3 3 5 3 2 2 2" xfId="44886" xr:uid="{00000000-0005-0000-0000-00006C5D0000}"/>
    <cellStyle name="40% - Accent2 3 3 5 3 2 3" xfId="33585" xr:uid="{00000000-0005-0000-0000-00006D5D0000}"/>
    <cellStyle name="40% - Accent2 3 3 5 3 3" xfId="16634" xr:uid="{00000000-0005-0000-0000-00006E5D0000}"/>
    <cellStyle name="40% - Accent2 3 3 5 3 3 2" xfId="39236" xr:uid="{00000000-0005-0000-0000-00006F5D0000}"/>
    <cellStyle name="40% - Accent2 3 3 5 3 4" xfId="27935" xr:uid="{00000000-0005-0000-0000-0000705D0000}"/>
    <cellStyle name="40% - Accent2 3 3 5 4" xfId="7718" xr:uid="{00000000-0005-0000-0000-0000715D0000}"/>
    <cellStyle name="40% - Accent2 3 3 5 4 2" xfId="19019" xr:uid="{00000000-0005-0000-0000-0000725D0000}"/>
    <cellStyle name="40% - Accent2 3 3 5 4 2 2" xfId="41621" xr:uid="{00000000-0005-0000-0000-0000735D0000}"/>
    <cellStyle name="40% - Accent2 3 3 5 4 3" xfId="30320" xr:uid="{00000000-0005-0000-0000-0000745D0000}"/>
    <cellStyle name="40% - Accent2 3 3 5 5" xfId="13369" xr:uid="{00000000-0005-0000-0000-0000755D0000}"/>
    <cellStyle name="40% - Accent2 3 3 5 5 2" xfId="35971" xr:uid="{00000000-0005-0000-0000-0000765D0000}"/>
    <cellStyle name="40% - Accent2 3 3 5 6" xfId="24670" xr:uid="{00000000-0005-0000-0000-0000775D0000}"/>
    <cellStyle name="40% - Accent2 3 3 6" xfId="2312" xr:uid="{00000000-0005-0000-0000-0000785D0000}"/>
    <cellStyle name="40% - Accent2 3 3 6 2" xfId="8148" xr:uid="{00000000-0005-0000-0000-0000795D0000}"/>
    <cellStyle name="40% - Accent2 3 3 6 2 2" xfId="19449" xr:uid="{00000000-0005-0000-0000-00007A5D0000}"/>
    <cellStyle name="40% - Accent2 3 3 6 2 2 2" xfId="42051" xr:uid="{00000000-0005-0000-0000-00007B5D0000}"/>
    <cellStyle name="40% - Accent2 3 3 6 2 3" xfId="30750" xr:uid="{00000000-0005-0000-0000-00007C5D0000}"/>
    <cellStyle name="40% - Accent2 3 3 6 3" xfId="13799" xr:uid="{00000000-0005-0000-0000-00007D5D0000}"/>
    <cellStyle name="40% - Accent2 3 3 6 3 2" xfId="36401" xr:uid="{00000000-0005-0000-0000-00007E5D0000}"/>
    <cellStyle name="40% - Accent2 3 3 6 4" xfId="25100" xr:uid="{00000000-0005-0000-0000-00007F5D0000}"/>
    <cellStyle name="40% - Accent2 3 3 7" xfId="4099" xr:uid="{00000000-0005-0000-0000-0000805D0000}"/>
    <cellStyle name="40% - Accent2 3 3 7 2" xfId="9749" xr:uid="{00000000-0005-0000-0000-0000815D0000}"/>
    <cellStyle name="40% - Accent2 3 3 7 2 2" xfId="21050" xr:uid="{00000000-0005-0000-0000-0000825D0000}"/>
    <cellStyle name="40% - Accent2 3 3 7 2 2 2" xfId="43652" xr:uid="{00000000-0005-0000-0000-0000835D0000}"/>
    <cellStyle name="40% - Accent2 3 3 7 2 3" xfId="32351" xr:uid="{00000000-0005-0000-0000-0000845D0000}"/>
    <cellStyle name="40% - Accent2 3 3 7 3" xfId="15400" xr:uid="{00000000-0005-0000-0000-0000855D0000}"/>
    <cellStyle name="40% - Accent2 3 3 7 3 2" xfId="38002" xr:uid="{00000000-0005-0000-0000-0000865D0000}"/>
    <cellStyle name="40% - Accent2 3 3 7 4" xfId="26701" xr:uid="{00000000-0005-0000-0000-0000875D0000}"/>
    <cellStyle name="40% - Accent2 3 3 8" xfId="6550" xr:uid="{00000000-0005-0000-0000-0000885D0000}"/>
    <cellStyle name="40% - Accent2 3 3 8 2" xfId="17851" xr:uid="{00000000-0005-0000-0000-0000895D0000}"/>
    <cellStyle name="40% - Accent2 3 3 8 2 2" xfId="40453" xr:uid="{00000000-0005-0000-0000-00008A5D0000}"/>
    <cellStyle name="40% - Accent2 3 3 8 3" xfId="29152" xr:uid="{00000000-0005-0000-0000-00008B5D0000}"/>
    <cellStyle name="40% - Accent2 3 3 9" xfId="12201" xr:uid="{00000000-0005-0000-0000-00008C5D0000}"/>
    <cellStyle name="40% - Accent2 3 3 9 2" xfId="34803" xr:uid="{00000000-0005-0000-0000-00008D5D0000}"/>
    <cellStyle name="40% - Accent2 3 4" xfId="545" xr:uid="{00000000-0005-0000-0000-00008E5D0000}"/>
    <cellStyle name="40% - Accent2 3 4 2" xfId="1128" xr:uid="{00000000-0005-0000-0000-00008F5D0000}"/>
    <cellStyle name="40% - Accent2 3 4 2 2" xfId="1867" xr:uid="{00000000-0005-0000-0000-0000905D0000}"/>
    <cellStyle name="40% - Accent2 3 4 2 2 2" xfId="3195" xr:uid="{00000000-0005-0000-0000-0000915D0000}"/>
    <cellStyle name="40% - Accent2 3 4 2 2 2 2" xfId="6167" xr:uid="{00000000-0005-0000-0000-0000925D0000}"/>
    <cellStyle name="40% - Accent2 3 4 2 2 2 2 2" xfId="11817" xr:uid="{00000000-0005-0000-0000-0000935D0000}"/>
    <cellStyle name="40% - Accent2 3 4 2 2 2 2 2 2" xfId="23118" xr:uid="{00000000-0005-0000-0000-0000945D0000}"/>
    <cellStyle name="40% - Accent2 3 4 2 2 2 2 2 2 2" xfId="45720" xr:uid="{00000000-0005-0000-0000-0000955D0000}"/>
    <cellStyle name="40% - Accent2 3 4 2 2 2 2 2 3" xfId="34419" xr:uid="{00000000-0005-0000-0000-0000965D0000}"/>
    <cellStyle name="40% - Accent2 3 4 2 2 2 2 3" xfId="17468" xr:uid="{00000000-0005-0000-0000-0000975D0000}"/>
    <cellStyle name="40% - Accent2 3 4 2 2 2 2 3 2" xfId="40070" xr:uid="{00000000-0005-0000-0000-0000985D0000}"/>
    <cellStyle name="40% - Accent2 3 4 2 2 2 2 4" xfId="28769" xr:uid="{00000000-0005-0000-0000-0000995D0000}"/>
    <cellStyle name="40% - Accent2 3 4 2 2 2 3" xfId="8985" xr:uid="{00000000-0005-0000-0000-00009A5D0000}"/>
    <cellStyle name="40% - Accent2 3 4 2 2 2 3 2" xfId="20286" xr:uid="{00000000-0005-0000-0000-00009B5D0000}"/>
    <cellStyle name="40% - Accent2 3 4 2 2 2 3 2 2" xfId="42888" xr:uid="{00000000-0005-0000-0000-00009C5D0000}"/>
    <cellStyle name="40% - Accent2 3 4 2 2 2 3 3" xfId="31587" xr:uid="{00000000-0005-0000-0000-00009D5D0000}"/>
    <cellStyle name="40% - Accent2 3 4 2 2 2 4" xfId="14636" xr:uid="{00000000-0005-0000-0000-00009E5D0000}"/>
    <cellStyle name="40% - Accent2 3 4 2 2 2 4 2" xfId="37238" xr:uid="{00000000-0005-0000-0000-00009F5D0000}"/>
    <cellStyle name="40% - Accent2 3 4 2 2 2 5" xfId="25937" xr:uid="{00000000-0005-0000-0000-0000A05D0000}"/>
    <cellStyle name="40% - Accent2 3 4 2 2 3" xfId="4933" xr:uid="{00000000-0005-0000-0000-0000A15D0000}"/>
    <cellStyle name="40% - Accent2 3 4 2 2 3 2" xfId="10583" xr:uid="{00000000-0005-0000-0000-0000A25D0000}"/>
    <cellStyle name="40% - Accent2 3 4 2 2 3 2 2" xfId="21884" xr:uid="{00000000-0005-0000-0000-0000A35D0000}"/>
    <cellStyle name="40% - Accent2 3 4 2 2 3 2 2 2" xfId="44486" xr:uid="{00000000-0005-0000-0000-0000A45D0000}"/>
    <cellStyle name="40% - Accent2 3 4 2 2 3 2 3" xfId="33185" xr:uid="{00000000-0005-0000-0000-0000A55D0000}"/>
    <cellStyle name="40% - Accent2 3 4 2 2 3 3" xfId="16234" xr:uid="{00000000-0005-0000-0000-0000A65D0000}"/>
    <cellStyle name="40% - Accent2 3 4 2 2 3 3 2" xfId="38836" xr:uid="{00000000-0005-0000-0000-0000A75D0000}"/>
    <cellStyle name="40% - Accent2 3 4 2 2 3 4" xfId="27535" xr:uid="{00000000-0005-0000-0000-0000A85D0000}"/>
    <cellStyle name="40% - Accent2 3 4 2 2 4" xfId="7723" xr:uid="{00000000-0005-0000-0000-0000A95D0000}"/>
    <cellStyle name="40% - Accent2 3 4 2 2 4 2" xfId="19024" xr:uid="{00000000-0005-0000-0000-0000AA5D0000}"/>
    <cellStyle name="40% - Accent2 3 4 2 2 4 2 2" xfId="41626" xr:uid="{00000000-0005-0000-0000-0000AB5D0000}"/>
    <cellStyle name="40% - Accent2 3 4 2 2 4 3" xfId="30325" xr:uid="{00000000-0005-0000-0000-0000AC5D0000}"/>
    <cellStyle name="40% - Accent2 3 4 2 2 5" xfId="13374" xr:uid="{00000000-0005-0000-0000-0000AD5D0000}"/>
    <cellStyle name="40% - Accent2 3 4 2 2 5 2" xfId="35976" xr:uid="{00000000-0005-0000-0000-0000AE5D0000}"/>
    <cellStyle name="40% - Accent2 3 4 2 2 6" xfId="24675" xr:uid="{00000000-0005-0000-0000-0000AF5D0000}"/>
    <cellStyle name="40% - Accent2 3 4 2 3" xfId="2524" xr:uid="{00000000-0005-0000-0000-0000B05D0000}"/>
    <cellStyle name="40% - Accent2 3 4 2 3 2" xfId="5543" xr:uid="{00000000-0005-0000-0000-0000B15D0000}"/>
    <cellStyle name="40% - Accent2 3 4 2 3 2 2" xfId="11193" xr:uid="{00000000-0005-0000-0000-0000B25D0000}"/>
    <cellStyle name="40% - Accent2 3 4 2 3 2 2 2" xfId="22494" xr:uid="{00000000-0005-0000-0000-0000B35D0000}"/>
    <cellStyle name="40% - Accent2 3 4 2 3 2 2 2 2" xfId="45096" xr:uid="{00000000-0005-0000-0000-0000B45D0000}"/>
    <cellStyle name="40% - Accent2 3 4 2 3 2 2 3" xfId="33795" xr:uid="{00000000-0005-0000-0000-0000B55D0000}"/>
    <cellStyle name="40% - Accent2 3 4 2 3 2 3" xfId="16844" xr:uid="{00000000-0005-0000-0000-0000B65D0000}"/>
    <cellStyle name="40% - Accent2 3 4 2 3 2 3 2" xfId="39446" xr:uid="{00000000-0005-0000-0000-0000B75D0000}"/>
    <cellStyle name="40% - Accent2 3 4 2 3 2 4" xfId="28145" xr:uid="{00000000-0005-0000-0000-0000B85D0000}"/>
    <cellStyle name="40% - Accent2 3 4 2 3 3" xfId="8360" xr:uid="{00000000-0005-0000-0000-0000B95D0000}"/>
    <cellStyle name="40% - Accent2 3 4 2 3 3 2" xfId="19661" xr:uid="{00000000-0005-0000-0000-0000BA5D0000}"/>
    <cellStyle name="40% - Accent2 3 4 2 3 3 2 2" xfId="42263" xr:uid="{00000000-0005-0000-0000-0000BB5D0000}"/>
    <cellStyle name="40% - Accent2 3 4 2 3 3 3" xfId="30962" xr:uid="{00000000-0005-0000-0000-0000BC5D0000}"/>
    <cellStyle name="40% - Accent2 3 4 2 3 4" xfId="14011" xr:uid="{00000000-0005-0000-0000-0000BD5D0000}"/>
    <cellStyle name="40% - Accent2 3 4 2 3 4 2" xfId="36613" xr:uid="{00000000-0005-0000-0000-0000BE5D0000}"/>
    <cellStyle name="40% - Accent2 3 4 2 3 5" xfId="25312" xr:uid="{00000000-0005-0000-0000-0000BF5D0000}"/>
    <cellStyle name="40% - Accent2 3 4 2 4" xfId="4309" xr:uid="{00000000-0005-0000-0000-0000C05D0000}"/>
    <cellStyle name="40% - Accent2 3 4 2 4 2" xfId="9959" xr:uid="{00000000-0005-0000-0000-0000C15D0000}"/>
    <cellStyle name="40% - Accent2 3 4 2 4 2 2" xfId="21260" xr:uid="{00000000-0005-0000-0000-0000C25D0000}"/>
    <cellStyle name="40% - Accent2 3 4 2 4 2 2 2" xfId="43862" xr:uid="{00000000-0005-0000-0000-0000C35D0000}"/>
    <cellStyle name="40% - Accent2 3 4 2 4 2 3" xfId="32561" xr:uid="{00000000-0005-0000-0000-0000C45D0000}"/>
    <cellStyle name="40% - Accent2 3 4 2 4 3" xfId="15610" xr:uid="{00000000-0005-0000-0000-0000C55D0000}"/>
    <cellStyle name="40% - Accent2 3 4 2 4 3 2" xfId="38212" xr:uid="{00000000-0005-0000-0000-0000C65D0000}"/>
    <cellStyle name="40% - Accent2 3 4 2 4 4" xfId="26911" xr:uid="{00000000-0005-0000-0000-0000C75D0000}"/>
    <cellStyle name="40% - Accent2 3 4 2 5" xfId="7107" xr:uid="{00000000-0005-0000-0000-0000C85D0000}"/>
    <cellStyle name="40% - Accent2 3 4 2 5 2" xfId="18408" xr:uid="{00000000-0005-0000-0000-0000C95D0000}"/>
    <cellStyle name="40% - Accent2 3 4 2 5 2 2" xfId="41010" xr:uid="{00000000-0005-0000-0000-0000CA5D0000}"/>
    <cellStyle name="40% - Accent2 3 4 2 5 3" xfId="29709" xr:uid="{00000000-0005-0000-0000-0000CB5D0000}"/>
    <cellStyle name="40% - Accent2 3 4 2 6" xfId="12758" xr:uid="{00000000-0005-0000-0000-0000CC5D0000}"/>
    <cellStyle name="40% - Accent2 3 4 2 6 2" xfId="35360" xr:uid="{00000000-0005-0000-0000-0000CD5D0000}"/>
    <cellStyle name="40% - Accent2 3 4 2 7" xfId="24059" xr:uid="{00000000-0005-0000-0000-0000CE5D0000}"/>
    <cellStyle name="40% - Accent2 3 4 3" xfId="799" xr:uid="{00000000-0005-0000-0000-0000CF5D0000}"/>
    <cellStyle name="40% - Accent2 3 4 3 2" xfId="2889" xr:uid="{00000000-0005-0000-0000-0000D05D0000}"/>
    <cellStyle name="40% - Accent2 3 4 3 2 2" xfId="5861" xr:uid="{00000000-0005-0000-0000-0000D15D0000}"/>
    <cellStyle name="40% - Accent2 3 4 3 2 2 2" xfId="11511" xr:uid="{00000000-0005-0000-0000-0000D25D0000}"/>
    <cellStyle name="40% - Accent2 3 4 3 2 2 2 2" xfId="22812" xr:uid="{00000000-0005-0000-0000-0000D35D0000}"/>
    <cellStyle name="40% - Accent2 3 4 3 2 2 2 2 2" xfId="45414" xr:uid="{00000000-0005-0000-0000-0000D45D0000}"/>
    <cellStyle name="40% - Accent2 3 4 3 2 2 2 3" xfId="34113" xr:uid="{00000000-0005-0000-0000-0000D55D0000}"/>
    <cellStyle name="40% - Accent2 3 4 3 2 2 3" xfId="17162" xr:uid="{00000000-0005-0000-0000-0000D65D0000}"/>
    <cellStyle name="40% - Accent2 3 4 3 2 2 3 2" xfId="39764" xr:uid="{00000000-0005-0000-0000-0000D75D0000}"/>
    <cellStyle name="40% - Accent2 3 4 3 2 2 4" xfId="28463" xr:uid="{00000000-0005-0000-0000-0000D85D0000}"/>
    <cellStyle name="40% - Accent2 3 4 3 2 3" xfId="8679" xr:uid="{00000000-0005-0000-0000-0000D95D0000}"/>
    <cellStyle name="40% - Accent2 3 4 3 2 3 2" xfId="19980" xr:uid="{00000000-0005-0000-0000-0000DA5D0000}"/>
    <cellStyle name="40% - Accent2 3 4 3 2 3 2 2" xfId="42582" xr:uid="{00000000-0005-0000-0000-0000DB5D0000}"/>
    <cellStyle name="40% - Accent2 3 4 3 2 3 3" xfId="31281" xr:uid="{00000000-0005-0000-0000-0000DC5D0000}"/>
    <cellStyle name="40% - Accent2 3 4 3 2 4" xfId="14330" xr:uid="{00000000-0005-0000-0000-0000DD5D0000}"/>
    <cellStyle name="40% - Accent2 3 4 3 2 4 2" xfId="36932" xr:uid="{00000000-0005-0000-0000-0000DE5D0000}"/>
    <cellStyle name="40% - Accent2 3 4 3 2 5" xfId="25631" xr:uid="{00000000-0005-0000-0000-0000DF5D0000}"/>
    <cellStyle name="40% - Accent2 3 4 3 3" xfId="4627" xr:uid="{00000000-0005-0000-0000-0000E05D0000}"/>
    <cellStyle name="40% - Accent2 3 4 3 3 2" xfId="10277" xr:uid="{00000000-0005-0000-0000-0000E15D0000}"/>
    <cellStyle name="40% - Accent2 3 4 3 3 2 2" xfId="21578" xr:uid="{00000000-0005-0000-0000-0000E25D0000}"/>
    <cellStyle name="40% - Accent2 3 4 3 3 2 2 2" xfId="44180" xr:uid="{00000000-0005-0000-0000-0000E35D0000}"/>
    <cellStyle name="40% - Accent2 3 4 3 3 2 3" xfId="32879" xr:uid="{00000000-0005-0000-0000-0000E45D0000}"/>
    <cellStyle name="40% - Accent2 3 4 3 3 3" xfId="15928" xr:uid="{00000000-0005-0000-0000-0000E55D0000}"/>
    <cellStyle name="40% - Accent2 3 4 3 3 3 2" xfId="38530" xr:uid="{00000000-0005-0000-0000-0000E65D0000}"/>
    <cellStyle name="40% - Accent2 3 4 3 3 4" xfId="27229" xr:uid="{00000000-0005-0000-0000-0000E75D0000}"/>
    <cellStyle name="40% - Accent2 3 4 3 4" xfId="6810" xr:uid="{00000000-0005-0000-0000-0000E85D0000}"/>
    <cellStyle name="40% - Accent2 3 4 3 4 2" xfId="18111" xr:uid="{00000000-0005-0000-0000-0000E95D0000}"/>
    <cellStyle name="40% - Accent2 3 4 3 4 2 2" xfId="40713" xr:uid="{00000000-0005-0000-0000-0000EA5D0000}"/>
    <cellStyle name="40% - Accent2 3 4 3 4 3" xfId="29412" xr:uid="{00000000-0005-0000-0000-0000EB5D0000}"/>
    <cellStyle name="40% - Accent2 3 4 3 5" xfId="12461" xr:uid="{00000000-0005-0000-0000-0000EC5D0000}"/>
    <cellStyle name="40% - Accent2 3 4 3 5 2" xfId="35063" xr:uid="{00000000-0005-0000-0000-0000ED5D0000}"/>
    <cellStyle name="40% - Accent2 3 4 3 6" xfId="23762" xr:uid="{00000000-0005-0000-0000-0000EE5D0000}"/>
    <cellStyle name="40% - Accent2 3 4 4" xfId="1866" xr:uid="{00000000-0005-0000-0000-0000EF5D0000}"/>
    <cellStyle name="40% - Accent2 3 4 4 2" xfId="3732" xr:uid="{00000000-0005-0000-0000-0000F05D0000}"/>
    <cellStyle name="40% - Accent2 3 4 4 2 2" xfId="9442" xr:uid="{00000000-0005-0000-0000-0000F15D0000}"/>
    <cellStyle name="40% - Accent2 3 4 4 2 2 2" xfId="20743" xr:uid="{00000000-0005-0000-0000-0000F25D0000}"/>
    <cellStyle name="40% - Accent2 3 4 4 2 2 2 2" xfId="43345" xr:uid="{00000000-0005-0000-0000-0000F35D0000}"/>
    <cellStyle name="40% - Accent2 3 4 4 2 2 3" xfId="32044" xr:uid="{00000000-0005-0000-0000-0000F45D0000}"/>
    <cellStyle name="40% - Accent2 3 4 4 2 3" xfId="15093" xr:uid="{00000000-0005-0000-0000-0000F55D0000}"/>
    <cellStyle name="40% - Accent2 3 4 4 2 3 2" xfId="37695" xr:uid="{00000000-0005-0000-0000-0000F65D0000}"/>
    <cellStyle name="40% - Accent2 3 4 4 2 4" xfId="26394" xr:uid="{00000000-0005-0000-0000-0000F75D0000}"/>
    <cellStyle name="40% - Accent2 3 4 4 3" xfId="5237" xr:uid="{00000000-0005-0000-0000-0000F85D0000}"/>
    <cellStyle name="40% - Accent2 3 4 4 3 2" xfId="10887" xr:uid="{00000000-0005-0000-0000-0000F95D0000}"/>
    <cellStyle name="40% - Accent2 3 4 4 3 2 2" xfId="22188" xr:uid="{00000000-0005-0000-0000-0000FA5D0000}"/>
    <cellStyle name="40% - Accent2 3 4 4 3 2 2 2" xfId="44790" xr:uid="{00000000-0005-0000-0000-0000FB5D0000}"/>
    <cellStyle name="40% - Accent2 3 4 4 3 2 3" xfId="33489" xr:uid="{00000000-0005-0000-0000-0000FC5D0000}"/>
    <cellStyle name="40% - Accent2 3 4 4 3 3" xfId="16538" xr:uid="{00000000-0005-0000-0000-0000FD5D0000}"/>
    <cellStyle name="40% - Accent2 3 4 4 3 3 2" xfId="39140" xr:uid="{00000000-0005-0000-0000-0000FE5D0000}"/>
    <cellStyle name="40% - Accent2 3 4 4 3 4" xfId="27839" xr:uid="{00000000-0005-0000-0000-0000FF5D0000}"/>
    <cellStyle name="40% - Accent2 3 4 4 4" xfId="7722" xr:uid="{00000000-0005-0000-0000-0000005E0000}"/>
    <cellStyle name="40% - Accent2 3 4 4 4 2" xfId="19023" xr:uid="{00000000-0005-0000-0000-0000015E0000}"/>
    <cellStyle name="40% - Accent2 3 4 4 4 2 2" xfId="41625" xr:uid="{00000000-0005-0000-0000-0000025E0000}"/>
    <cellStyle name="40% - Accent2 3 4 4 4 3" xfId="30324" xr:uid="{00000000-0005-0000-0000-0000035E0000}"/>
    <cellStyle name="40% - Accent2 3 4 4 5" xfId="13373" xr:uid="{00000000-0005-0000-0000-0000045E0000}"/>
    <cellStyle name="40% - Accent2 3 4 4 5 2" xfId="35975" xr:uid="{00000000-0005-0000-0000-0000055E0000}"/>
    <cellStyle name="40% - Accent2 3 4 4 6" xfId="24674" xr:uid="{00000000-0005-0000-0000-0000065E0000}"/>
    <cellStyle name="40% - Accent2 3 4 5" xfId="2209" xr:uid="{00000000-0005-0000-0000-0000075E0000}"/>
    <cellStyle name="40% - Accent2 3 4 5 2" xfId="8051" xr:uid="{00000000-0005-0000-0000-0000085E0000}"/>
    <cellStyle name="40% - Accent2 3 4 5 2 2" xfId="19352" xr:uid="{00000000-0005-0000-0000-0000095E0000}"/>
    <cellStyle name="40% - Accent2 3 4 5 2 2 2" xfId="41954" xr:uid="{00000000-0005-0000-0000-00000A5E0000}"/>
    <cellStyle name="40% - Accent2 3 4 5 2 3" xfId="30653" xr:uid="{00000000-0005-0000-0000-00000B5E0000}"/>
    <cellStyle name="40% - Accent2 3 4 5 3" xfId="13702" xr:uid="{00000000-0005-0000-0000-00000C5E0000}"/>
    <cellStyle name="40% - Accent2 3 4 5 3 2" xfId="36304" xr:uid="{00000000-0005-0000-0000-00000D5E0000}"/>
    <cellStyle name="40% - Accent2 3 4 5 4" xfId="25003" xr:uid="{00000000-0005-0000-0000-00000E5E0000}"/>
    <cellStyle name="40% - Accent2 3 4 6" xfId="4003" xr:uid="{00000000-0005-0000-0000-00000F5E0000}"/>
    <cellStyle name="40% - Accent2 3 4 6 2" xfId="9653" xr:uid="{00000000-0005-0000-0000-0000105E0000}"/>
    <cellStyle name="40% - Accent2 3 4 6 2 2" xfId="20954" xr:uid="{00000000-0005-0000-0000-0000115E0000}"/>
    <cellStyle name="40% - Accent2 3 4 6 2 2 2" xfId="43556" xr:uid="{00000000-0005-0000-0000-0000125E0000}"/>
    <cellStyle name="40% - Accent2 3 4 6 2 3" xfId="32255" xr:uid="{00000000-0005-0000-0000-0000135E0000}"/>
    <cellStyle name="40% - Accent2 3 4 6 3" xfId="15304" xr:uid="{00000000-0005-0000-0000-0000145E0000}"/>
    <cellStyle name="40% - Accent2 3 4 6 3 2" xfId="37906" xr:uid="{00000000-0005-0000-0000-0000155E0000}"/>
    <cellStyle name="40% - Accent2 3 4 6 4" xfId="26605" xr:uid="{00000000-0005-0000-0000-0000165E0000}"/>
    <cellStyle name="40% - Accent2 3 4 7" xfId="6621" xr:uid="{00000000-0005-0000-0000-0000175E0000}"/>
    <cellStyle name="40% - Accent2 3 4 7 2" xfId="17922" xr:uid="{00000000-0005-0000-0000-0000185E0000}"/>
    <cellStyle name="40% - Accent2 3 4 7 2 2" xfId="40524" xr:uid="{00000000-0005-0000-0000-0000195E0000}"/>
    <cellStyle name="40% - Accent2 3 4 7 3" xfId="29223" xr:uid="{00000000-0005-0000-0000-00001A5E0000}"/>
    <cellStyle name="40% - Accent2 3 4 8" xfId="12272" xr:uid="{00000000-0005-0000-0000-00001B5E0000}"/>
    <cellStyle name="40% - Accent2 3 4 8 2" xfId="34874" xr:uid="{00000000-0005-0000-0000-00001C5E0000}"/>
    <cellStyle name="40% - Accent2 3 4 9" xfId="23573" xr:uid="{00000000-0005-0000-0000-00001D5E0000}"/>
    <cellStyle name="40% - Accent2 3 5" xfId="453" xr:uid="{00000000-0005-0000-0000-00001E5E0000}"/>
    <cellStyle name="40% - Accent2 3 6" xfId="1431" xr:uid="{00000000-0005-0000-0000-00001F5E0000}"/>
    <cellStyle name="40% - Accent2 3 7" xfId="6454" xr:uid="{00000000-0005-0000-0000-0000205E0000}"/>
    <cellStyle name="40% - Accent2 3 7 2" xfId="17755" xr:uid="{00000000-0005-0000-0000-0000215E0000}"/>
    <cellStyle name="40% - Accent2 3 7 2 2" xfId="40357" xr:uid="{00000000-0005-0000-0000-0000225E0000}"/>
    <cellStyle name="40% - Accent2 3 7 3" xfId="29056" xr:uid="{00000000-0005-0000-0000-0000235E0000}"/>
    <cellStyle name="40% - Accent2 3 8" xfId="12105" xr:uid="{00000000-0005-0000-0000-0000245E0000}"/>
    <cellStyle name="40% - Accent2 3 8 2" xfId="34707" xr:uid="{00000000-0005-0000-0000-0000255E0000}"/>
    <cellStyle name="40% - Accent2 3 9" xfId="23406" xr:uid="{00000000-0005-0000-0000-0000265E0000}"/>
    <cellStyle name="40% - Accent2 4" xfId="236" xr:uid="{00000000-0005-0000-0000-0000275E0000}"/>
    <cellStyle name="40% - Accent2 4 10" xfId="3989" xr:uid="{00000000-0005-0000-0000-0000285E0000}"/>
    <cellStyle name="40% - Accent2 4 10 2" xfId="9639" xr:uid="{00000000-0005-0000-0000-0000295E0000}"/>
    <cellStyle name="40% - Accent2 4 10 2 2" xfId="20940" xr:uid="{00000000-0005-0000-0000-00002A5E0000}"/>
    <cellStyle name="40% - Accent2 4 10 2 2 2" xfId="43542" xr:uid="{00000000-0005-0000-0000-00002B5E0000}"/>
    <cellStyle name="40% - Accent2 4 10 2 3" xfId="32241" xr:uid="{00000000-0005-0000-0000-00002C5E0000}"/>
    <cellStyle name="40% - Accent2 4 10 3" xfId="15290" xr:uid="{00000000-0005-0000-0000-00002D5E0000}"/>
    <cellStyle name="40% - Accent2 4 10 3 2" xfId="37892" xr:uid="{00000000-0005-0000-0000-00002E5E0000}"/>
    <cellStyle name="40% - Accent2 4 10 4" xfId="26591" xr:uid="{00000000-0005-0000-0000-00002F5E0000}"/>
    <cellStyle name="40% - Accent2 4 11" xfId="6468" xr:uid="{00000000-0005-0000-0000-0000305E0000}"/>
    <cellStyle name="40% - Accent2 4 11 2" xfId="17769" xr:uid="{00000000-0005-0000-0000-0000315E0000}"/>
    <cellStyle name="40% - Accent2 4 11 2 2" xfId="40371" xr:uid="{00000000-0005-0000-0000-0000325E0000}"/>
    <cellStyle name="40% - Accent2 4 11 3" xfId="29070" xr:uid="{00000000-0005-0000-0000-0000335E0000}"/>
    <cellStyle name="40% - Accent2 4 12" xfId="12119" xr:uid="{00000000-0005-0000-0000-0000345E0000}"/>
    <cellStyle name="40% - Accent2 4 12 2" xfId="34721" xr:uid="{00000000-0005-0000-0000-0000355E0000}"/>
    <cellStyle name="40% - Accent2 4 13" xfId="23420" xr:uid="{00000000-0005-0000-0000-0000365E0000}"/>
    <cellStyle name="40% - Accent2 4 2" xfId="359" xr:uid="{00000000-0005-0000-0000-0000375E0000}"/>
    <cellStyle name="40% - Accent2 4 2 10" xfId="23467" xr:uid="{00000000-0005-0000-0000-0000385E0000}"/>
    <cellStyle name="40% - Accent2 4 2 2" xfId="617" xr:uid="{00000000-0005-0000-0000-0000395E0000}"/>
    <cellStyle name="40% - Accent2 4 2 2 2" xfId="1327" xr:uid="{00000000-0005-0000-0000-00003A5E0000}"/>
    <cellStyle name="40% - Accent2 4 2 2 2 2" xfId="1871" xr:uid="{00000000-0005-0000-0000-00003B5E0000}"/>
    <cellStyle name="40% - Accent2 4 2 2 2 2 2" xfId="3396" xr:uid="{00000000-0005-0000-0000-00003C5E0000}"/>
    <cellStyle name="40% - Accent2 4 2 2 2 2 2 2" xfId="6368" xr:uid="{00000000-0005-0000-0000-00003D5E0000}"/>
    <cellStyle name="40% - Accent2 4 2 2 2 2 2 2 2" xfId="12018" xr:uid="{00000000-0005-0000-0000-00003E5E0000}"/>
    <cellStyle name="40% - Accent2 4 2 2 2 2 2 2 2 2" xfId="23319" xr:uid="{00000000-0005-0000-0000-00003F5E0000}"/>
    <cellStyle name="40% - Accent2 4 2 2 2 2 2 2 2 2 2" xfId="45921" xr:uid="{00000000-0005-0000-0000-0000405E0000}"/>
    <cellStyle name="40% - Accent2 4 2 2 2 2 2 2 2 3" xfId="34620" xr:uid="{00000000-0005-0000-0000-0000415E0000}"/>
    <cellStyle name="40% - Accent2 4 2 2 2 2 2 2 3" xfId="17669" xr:uid="{00000000-0005-0000-0000-0000425E0000}"/>
    <cellStyle name="40% - Accent2 4 2 2 2 2 2 2 3 2" xfId="40271" xr:uid="{00000000-0005-0000-0000-0000435E0000}"/>
    <cellStyle name="40% - Accent2 4 2 2 2 2 2 2 4" xfId="28970" xr:uid="{00000000-0005-0000-0000-0000445E0000}"/>
    <cellStyle name="40% - Accent2 4 2 2 2 2 2 3" xfId="9186" xr:uid="{00000000-0005-0000-0000-0000455E0000}"/>
    <cellStyle name="40% - Accent2 4 2 2 2 2 2 3 2" xfId="20487" xr:uid="{00000000-0005-0000-0000-0000465E0000}"/>
    <cellStyle name="40% - Accent2 4 2 2 2 2 2 3 2 2" xfId="43089" xr:uid="{00000000-0005-0000-0000-0000475E0000}"/>
    <cellStyle name="40% - Accent2 4 2 2 2 2 2 3 3" xfId="31788" xr:uid="{00000000-0005-0000-0000-0000485E0000}"/>
    <cellStyle name="40% - Accent2 4 2 2 2 2 2 4" xfId="14837" xr:uid="{00000000-0005-0000-0000-0000495E0000}"/>
    <cellStyle name="40% - Accent2 4 2 2 2 2 2 4 2" xfId="37439" xr:uid="{00000000-0005-0000-0000-00004A5E0000}"/>
    <cellStyle name="40% - Accent2 4 2 2 2 2 2 5" xfId="26138" xr:uid="{00000000-0005-0000-0000-00004B5E0000}"/>
    <cellStyle name="40% - Accent2 4 2 2 2 2 3" xfId="5134" xr:uid="{00000000-0005-0000-0000-00004C5E0000}"/>
    <cellStyle name="40% - Accent2 4 2 2 2 2 3 2" xfId="10784" xr:uid="{00000000-0005-0000-0000-00004D5E0000}"/>
    <cellStyle name="40% - Accent2 4 2 2 2 2 3 2 2" xfId="22085" xr:uid="{00000000-0005-0000-0000-00004E5E0000}"/>
    <cellStyle name="40% - Accent2 4 2 2 2 2 3 2 2 2" xfId="44687" xr:uid="{00000000-0005-0000-0000-00004F5E0000}"/>
    <cellStyle name="40% - Accent2 4 2 2 2 2 3 2 3" xfId="33386" xr:uid="{00000000-0005-0000-0000-0000505E0000}"/>
    <cellStyle name="40% - Accent2 4 2 2 2 2 3 3" xfId="16435" xr:uid="{00000000-0005-0000-0000-0000515E0000}"/>
    <cellStyle name="40% - Accent2 4 2 2 2 2 3 3 2" xfId="39037" xr:uid="{00000000-0005-0000-0000-0000525E0000}"/>
    <cellStyle name="40% - Accent2 4 2 2 2 2 3 4" xfId="27736" xr:uid="{00000000-0005-0000-0000-0000535E0000}"/>
    <cellStyle name="40% - Accent2 4 2 2 2 2 4" xfId="7727" xr:uid="{00000000-0005-0000-0000-0000545E0000}"/>
    <cellStyle name="40% - Accent2 4 2 2 2 2 4 2" xfId="19028" xr:uid="{00000000-0005-0000-0000-0000555E0000}"/>
    <cellStyle name="40% - Accent2 4 2 2 2 2 4 2 2" xfId="41630" xr:uid="{00000000-0005-0000-0000-0000565E0000}"/>
    <cellStyle name="40% - Accent2 4 2 2 2 2 4 3" xfId="30329" xr:uid="{00000000-0005-0000-0000-0000575E0000}"/>
    <cellStyle name="40% - Accent2 4 2 2 2 2 5" xfId="13378" xr:uid="{00000000-0005-0000-0000-0000585E0000}"/>
    <cellStyle name="40% - Accent2 4 2 2 2 2 5 2" xfId="35980" xr:uid="{00000000-0005-0000-0000-0000595E0000}"/>
    <cellStyle name="40% - Accent2 4 2 2 2 2 6" xfId="24679" xr:uid="{00000000-0005-0000-0000-00005A5E0000}"/>
    <cellStyle name="40% - Accent2 4 2 2 2 3" xfId="2725" xr:uid="{00000000-0005-0000-0000-00005B5E0000}"/>
    <cellStyle name="40% - Accent2 4 2 2 2 3 2" xfId="5744" xr:uid="{00000000-0005-0000-0000-00005C5E0000}"/>
    <cellStyle name="40% - Accent2 4 2 2 2 3 2 2" xfId="11394" xr:uid="{00000000-0005-0000-0000-00005D5E0000}"/>
    <cellStyle name="40% - Accent2 4 2 2 2 3 2 2 2" xfId="22695" xr:uid="{00000000-0005-0000-0000-00005E5E0000}"/>
    <cellStyle name="40% - Accent2 4 2 2 2 3 2 2 2 2" xfId="45297" xr:uid="{00000000-0005-0000-0000-00005F5E0000}"/>
    <cellStyle name="40% - Accent2 4 2 2 2 3 2 2 3" xfId="33996" xr:uid="{00000000-0005-0000-0000-0000605E0000}"/>
    <cellStyle name="40% - Accent2 4 2 2 2 3 2 3" xfId="17045" xr:uid="{00000000-0005-0000-0000-0000615E0000}"/>
    <cellStyle name="40% - Accent2 4 2 2 2 3 2 3 2" xfId="39647" xr:uid="{00000000-0005-0000-0000-0000625E0000}"/>
    <cellStyle name="40% - Accent2 4 2 2 2 3 2 4" xfId="28346" xr:uid="{00000000-0005-0000-0000-0000635E0000}"/>
    <cellStyle name="40% - Accent2 4 2 2 2 3 3" xfId="8561" xr:uid="{00000000-0005-0000-0000-0000645E0000}"/>
    <cellStyle name="40% - Accent2 4 2 2 2 3 3 2" xfId="19862" xr:uid="{00000000-0005-0000-0000-0000655E0000}"/>
    <cellStyle name="40% - Accent2 4 2 2 2 3 3 2 2" xfId="42464" xr:uid="{00000000-0005-0000-0000-0000665E0000}"/>
    <cellStyle name="40% - Accent2 4 2 2 2 3 3 3" xfId="31163" xr:uid="{00000000-0005-0000-0000-0000675E0000}"/>
    <cellStyle name="40% - Accent2 4 2 2 2 3 4" xfId="14212" xr:uid="{00000000-0005-0000-0000-0000685E0000}"/>
    <cellStyle name="40% - Accent2 4 2 2 2 3 4 2" xfId="36814" xr:uid="{00000000-0005-0000-0000-0000695E0000}"/>
    <cellStyle name="40% - Accent2 4 2 2 2 3 5" xfId="25513" xr:uid="{00000000-0005-0000-0000-00006A5E0000}"/>
    <cellStyle name="40% - Accent2 4 2 2 2 4" xfId="4510" xr:uid="{00000000-0005-0000-0000-00006B5E0000}"/>
    <cellStyle name="40% - Accent2 4 2 2 2 4 2" xfId="10160" xr:uid="{00000000-0005-0000-0000-00006C5E0000}"/>
    <cellStyle name="40% - Accent2 4 2 2 2 4 2 2" xfId="21461" xr:uid="{00000000-0005-0000-0000-00006D5E0000}"/>
    <cellStyle name="40% - Accent2 4 2 2 2 4 2 2 2" xfId="44063" xr:uid="{00000000-0005-0000-0000-00006E5E0000}"/>
    <cellStyle name="40% - Accent2 4 2 2 2 4 2 3" xfId="32762" xr:uid="{00000000-0005-0000-0000-00006F5E0000}"/>
    <cellStyle name="40% - Accent2 4 2 2 2 4 3" xfId="15811" xr:uid="{00000000-0005-0000-0000-0000705E0000}"/>
    <cellStyle name="40% - Accent2 4 2 2 2 4 3 2" xfId="38413" xr:uid="{00000000-0005-0000-0000-0000715E0000}"/>
    <cellStyle name="40% - Accent2 4 2 2 2 4 4" xfId="27112" xr:uid="{00000000-0005-0000-0000-0000725E0000}"/>
    <cellStyle name="40% - Accent2 4 2 2 2 5" xfId="7306" xr:uid="{00000000-0005-0000-0000-0000735E0000}"/>
    <cellStyle name="40% - Accent2 4 2 2 2 5 2" xfId="18607" xr:uid="{00000000-0005-0000-0000-0000745E0000}"/>
    <cellStyle name="40% - Accent2 4 2 2 2 5 2 2" xfId="41209" xr:uid="{00000000-0005-0000-0000-0000755E0000}"/>
    <cellStyle name="40% - Accent2 4 2 2 2 5 3" xfId="29908" xr:uid="{00000000-0005-0000-0000-0000765E0000}"/>
    <cellStyle name="40% - Accent2 4 2 2 2 6" xfId="12957" xr:uid="{00000000-0005-0000-0000-0000775E0000}"/>
    <cellStyle name="40% - Accent2 4 2 2 2 6 2" xfId="35559" xr:uid="{00000000-0005-0000-0000-0000785E0000}"/>
    <cellStyle name="40% - Accent2 4 2 2 2 7" xfId="24258" xr:uid="{00000000-0005-0000-0000-0000795E0000}"/>
    <cellStyle name="40% - Accent2 4 2 2 3" xfId="1025" xr:uid="{00000000-0005-0000-0000-00007A5E0000}"/>
    <cellStyle name="40% - Accent2 4 2 2 3 2" xfId="3088" xr:uid="{00000000-0005-0000-0000-00007B5E0000}"/>
    <cellStyle name="40% - Accent2 4 2 2 3 2 2" xfId="6060" xr:uid="{00000000-0005-0000-0000-00007C5E0000}"/>
    <cellStyle name="40% - Accent2 4 2 2 3 2 2 2" xfId="11710" xr:uid="{00000000-0005-0000-0000-00007D5E0000}"/>
    <cellStyle name="40% - Accent2 4 2 2 3 2 2 2 2" xfId="23011" xr:uid="{00000000-0005-0000-0000-00007E5E0000}"/>
    <cellStyle name="40% - Accent2 4 2 2 3 2 2 2 2 2" xfId="45613" xr:uid="{00000000-0005-0000-0000-00007F5E0000}"/>
    <cellStyle name="40% - Accent2 4 2 2 3 2 2 2 3" xfId="34312" xr:uid="{00000000-0005-0000-0000-0000805E0000}"/>
    <cellStyle name="40% - Accent2 4 2 2 3 2 2 3" xfId="17361" xr:uid="{00000000-0005-0000-0000-0000815E0000}"/>
    <cellStyle name="40% - Accent2 4 2 2 3 2 2 3 2" xfId="39963" xr:uid="{00000000-0005-0000-0000-0000825E0000}"/>
    <cellStyle name="40% - Accent2 4 2 2 3 2 2 4" xfId="28662" xr:uid="{00000000-0005-0000-0000-0000835E0000}"/>
    <cellStyle name="40% - Accent2 4 2 2 3 2 3" xfId="8878" xr:uid="{00000000-0005-0000-0000-0000845E0000}"/>
    <cellStyle name="40% - Accent2 4 2 2 3 2 3 2" xfId="20179" xr:uid="{00000000-0005-0000-0000-0000855E0000}"/>
    <cellStyle name="40% - Accent2 4 2 2 3 2 3 2 2" xfId="42781" xr:uid="{00000000-0005-0000-0000-0000865E0000}"/>
    <cellStyle name="40% - Accent2 4 2 2 3 2 3 3" xfId="31480" xr:uid="{00000000-0005-0000-0000-0000875E0000}"/>
    <cellStyle name="40% - Accent2 4 2 2 3 2 4" xfId="14529" xr:uid="{00000000-0005-0000-0000-0000885E0000}"/>
    <cellStyle name="40% - Accent2 4 2 2 3 2 4 2" xfId="37131" xr:uid="{00000000-0005-0000-0000-0000895E0000}"/>
    <cellStyle name="40% - Accent2 4 2 2 3 2 5" xfId="25830" xr:uid="{00000000-0005-0000-0000-00008A5E0000}"/>
    <cellStyle name="40% - Accent2 4 2 2 3 3" xfId="4826" xr:uid="{00000000-0005-0000-0000-00008B5E0000}"/>
    <cellStyle name="40% - Accent2 4 2 2 3 3 2" xfId="10476" xr:uid="{00000000-0005-0000-0000-00008C5E0000}"/>
    <cellStyle name="40% - Accent2 4 2 2 3 3 2 2" xfId="21777" xr:uid="{00000000-0005-0000-0000-00008D5E0000}"/>
    <cellStyle name="40% - Accent2 4 2 2 3 3 2 2 2" xfId="44379" xr:uid="{00000000-0005-0000-0000-00008E5E0000}"/>
    <cellStyle name="40% - Accent2 4 2 2 3 3 2 3" xfId="33078" xr:uid="{00000000-0005-0000-0000-00008F5E0000}"/>
    <cellStyle name="40% - Accent2 4 2 2 3 3 3" xfId="16127" xr:uid="{00000000-0005-0000-0000-0000905E0000}"/>
    <cellStyle name="40% - Accent2 4 2 2 3 3 3 2" xfId="38729" xr:uid="{00000000-0005-0000-0000-0000915E0000}"/>
    <cellStyle name="40% - Accent2 4 2 2 3 3 4" xfId="27428" xr:uid="{00000000-0005-0000-0000-0000925E0000}"/>
    <cellStyle name="40% - Accent2 4 2 2 3 4" xfId="7013" xr:uid="{00000000-0005-0000-0000-0000935E0000}"/>
    <cellStyle name="40% - Accent2 4 2 2 3 4 2" xfId="18314" xr:uid="{00000000-0005-0000-0000-0000945E0000}"/>
    <cellStyle name="40% - Accent2 4 2 2 3 4 2 2" xfId="40916" xr:uid="{00000000-0005-0000-0000-0000955E0000}"/>
    <cellStyle name="40% - Accent2 4 2 2 3 4 3" xfId="29615" xr:uid="{00000000-0005-0000-0000-0000965E0000}"/>
    <cellStyle name="40% - Accent2 4 2 2 3 5" xfId="12664" xr:uid="{00000000-0005-0000-0000-0000975E0000}"/>
    <cellStyle name="40% - Accent2 4 2 2 3 5 2" xfId="35266" xr:uid="{00000000-0005-0000-0000-0000985E0000}"/>
    <cellStyle name="40% - Accent2 4 2 2 3 6" xfId="23965" xr:uid="{00000000-0005-0000-0000-0000995E0000}"/>
    <cellStyle name="40% - Accent2 4 2 2 4" xfId="1870" xr:uid="{00000000-0005-0000-0000-00009A5E0000}"/>
    <cellStyle name="40% - Accent2 4 2 2 4 2" xfId="3735" xr:uid="{00000000-0005-0000-0000-00009B5E0000}"/>
    <cellStyle name="40% - Accent2 4 2 2 4 2 2" xfId="9445" xr:uid="{00000000-0005-0000-0000-00009C5E0000}"/>
    <cellStyle name="40% - Accent2 4 2 2 4 2 2 2" xfId="20746" xr:uid="{00000000-0005-0000-0000-00009D5E0000}"/>
    <cellStyle name="40% - Accent2 4 2 2 4 2 2 2 2" xfId="43348" xr:uid="{00000000-0005-0000-0000-00009E5E0000}"/>
    <cellStyle name="40% - Accent2 4 2 2 4 2 2 3" xfId="32047" xr:uid="{00000000-0005-0000-0000-00009F5E0000}"/>
    <cellStyle name="40% - Accent2 4 2 2 4 2 3" xfId="15096" xr:uid="{00000000-0005-0000-0000-0000A05E0000}"/>
    <cellStyle name="40% - Accent2 4 2 2 4 2 3 2" xfId="37698" xr:uid="{00000000-0005-0000-0000-0000A15E0000}"/>
    <cellStyle name="40% - Accent2 4 2 2 4 2 4" xfId="26397" xr:uid="{00000000-0005-0000-0000-0000A25E0000}"/>
    <cellStyle name="40% - Accent2 4 2 2 4 3" xfId="5436" xr:uid="{00000000-0005-0000-0000-0000A35E0000}"/>
    <cellStyle name="40% - Accent2 4 2 2 4 3 2" xfId="11086" xr:uid="{00000000-0005-0000-0000-0000A45E0000}"/>
    <cellStyle name="40% - Accent2 4 2 2 4 3 2 2" xfId="22387" xr:uid="{00000000-0005-0000-0000-0000A55E0000}"/>
    <cellStyle name="40% - Accent2 4 2 2 4 3 2 2 2" xfId="44989" xr:uid="{00000000-0005-0000-0000-0000A65E0000}"/>
    <cellStyle name="40% - Accent2 4 2 2 4 3 2 3" xfId="33688" xr:uid="{00000000-0005-0000-0000-0000A75E0000}"/>
    <cellStyle name="40% - Accent2 4 2 2 4 3 3" xfId="16737" xr:uid="{00000000-0005-0000-0000-0000A85E0000}"/>
    <cellStyle name="40% - Accent2 4 2 2 4 3 3 2" xfId="39339" xr:uid="{00000000-0005-0000-0000-0000A95E0000}"/>
    <cellStyle name="40% - Accent2 4 2 2 4 3 4" xfId="28038" xr:uid="{00000000-0005-0000-0000-0000AA5E0000}"/>
    <cellStyle name="40% - Accent2 4 2 2 4 4" xfId="7726" xr:uid="{00000000-0005-0000-0000-0000AB5E0000}"/>
    <cellStyle name="40% - Accent2 4 2 2 4 4 2" xfId="19027" xr:uid="{00000000-0005-0000-0000-0000AC5E0000}"/>
    <cellStyle name="40% - Accent2 4 2 2 4 4 2 2" xfId="41629" xr:uid="{00000000-0005-0000-0000-0000AD5E0000}"/>
    <cellStyle name="40% - Accent2 4 2 2 4 4 3" xfId="30328" xr:uid="{00000000-0005-0000-0000-0000AE5E0000}"/>
    <cellStyle name="40% - Accent2 4 2 2 4 5" xfId="13377" xr:uid="{00000000-0005-0000-0000-0000AF5E0000}"/>
    <cellStyle name="40% - Accent2 4 2 2 4 5 2" xfId="35979" xr:uid="{00000000-0005-0000-0000-0000B05E0000}"/>
    <cellStyle name="40% - Accent2 4 2 2 4 6" xfId="24678" xr:uid="{00000000-0005-0000-0000-0000B15E0000}"/>
    <cellStyle name="40% - Accent2 4 2 2 5" xfId="2417" xr:uid="{00000000-0005-0000-0000-0000B25E0000}"/>
    <cellStyle name="40% - Accent2 4 2 2 5 2" xfId="8253" xr:uid="{00000000-0005-0000-0000-0000B35E0000}"/>
    <cellStyle name="40% - Accent2 4 2 2 5 2 2" xfId="19554" xr:uid="{00000000-0005-0000-0000-0000B45E0000}"/>
    <cellStyle name="40% - Accent2 4 2 2 5 2 2 2" xfId="42156" xr:uid="{00000000-0005-0000-0000-0000B55E0000}"/>
    <cellStyle name="40% - Accent2 4 2 2 5 2 3" xfId="30855" xr:uid="{00000000-0005-0000-0000-0000B65E0000}"/>
    <cellStyle name="40% - Accent2 4 2 2 5 3" xfId="13904" xr:uid="{00000000-0005-0000-0000-0000B75E0000}"/>
    <cellStyle name="40% - Accent2 4 2 2 5 3 2" xfId="36506" xr:uid="{00000000-0005-0000-0000-0000B85E0000}"/>
    <cellStyle name="40% - Accent2 4 2 2 5 4" xfId="25205" xr:uid="{00000000-0005-0000-0000-0000B95E0000}"/>
    <cellStyle name="40% - Accent2 4 2 2 6" xfId="4202" xr:uid="{00000000-0005-0000-0000-0000BA5E0000}"/>
    <cellStyle name="40% - Accent2 4 2 2 6 2" xfId="9852" xr:uid="{00000000-0005-0000-0000-0000BB5E0000}"/>
    <cellStyle name="40% - Accent2 4 2 2 6 2 2" xfId="21153" xr:uid="{00000000-0005-0000-0000-0000BC5E0000}"/>
    <cellStyle name="40% - Accent2 4 2 2 6 2 2 2" xfId="43755" xr:uid="{00000000-0005-0000-0000-0000BD5E0000}"/>
    <cellStyle name="40% - Accent2 4 2 2 6 2 3" xfId="32454" xr:uid="{00000000-0005-0000-0000-0000BE5E0000}"/>
    <cellStyle name="40% - Accent2 4 2 2 6 3" xfId="15503" xr:uid="{00000000-0005-0000-0000-0000BF5E0000}"/>
    <cellStyle name="40% - Accent2 4 2 2 6 3 2" xfId="38105" xr:uid="{00000000-0005-0000-0000-0000C05E0000}"/>
    <cellStyle name="40% - Accent2 4 2 2 6 4" xfId="26804" xr:uid="{00000000-0005-0000-0000-0000C15E0000}"/>
    <cellStyle name="40% - Accent2 4 2 2 7" xfId="6682" xr:uid="{00000000-0005-0000-0000-0000C25E0000}"/>
    <cellStyle name="40% - Accent2 4 2 2 7 2" xfId="17983" xr:uid="{00000000-0005-0000-0000-0000C35E0000}"/>
    <cellStyle name="40% - Accent2 4 2 2 7 2 2" xfId="40585" xr:uid="{00000000-0005-0000-0000-0000C45E0000}"/>
    <cellStyle name="40% - Accent2 4 2 2 7 3" xfId="29284" xr:uid="{00000000-0005-0000-0000-0000C55E0000}"/>
    <cellStyle name="40% - Accent2 4 2 2 8" xfId="12333" xr:uid="{00000000-0005-0000-0000-0000C65E0000}"/>
    <cellStyle name="40% - Accent2 4 2 2 8 2" xfId="34935" xr:uid="{00000000-0005-0000-0000-0000C75E0000}"/>
    <cellStyle name="40% - Accent2 4 2 2 9" xfId="23634" xr:uid="{00000000-0005-0000-0000-0000C85E0000}"/>
    <cellStyle name="40% - Accent2 4 2 3" xfId="1189" xr:uid="{00000000-0005-0000-0000-0000C95E0000}"/>
    <cellStyle name="40% - Accent2 4 2 3 2" xfId="1872" xr:uid="{00000000-0005-0000-0000-0000CA5E0000}"/>
    <cellStyle name="40% - Accent2 4 2 3 2 2" xfId="3257" xr:uid="{00000000-0005-0000-0000-0000CB5E0000}"/>
    <cellStyle name="40% - Accent2 4 2 3 2 2 2" xfId="6229" xr:uid="{00000000-0005-0000-0000-0000CC5E0000}"/>
    <cellStyle name="40% - Accent2 4 2 3 2 2 2 2" xfId="11879" xr:uid="{00000000-0005-0000-0000-0000CD5E0000}"/>
    <cellStyle name="40% - Accent2 4 2 3 2 2 2 2 2" xfId="23180" xr:uid="{00000000-0005-0000-0000-0000CE5E0000}"/>
    <cellStyle name="40% - Accent2 4 2 3 2 2 2 2 2 2" xfId="45782" xr:uid="{00000000-0005-0000-0000-0000CF5E0000}"/>
    <cellStyle name="40% - Accent2 4 2 3 2 2 2 2 3" xfId="34481" xr:uid="{00000000-0005-0000-0000-0000D05E0000}"/>
    <cellStyle name="40% - Accent2 4 2 3 2 2 2 3" xfId="17530" xr:uid="{00000000-0005-0000-0000-0000D15E0000}"/>
    <cellStyle name="40% - Accent2 4 2 3 2 2 2 3 2" xfId="40132" xr:uid="{00000000-0005-0000-0000-0000D25E0000}"/>
    <cellStyle name="40% - Accent2 4 2 3 2 2 2 4" xfId="28831" xr:uid="{00000000-0005-0000-0000-0000D35E0000}"/>
    <cellStyle name="40% - Accent2 4 2 3 2 2 3" xfId="9047" xr:uid="{00000000-0005-0000-0000-0000D45E0000}"/>
    <cellStyle name="40% - Accent2 4 2 3 2 2 3 2" xfId="20348" xr:uid="{00000000-0005-0000-0000-0000D55E0000}"/>
    <cellStyle name="40% - Accent2 4 2 3 2 2 3 2 2" xfId="42950" xr:uid="{00000000-0005-0000-0000-0000D65E0000}"/>
    <cellStyle name="40% - Accent2 4 2 3 2 2 3 3" xfId="31649" xr:uid="{00000000-0005-0000-0000-0000D75E0000}"/>
    <cellStyle name="40% - Accent2 4 2 3 2 2 4" xfId="14698" xr:uid="{00000000-0005-0000-0000-0000D85E0000}"/>
    <cellStyle name="40% - Accent2 4 2 3 2 2 4 2" xfId="37300" xr:uid="{00000000-0005-0000-0000-0000D95E0000}"/>
    <cellStyle name="40% - Accent2 4 2 3 2 2 5" xfId="25999" xr:uid="{00000000-0005-0000-0000-0000DA5E0000}"/>
    <cellStyle name="40% - Accent2 4 2 3 2 3" xfId="4995" xr:uid="{00000000-0005-0000-0000-0000DB5E0000}"/>
    <cellStyle name="40% - Accent2 4 2 3 2 3 2" xfId="10645" xr:uid="{00000000-0005-0000-0000-0000DC5E0000}"/>
    <cellStyle name="40% - Accent2 4 2 3 2 3 2 2" xfId="21946" xr:uid="{00000000-0005-0000-0000-0000DD5E0000}"/>
    <cellStyle name="40% - Accent2 4 2 3 2 3 2 2 2" xfId="44548" xr:uid="{00000000-0005-0000-0000-0000DE5E0000}"/>
    <cellStyle name="40% - Accent2 4 2 3 2 3 2 3" xfId="33247" xr:uid="{00000000-0005-0000-0000-0000DF5E0000}"/>
    <cellStyle name="40% - Accent2 4 2 3 2 3 3" xfId="16296" xr:uid="{00000000-0005-0000-0000-0000E05E0000}"/>
    <cellStyle name="40% - Accent2 4 2 3 2 3 3 2" xfId="38898" xr:uid="{00000000-0005-0000-0000-0000E15E0000}"/>
    <cellStyle name="40% - Accent2 4 2 3 2 3 4" xfId="27597" xr:uid="{00000000-0005-0000-0000-0000E25E0000}"/>
    <cellStyle name="40% - Accent2 4 2 3 2 4" xfId="7728" xr:uid="{00000000-0005-0000-0000-0000E35E0000}"/>
    <cellStyle name="40% - Accent2 4 2 3 2 4 2" xfId="19029" xr:uid="{00000000-0005-0000-0000-0000E45E0000}"/>
    <cellStyle name="40% - Accent2 4 2 3 2 4 2 2" xfId="41631" xr:uid="{00000000-0005-0000-0000-0000E55E0000}"/>
    <cellStyle name="40% - Accent2 4 2 3 2 4 3" xfId="30330" xr:uid="{00000000-0005-0000-0000-0000E65E0000}"/>
    <cellStyle name="40% - Accent2 4 2 3 2 5" xfId="13379" xr:uid="{00000000-0005-0000-0000-0000E75E0000}"/>
    <cellStyle name="40% - Accent2 4 2 3 2 5 2" xfId="35981" xr:uid="{00000000-0005-0000-0000-0000E85E0000}"/>
    <cellStyle name="40% - Accent2 4 2 3 2 6" xfId="24680" xr:uid="{00000000-0005-0000-0000-0000E95E0000}"/>
    <cellStyle name="40% - Accent2 4 2 3 3" xfId="2586" xr:uid="{00000000-0005-0000-0000-0000EA5E0000}"/>
    <cellStyle name="40% - Accent2 4 2 3 3 2" xfId="5605" xr:uid="{00000000-0005-0000-0000-0000EB5E0000}"/>
    <cellStyle name="40% - Accent2 4 2 3 3 2 2" xfId="11255" xr:uid="{00000000-0005-0000-0000-0000EC5E0000}"/>
    <cellStyle name="40% - Accent2 4 2 3 3 2 2 2" xfId="22556" xr:uid="{00000000-0005-0000-0000-0000ED5E0000}"/>
    <cellStyle name="40% - Accent2 4 2 3 3 2 2 2 2" xfId="45158" xr:uid="{00000000-0005-0000-0000-0000EE5E0000}"/>
    <cellStyle name="40% - Accent2 4 2 3 3 2 2 3" xfId="33857" xr:uid="{00000000-0005-0000-0000-0000EF5E0000}"/>
    <cellStyle name="40% - Accent2 4 2 3 3 2 3" xfId="16906" xr:uid="{00000000-0005-0000-0000-0000F05E0000}"/>
    <cellStyle name="40% - Accent2 4 2 3 3 2 3 2" xfId="39508" xr:uid="{00000000-0005-0000-0000-0000F15E0000}"/>
    <cellStyle name="40% - Accent2 4 2 3 3 2 4" xfId="28207" xr:uid="{00000000-0005-0000-0000-0000F25E0000}"/>
    <cellStyle name="40% - Accent2 4 2 3 3 3" xfId="8422" xr:uid="{00000000-0005-0000-0000-0000F35E0000}"/>
    <cellStyle name="40% - Accent2 4 2 3 3 3 2" xfId="19723" xr:uid="{00000000-0005-0000-0000-0000F45E0000}"/>
    <cellStyle name="40% - Accent2 4 2 3 3 3 2 2" xfId="42325" xr:uid="{00000000-0005-0000-0000-0000F55E0000}"/>
    <cellStyle name="40% - Accent2 4 2 3 3 3 3" xfId="31024" xr:uid="{00000000-0005-0000-0000-0000F65E0000}"/>
    <cellStyle name="40% - Accent2 4 2 3 3 4" xfId="14073" xr:uid="{00000000-0005-0000-0000-0000F75E0000}"/>
    <cellStyle name="40% - Accent2 4 2 3 3 4 2" xfId="36675" xr:uid="{00000000-0005-0000-0000-0000F85E0000}"/>
    <cellStyle name="40% - Accent2 4 2 3 3 5" xfId="25374" xr:uid="{00000000-0005-0000-0000-0000F95E0000}"/>
    <cellStyle name="40% - Accent2 4 2 3 4" xfId="4371" xr:uid="{00000000-0005-0000-0000-0000FA5E0000}"/>
    <cellStyle name="40% - Accent2 4 2 3 4 2" xfId="10021" xr:uid="{00000000-0005-0000-0000-0000FB5E0000}"/>
    <cellStyle name="40% - Accent2 4 2 3 4 2 2" xfId="21322" xr:uid="{00000000-0005-0000-0000-0000FC5E0000}"/>
    <cellStyle name="40% - Accent2 4 2 3 4 2 2 2" xfId="43924" xr:uid="{00000000-0005-0000-0000-0000FD5E0000}"/>
    <cellStyle name="40% - Accent2 4 2 3 4 2 3" xfId="32623" xr:uid="{00000000-0005-0000-0000-0000FE5E0000}"/>
    <cellStyle name="40% - Accent2 4 2 3 4 3" xfId="15672" xr:uid="{00000000-0005-0000-0000-0000FF5E0000}"/>
    <cellStyle name="40% - Accent2 4 2 3 4 3 2" xfId="38274" xr:uid="{00000000-0005-0000-0000-0000005F0000}"/>
    <cellStyle name="40% - Accent2 4 2 3 4 4" xfId="26973" xr:uid="{00000000-0005-0000-0000-0000015F0000}"/>
    <cellStyle name="40% - Accent2 4 2 3 5" xfId="7168" xr:uid="{00000000-0005-0000-0000-0000025F0000}"/>
    <cellStyle name="40% - Accent2 4 2 3 5 2" xfId="18469" xr:uid="{00000000-0005-0000-0000-0000035F0000}"/>
    <cellStyle name="40% - Accent2 4 2 3 5 2 2" xfId="41071" xr:uid="{00000000-0005-0000-0000-0000045F0000}"/>
    <cellStyle name="40% - Accent2 4 2 3 5 3" xfId="29770" xr:uid="{00000000-0005-0000-0000-0000055F0000}"/>
    <cellStyle name="40% - Accent2 4 2 3 6" xfId="12819" xr:uid="{00000000-0005-0000-0000-0000065F0000}"/>
    <cellStyle name="40% - Accent2 4 2 3 6 2" xfId="35421" xr:uid="{00000000-0005-0000-0000-0000075F0000}"/>
    <cellStyle name="40% - Accent2 4 2 3 7" xfId="24120" xr:uid="{00000000-0005-0000-0000-0000085F0000}"/>
    <cellStyle name="40% - Accent2 4 2 4" xfId="879" xr:uid="{00000000-0005-0000-0000-0000095F0000}"/>
    <cellStyle name="40% - Accent2 4 2 4 2" xfId="2950" xr:uid="{00000000-0005-0000-0000-00000A5F0000}"/>
    <cellStyle name="40% - Accent2 4 2 4 2 2" xfId="5922" xr:uid="{00000000-0005-0000-0000-00000B5F0000}"/>
    <cellStyle name="40% - Accent2 4 2 4 2 2 2" xfId="11572" xr:uid="{00000000-0005-0000-0000-00000C5F0000}"/>
    <cellStyle name="40% - Accent2 4 2 4 2 2 2 2" xfId="22873" xr:uid="{00000000-0005-0000-0000-00000D5F0000}"/>
    <cellStyle name="40% - Accent2 4 2 4 2 2 2 2 2" xfId="45475" xr:uid="{00000000-0005-0000-0000-00000E5F0000}"/>
    <cellStyle name="40% - Accent2 4 2 4 2 2 2 3" xfId="34174" xr:uid="{00000000-0005-0000-0000-00000F5F0000}"/>
    <cellStyle name="40% - Accent2 4 2 4 2 2 3" xfId="17223" xr:uid="{00000000-0005-0000-0000-0000105F0000}"/>
    <cellStyle name="40% - Accent2 4 2 4 2 2 3 2" xfId="39825" xr:uid="{00000000-0005-0000-0000-0000115F0000}"/>
    <cellStyle name="40% - Accent2 4 2 4 2 2 4" xfId="28524" xr:uid="{00000000-0005-0000-0000-0000125F0000}"/>
    <cellStyle name="40% - Accent2 4 2 4 2 3" xfId="8740" xr:uid="{00000000-0005-0000-0000-0000135F0000}"/>
    <cellStyle name="40% - Accent2 4 2 4 2 3 2" xfId="20041" xr:uid="{00000000-0005-0000-0000-0000145F0000}"/>
    <cellStyle name="40% - Accent2 4 2 4 2 3 2 2" xfId="42643" xr:uid="{00000000-0005-0000-0000-0000155F0000}"/>
    <cellStyle name="40% - Accent2 4 2 4 2 3 3" xfId="31342" xr:uid="{00000000-0005-0000-0000-0000165F0000}"/>
    <cellStyle name="40% - Accent2 4 2 4 2 4" xfId="14391" xr:uid="{00000000-0005-0000-0000-0000175F0000}"/>
    <cellStyle name="40% - Accent2 4 2 4 2 4 2" xfId="36993" xr:uid="{00000000-0005-0000-0000-0000185F0000}"/>
    <cellStyle name="40% - Accent2 4 2 4 2 5" xfId="25692" xr:uid="{00000000-0005-0000-0000-0000195F0000}"/>
    <cellStyle name="40% - Accent2 4 2 4 3" xfId="4688" xr:uid="{00000000-0005-0000-0000-00001A5F0000}"/>
    <cellStyle name="40% - Accent2 4 2 4 3 2" xfId="10338" xr:uid="{00000000-0005-0000-0000-00001B5F0000}"/>
    <cellStyle name="40% - Accent2 4 2 4 3 2 2" xfId="21639" xr:uid="{00000000-0005-0000-0000-00001C5F0000}"/>
    <cellStyle name="40% - Accent2 4 2 4 3 2 2 2" xfId="44241" xr:uid="{00000000-0005-0000-0000-00001D5F0000}"/>
    <cellStyle name="40% - Accent2 4 2 4 3 2 3" xfId="32940" xr:uid="{00000000-0005-0000-0000-00001E5F0000}"/>
    <cellStyle name="40% - Accent2 4 2 4 3 3" xfId="15989" xr:uid="{00000000-0005-0000-0000-00001F5F0000}"/>
    <cellStyle name="40% - Accent2 4 2 4 3 3 2" xfId="38591" xr:uid="{00000000-0005-0000-0000-0000205F0000}"/>
    <cellStyle name="40% - Accent2 4 2 4 3 4" xfId="27290" xr:uid="{00000000-0005-0000-0000-0000215F0000}"/>
    <cellStyle name="40% - Accent2 4 2 4 4" xfId="6875" xr:uid="{00000000-0005-0000-0000-0000225F0000}"/>
    <cellStyle name="40% - Accent2 4 2 4 4 2" xfId="18176" xr:uid="{00000000-0005-0000-0000-0000235F0000}"/>
    <cellStyle name="40% - Accent2 4 2 4 4 2 2" xfId="40778" xr:uid="{00000000-0005-0000-0000-0000245F0000}"/>
    <cellStyle name="40% - Accent2 4 2 4 4 3" xfId="29477" xr:uid="{00000000-0005-0000-0000-0000255F0000}"/>
    <cellStyle name="40% - Accent2 4 2 4 5" xfId="12526" xr:uid="{00000000-0005-0000-0000-0000265F0000}"/>
    <cellStyle name="40% - Accent2 4 2 4 5 2" xfId="35128" xr:uid="{00000000-0005-0000-0000-0000275F0000}"/>
    <cellStyle name="40% - Accent2 4 2 4 6" xfId="23827" xr:uid="{00000000-0005-0000-0000-0000285F0000}"/>
    <cellStyle name="40% - Accent2 4 2 5" xfId="1869" xr:uid="{00000000-0005-0000-0000-0000295F0000}"/>
    <cellStyle name="40% - Accent2 4 2 5 2" xfId="3734" xr:uid="{00000000-0005-0000-0000-00002A5F0000}"/>
    <cellStyle name="40% - Accent2 4 2 5 2 2" xfId="9444" xr:uid="{00000000-0005-0000-0000-00002B5F0000}"/>
    <cellStyle name="40% - Accent2 4 2 5 2 2 2" xfId="20745" xr:uid="{00000000-0005-0000-0000-00002C5F0000}"/>
    <cellStyle name="40% - Accent2 4 2 5 2 2 2 2" xfId="43347" xr:uid="{00000000-0005-0000-0000-00002D5F0000}"/>
    <cellStyle name="40% - Accent2 4 2 5 2 2 3" xfId="32046" xr:uid="{00000000-0005-0000-0000-00002E5F0000}"/>
    <cellStyle name="40% - Accent2 4 2 5 2 3" xfId="15095" xr:uid="{00000000-0005-0000-0000-00002F5F0000}"/>
    <cellStyle name="40% - Accent2 4 2 5 2 3 2" xfId="37697" xr:uid="{00000000-0005-0000-0000-0000305F0000}"/>
    <cellStyle name="40% - Accent2 4 2 5 2 4" xfId="26396" xr:uid="{00000000-0005-0000-0000-0000315F0000}"/>
    <cellStyle name="40% - Accent2 4 2 5 3" xfId="5298" xr:uid="{00000000-0005-0000-0000-0000325F0000}"/>
    <cellStyle name="40% - Accent2 4 2 5 3 2" xfId="10948" xr:uid="{00000000-0005-0000-0000-0000335F0000}"/>
    <cellStyle name="40% - Accent2 4 2 5 3 2 2" xfId="22249" xr:uid="{00000000-0005-0000-0000-0000345F0000}"/>
    <cellStyle name="40% - Accent2 4 2 5 3 2 2 2" xfId="44851" xr:uid="{00000000-0005-0000-0000-0000355F0000}"/>
    <cellStyle name="40% - Accent2 4 2 5 3 2 3" xfId="33550" xr:uid="{00000000-0005-0000-0000-0000365F0000}"/>
    <cellStyle name="40% - Accent2 4 2 5 3 3" xfId="16599" xr:uid="{00000000-0005-0000-0000-0000375F0000}"/>
    <cellStyle name="40% - Accent2 4 2 5 3 3 2" xfId="39201" xr:uid="{00000000-0005-0000-0000-0000385F0000}"/>
    <cellStyle name="40% - Accent2 4 2 5 3 4" xfId="27900" xr:uid="{00000000-0005-0000-0000-0000395F0000}"/>
    <cellStyle name="40% - Accent2 4 2 5 4" xfId="7725" xr:uid="{00000000-0005-0000-0000-00003A5F0000}"/>
    <cellStyle name="40% - Accent2 4 2 5 4 2" xfId="19026" xr:uid="{00000000-0005-0000-0000-00003B5F0000}"/>
    <cellStyle name="40% - Accent2 4 2 5 4 2 2" xfId="41628" xr:uid="{00000000-0005-0000-0000-00003C5F0000}"/>
    <cellStyle name="40% - Accent2 4 2 5 4 3" xfId="30327" xr:uid="{00000000-0005-0000-0000-00003D5F0000}"/>
    <cellStyle name="40% - Accent2 4 2 5 5" xfId="13376" xr:uid="{00000000-0005-0000-0000-00003E5F0000}"/>
    <cellStyle name="40% - Accent2 4 2 5 5 2" xfId="35978" xr:uid="{00000000-0005-0000-0000-00003F5F0000}"/>
    <cellStyle name="40% - Accent2 4 2 5 6" xfId="24677" xr:uid="{00000000-0005-0000-0000-0000405F0000}"/>
    <cellStyle name="40% - Accent2 4 2 6" xfId="2277" xr:uid="{00000000-0005-0000-0000-0000415F0000}"/>
    <cellStyle name="40% - Accent2 4 2 6 2" xfId="8113" xr:uid="{00000000-0005-0000-0000-0000425F0000}"/>
    <cellStyle name="40% - Accent2 4 2 6 2 2" xfId="19414" xr:uid="{00000000-0005-0000-0000-0000435F0000}"/>
    <cellStyle name="40% - Accent2 4 2 6 2 2 2" xfId="42016" xr:uid="{00000000-0005-0000-0000-0000445F0000}"/>
    <cellStyle name="40% - Accent2 4 2 6 2 3" xfId="30715" xr:uid="{00000000-0005-0000-0000-0000455F0000}"/>
    <cellStyle name="40% - Accent2 4 2 6 3" xfId="13764" xr:uid="{00000000-0005-0000-0000-0000465F0000}"/>
    <cellStyle name="40% - Accent2 4 2 6 3 2" xfId="36366" xr:uid="{00000000-0005-0000-0000-0000475F0000}"/>
    <cellStyle name="40% - Accent2 4 2 6 4" xfId="25065" xr:uid="{00000000-0005-0000-0000-0000485F0000}"/>
    <cellStyle name="40% - Accent2 4 2 7" xfId="4064" xr:uid="{00000000-0005-0000-0000-0000495F0000}"/>
    <cellStyle name="40% - Accent2 4 2 7 2" xfId="9714" xr:uid="{00000000-0005-0000-0000-00004A5F0000}"/>
    <cellStyle name="40% - Accent2 4 2 7 2 2" xfId="21015" xr:uid="{00000000-0005-0000-0000-00004B5F0000}"/>
    <cellStyle name="40% - Accent2 4 2 7 2 2 2" xfId="43617" xr:uid="{00000000-0005-0000-0000-00004C5F0000}"/>
    <cellStyle name="40% - Accent2 4 2 7 2 3" xfId="32316" xr:uid="{00000000-0005-0000-0000-00004D5F0000}"/>
    <cellStyle name="40% - Accent2 4 2 7 3" xfId="15365" xr:uid="{00000000-0005-0000-0000-00004E5F0000}"/>
    <cellStyle name="40% - Accent2 4 2 7 3 2" xfId="37967" xr:uid="{00000000-0005-0000-0000-00004F5F0000}"/>
    <cellStyle name="40% - Accent2 4 2 7 4" xfId="26666" xr:uid="{00000000-0005-0000-0000-0000505F0000}"/>
    <cellStyle name="40% - Accent2 4 2 8" xfId="6515" xr:uid="{00000000-0005-0000-0000-0000515F0000}"/>
    <cellStyle name="40% - Accent2 4 2 8 2" xfId="17816" xr:uid="{00000000-0005-0000-0000-0000525F0000}"/>
    <cellStyle name="40% - Accent2 4 2 8 2 2" xfId="40418" xr:uid="{00000000-0005-0000-0000-0000535F0000}"/>
    <cellStyle name="40% - Accent2 4 2 8 3" xfId="29117" xr:uid="{00000000-0005-0000-0000-0000545F0000}"/>
    <cellStyle name="40% - Accent2 4 2 9" xfId="12166" xr:uid="{00000000-0005-0000-0000-0000555F0000}"/>
    <cellStyle name="40% - Accent2 4 2 9 2" xfId="34768" xr:uid="{00000000-0005-0000-0000-0000565F0000}"/>
    <cellStyle name="40% - Accent2 4 3" xfId="421" xr:uid="{00000000-0005-0000-0000-0000575F0000}"/>
    <cellStyle name="40% - Accent2 4 3 10" xfId="23516" xr:uid="{00000000-0005-0000-0000-0000585F0000}"/>
    <cellStyle name="40% - Accent2 4 3 2" xfId="666" xr:uid="{00000000-0005-0000-0000-0000595F0000}"/>
    <cellStyle name="40% - Accent2 4 3 2 2" xfId="1376" xr:uid="{00000000-0005-0000-0000-00005A5F0000}"/>
    <cellStyle name="40% - Accent2 4 3 2 2 2" xfId="1875" xr:uid="{00000000-0005-0000-0000-00005B5F0000}"/>
    <cellStyle name="40% - Accent2 4 3 2 2 2 2" xfId="3445" xr:uid="{00000000-0005-0000-0000-00005C5F0000}"/>
    <cellStyle name="40% - Accent2 4 3 2 2 2 2 2" xfId="6417" xr:uid="{00000000-0005-0000-0000-00005D5F0000}"/>
    <cellStyle name="40% - Accent2 4 3 2 2 2 2 2 2" xfId="12067" xr:uid="{00000000-0005-0000-0000-00005E5F0000}"/>
    <cellStyle name="40% - Accent2 4 3 2 2 2 2 2 2 2" xfId="23368" xr:uid="{00000000-0005-0000-0000-00005F5F0000}"/>
    <cellStyle name="40% - Accent2 4 3 2 2 2 2 2 2 2 2" xfId="45970" xr:uid="{00000000-0005-0000-0000-0000605F0000}"/>
    <cellStyle name="40% - Accent2 4 3 2 2 2 2 2 2 3" xfId="34669" xr:uid="{00000000-0005-0000-0000-0000615F0000}"/>
    <cellStyle name="40% - Accent2 4 3 2 2 2 2 2 3" xfId="17718" xr:uid="{00000000-0005-0000-0000-0000625F0000}"/>
    <cellStyle name="40% - Accent2 4 3 2 2 2 2 2 3 2" xfId="40320" xr:uid="{00000000-0005-0000-0000-0000635F0000}"/>
    <cellStyle name="40% - Accent2 4 3 2 2 2 2 2 4" xfId="29019" xr:uid="{00000000-0005-0000-0000-0000645F0000}"/>
    <cellStyle name="40% - Accent2 4 3 2 2 2 2 3" xfId="9235" xr:uid="{00000000-0005-0000-0000-0000655F0000}"/>
    <cellStyle name="40% - Accent2 4 3 2 2 2 2 3 2" xfId="20536" xr:uid="{00000000-0005-0000-0000-0000665F0000}"/>
    <cellStyle name="40% - Accent2 4 3 2 2 2 2 3 2 2" xfId="43138" xr:uid="{00000000-0005-0000-0000-0000675F0000}"/>
    <cellStyle name="40% - Accent2 4 3 2 2 2 2 3 3" xfId="31837" xr:uid="{00000000-0005-0000-0000-0000685F0000}"/>
    <cellStyle name="40% - Accent2 4 3 2 2 2 2 4" xfId="14886" xr:uid="{00000000-0005-0000-0000-0000695F0000}"/>
    <cellStyle name="40% - Accent2 4 3 2 2 2 2 4 2" xfId="37488" xr:uid="{00000000-0005-0000-0000-00006A5F0000}"/>
    <cellStyle name="40% - Accent2 4 3 2 2 2 2 5" xfId="26187" xr:uid="{00000000-0005-0000-0000-00006B5F0000}"/>
    <cellStyle name="40% - Accent2 4 3 2 2 2 3" xfId="5183" xr:uid="{00000000-0005-0000-0000-00006C5F0000}"/>
    <cellStyle name="40% - Accent2 4 3 2 2 2 3 2" xfId="10833" xr:uid="{00000000-0005-0000-0000-00006D5F0000}"/>
    <cellStyle name="40% - Accent2 4 3 2 2 2 3 2 2" xfId="22134" xr:uid="{00000000-0005-0000-0000-00006E5F0000}"/>
    <cellStyle name="40% - Accent2 4 3 2 2 2 3 2 2 2" xfId="44736" xr:uid="{00000000-0005-0000-0000-00006F5F0000}"/>
    <cellStyle name="40% - Accent2 4 3 2 2 2 3 2 3" xfId="33435" xr:uid="{00000000-0005-0000-0000-0000705F0000}"/>
    <cellStyle name="40% - Accent2 4 3 2 2 2 3 3" xfId="16484" xr:uid="{00000000-0005-0000-0000-0000715F0000}"/>
    <cellStyle name="40% - Accent2 4 3 2 2 2 3 3 2" xfId="39086" xr:uid="{00000000-0005-0000-0000-0000725F0000}"/>
    <cellStyle name="40% - Accent2 4 3 2 2 2 3 4" xfId="27785" xr:uid="{00000000-0005-0000-0000-0000735F0000}"/>
    <cellStyle name="40% - Accent2 4 3 2 2 2 4" xfId="7731" xr:uid="{00000000-0005-0000-0000-0000745F0000}"/>
    <cellStyle name="40% - Accent2 4 3 2 2 2 4 2" xfId="19032" xr:uid="{00000000-0005-0000-0000-0000755F0000}"/>
    <cellStyle name="40% - Accent2 4 3 2 2 2 4 2 2" xfId="41634" xr:uid="{00000000-0005-0000-0000-0000765F0000}"/>
    <cellStyle name="40% - Accent2 4 3 2 2 2 4 3" xfId="30333" xr:uid="{00000000-0005-0000-0000-0000775F0000}"/>
    <cellStyle name="40% - Accent2 4 3 2 2 2 5" xfId="13382" xr:uid="{00000000-0005-0000-0000-0000785F0000}"/>
    <cellStyle name="40% - Accent2 4 3 2 2 2 5 2" xfId="35984" xr:uid="{00000000-0005-0000-0000-0000795F0000}"/>
    <cellStyle name="40% - Accent2 4 3 2 2 2 6" xfId="24683" xr:uid="{00000000-0005-0000-0000-00007A5F0000}"/>
    <cellStyle name="40% - Accent2 4 3 2 2 3" xfId="2774" xr:uid="{00000000-0005-0000-0000-00007B5F0000}"/>
    <cellStyle name="40% - Accent2 4 3 2 2 3 2" xfId="5793" xr:uid="{00000000-0005-0000-0000-00007C5F0000}"/>
    <cellStyle name="40% - Accent2 4 3 2 2 3 2 2" xfId="11443" xr:uid="{00000000-0005-0000-0000-00007D5F0000}"/>
    <cellStyle name="40% - Accent2 4 3 2 2 3 2 2 2" xfId="22744" xr:uid="{00000000-0005-0000-0000-00007E5F0000}"/>
    <cellStyle name="40% - Accent2 4 3 2 2 3 2 2 2 2" xfId="45346" xr:uid="{00000000-0005-0000-0000-00007F5F0000}"/>
    <cellStyle name="40% - Accent2 4 3 2 2 3 2 2 3" xfId="34045" xr:uid="{00000000-0005-0000-0000-0000805F0000}"/>
    <cellStyle name="40% - Accent2 4 3 2 2 3 2 3" xfId="17094" xr:uid="{00000000-0005-0000-0000-0000815F0000}"/>
    <cellStyle name="40% - Accent2 4 3 2 2 3 2 3 2" xfId="39696" xr:uid="{00000000-0005-0000-0000-0000825F0000}"/>
    <cellStyle name="40% - Accent2 4 3 2 2 3 2 4" xfId="28395" xr:uid="{00000000-0005-0000-0000-0000835F0000}"/>
    <cellStyle name="40% - Accent2 4 3 2 2 3 3" xfId="8610" xr:uid="{00000000-0005-0000-0000-0000845F0000}"/>
    <cellStyle name="40% - Accent2 4 3 2 2 3 3 2" xfId="19911" xr:uid="{00000000-0005-0000-0000-0000855F0000}"/>
    <cellStyle name="40% - Accent2 4 3 2 2 3 3 2 2" xfId="42513" xr:uid="{00000000-0005-0000-0000-0000865F0000}"/>
    <cellStyle name="40% - Accent2 4 3 2 2 3 3 3" xfId="31212" xr:uid="{00000000-0005-0000-0000-0000875F0000}"/>
    <cellStyle name="40% - Accent2 4 3 2 2 3 4" xfId="14261" xr:uid="{00000000-0005-0000-0000-0000885F0000}"/>
    <cellStyle name="40% - Accent2 4 3 2 2 3 4 2" xfId="36863" xr:uid="{00000000-0005-0000-0000-0000895F0000}"/>
    <cellStyle name="40% - Accent2 4 3 2 2 3 5" xfId="25562" xr:uid="{00000000-0005-0000-0000-00008A5F0000}"/>
    <cellStyle name="40% - Accent2 4 3 2 2 4" xfId="4559" xr:uid="{00000000-0005-0000-0000-00008B5F0000}"/>
    <cellStyle name="40% - Accent2 4 3 2 2 4 2" xfId="10209" xr:uid="{00000000-0005-0000-0000-00008C5F0000}"/>
    <cellStyle name="40% - Accent2 4 3 2 2 4 2 2" xfId="21510" xr:uid="{00000000-0005-0000-0000-00008D5F0000}"/>
    <cellStyle name="40% - Accent2 4 3 2 2 4 2 2 2" xfId="44112" xr:uid="{00000000-0005-0000-0000-00008E5F0000}"/>
    <cellStyle name="40% - Accent2 4 3 2 2 4 2 3" xfId="32811" xr:uid="{00000000-0005-0000-0000-00008F5F0000}"/>
    <cellStyle name="40% - Accent2 4 3 2 2 4 3" xfId="15860" xr:uid="{00000000-0005-0000-0000-0000905F0000}"/>
    <cellStyle name="40% - Accent2 4 3 2 2 4 3 2" xfId="38462" xr:uid="{00000000-0005-0000-0000-0000915F0000}"/>
    <cellStyle name="40% - Accent2 4 3 2 2 4 4" xfId="27161" xr:uid="{00000000-0005-0000-0000-0000925F0000}"/>
    <cellStyle name="40% - Accent2 4 3 2 2 5" xfId="7355" xr:uid="{00000000-0005-0000-0000-0000935F0000}"/>
    <cellStyle name="40% - Accent2 4 3 2 2 5 2" xfId="18656" xr:uid="{00000000-0005-0000-0000-0000945F0000}"/>
    <cellStyle name="40% - Accent2 4 3 2 2 5 2 2" xfId="41258" xr:uid="{00000000-0005-0000-0000-0000955F0000}"/>
    <cellStyle name="40% - Accent2 4 3 2 2 5 3" xfId="29957" xr:uid="{00000000-0005-0000-0000-0000965F0000}"/>
    <cellStyle name="40% - Accent2 4 3 2 2 6" xfId="13006" xr:uid="{00000000-0005-0000-0000-0000975F0000}"/>
    <cellStyle name="40% - Accent2 4 3 2 2 6 2" xfId="35608" xr:uid="{00000000-0005-0000-0000-0000985F0000}"/>
    <cellStyle name="40% - Accent2 4 3 2 2 7" xfId="24307" xr:uid="{00000000-0005-0000-0000-0000995F0000}"/>
    <cellStyle name="40% - Accent2 4 3 2 3" xfId="1074" xr:uid="{00000000-0005-0000-0000-00009A5F0000}"/>
    <cellStyle name="40% - Accent2 4 3 2 3 2" xfId="3137" xr:uid="{00000000-0005-0000-0000-00009B5F0000}"/>
    <cellStyle name="40% - Accent2 4 3 2 3 2 2" xfId="6109" xr:uid="{00000000-0005-0000-0000-00009C5F0000}"/>
    <cellStyle name="40% - Accent2 4 3 2 3 2 2 2" xfId="11759" xr:uid="{00000000-0005-0000-0000-00009D5F0000}"/>
    <cellStyle name="40% - Accent2 4 3 2 3 2 2 2 2" xfId="23060" xr:uid="{00000000-0005-0000-0000-00009E5F0000}"/>
    <cellStyle name="40% - Accent2 4 3 2 3 2 2 2 2 2" xfId="45662" xr:uid="{00000000-0005-0000-0000-00009F5F0000}"/>
    <cellStyle name="40% - Accent2 4 3 2 3 2 2 2 3" xfId="34361" xr:uid="{00000000-0005-0000-0000-0000A05F0000}"/>
    <cellStyle name="40% - Accent2 4 3 2 3 2 2 3" xfId="17410" xr:uid="{00000000-0005-0000-0000-0000A15F0000}"/>
    <cellStyle name="40% - Accent2 4 3 2 3 2 2 3 2" xfId="40012" xr:uid="{00000000-0005-0000-0000-0000A25F0000}"/>
    <cellStyle name="40% - Accent2 4 3 2 3 2 2 4" xfId="28711" xr:uid="{00000000-0005-0000-0000-0000A35F0000}"/>
    <cellStyle name="40% - Accent2 4 3 2 3 2 3" xfId="8927" xr:uid="{00000000-0005-0000-0000-0000A45F0000}"/>
    <cellStyle name="40% - Accent2 4 3 2 3 2 3 2" xfId="20228" xr:uid="{00000000-0005-0000-0000-0000A55F0000}"/>
    <cellStyle name="40% - Accent2 4 3 2 3 2 3 2 2" xfId="42830" xr:uid="{00000000-0005-0000-0000-0000A65F0000}"/>
    <cellStyle name="40% - Accent2 4 3 2 3 2 3 3" xfId="31529" xr:uid="{00000000-0005-0000-0000-0000A75F0000}"/>
    <cellStyle name="40% - Accent2 4 3 2 3 2 4" xfId="14578" xr:uid="{00000000-0005-0000-0000-0000A85F0000}"/>
    <cellStyle name="40% - Accent2 4 3 2 3 2 4 2" xfId="37180" xr:uid="{00000000-0005-0000-0000-0000A95F0000}"/>
    <cellStyle name="40% - Accent2 4 3 2 3 2 5" xfId="25879" xr:uid="{00000000-0005-0000-0000-0000AA5F0000}"/>
    <cellStyle name="40% - Accent2 4 3 2 3 3" xfId="4875" xr:uid="{00000000-0005-0000-0000-0000AB5F0000}"/>
    <cellStyle name="40% - Accent2 4 3 2 3 3 2" xfId="10525" xr:uid="{00000000-0005-0000-0000-0000AC5F0000}"/>
    <cellStyle name="40% - Accent2 4 3 2 3 3 2 2" xfId="21826" xr:uid="{00000000-0005-0000-0000-0000AD5F0000}"/>
    <cellStyle name="40% - Accent2 4 3 2 3 3 2 2 2" xfId="44428" xr:uid="{00000000-0005-0000-0000-0000AE5F0000}"/>
    <cellStyle name="40% - Accent2 4 3 2 3 3 2 3" xfId="33127" xr:uid="{00000000-0005-0000-0000-0000AF5F0000}"/>
    <cellStyle name="40% - Accent2 4 3 2 3 3 3" xfId="16176" xr:uid="{00000000-0005-0000-0000-0000B05F0000}"/>
    <cellStyle name="40% - Accent2 4 3 2 3 3 3 2" xfId="38778" xr:uid="{00000000-0005-0000-0000-0000B15F0000}"/>
    <cellStyle name="40% - Accent2 4 3 2 3 3 4" xfId="27477" xr:uid="{00000000-0005-0000-0000-0000B25F0000}"/>
    <cellStyle name="40% - Accent2 4 3 2 3 4" xfId="7062" xr:uid="{00000000-0005-0000-0000-0000B35F0000}"/>
    <cellStyle name="40% - Accent2 4 3 2 3 4 2" xfId="18363" xr:uid="{00000000-0005-0000-0000-0000B45F0000}"/>
    <cellStyle name="40% - Accent2 4 3 2 3 4 2 2" xfId="40965" xr:uid="{00000000-0005-0000-0000-0000B55F0000}"/>
    <cellStyle name="40% - Accent2 4 3 2 3 4 3" xfId="29664" xr:uid="{00000000-0005-0000-0000-0000B65F0000}"/>
    <cellStyle name="40% - Accent2 4 3 2 3 5" xfId="12713" xr:uid="{00000000-0005-0000-0000-0000B75F0000}"/>
    <cellStyle name="40% - Accent2 4 3 2 3 5 2" xfId="35315" xr:uid="{00000000-0005-0000-0000-0000B85F0000}"/>
    <cellStyle name="40% - Accent2 4 3 2 3 6" xfId="24014" xr:uid="{00000000-0005-0000-0000-0000B95F0000}"/>
    <cellStyle name="40% - Accent2 4 3 2 4" xfId="1874" xr:uid="{00000000-0005-0000-0000-0000BA5F0000}"/>
    <cellStyle name="40% - Accent2 4 3 2 4 2" xfId="3737" xr:uid="{00000000-0005-0000-0000-0000BB5F0000}"/>
    <cellStyle name="40% - Accent2 4 3 2 4 2 2" xfId="9447" xr:uid="{00000000-0005-0000-0000-0000BC5F0000}"/>
    <cellStyle name="40% - Accent2 4 3 2 4 2 2 2" xfId="20748" xr:uid="{00000000-0005-0000-0000-0000BD5F0000}"/>
    <cellStyle name="40% - Accent2 4 3 2 4 2 2 2 2" xfId="43350" xr:uid="{00000000-0005-0000-0000-0000BE5F0000}"/>
    <cellStyle name="40% - Accent2 4 3 2 4 2 2 3" xfId="32049" xr:uid="{00000000-0005-0000-0000-0000BF5F0000}"/>
    <cellStyle name="40% - Accent2 4 3 2 4 2 3" xfId="15098" xr:uid="{00000000-0005-0000-0000-0000C05F0000}"/>
    <cellStyle name="40% - Accent2 4 3 2 4 2 3 2" xfId="37700" xr:uid="{00000000-0005-0000-0000-0000C15F0000}"/>
    <cellStyle name="40% - Accent2 4 3 2 4 2 4" xfId="26399" xr:uid="{00000000-0005-0000-0000-0000C25F0000}"/>
    <cellStyle name="40% - Accent2 4 3 2 4 3" xfId="5485" xr:uid="{00000000-0005-0000-0000-0000C35F0000}"/>
    <cellStyle name="40% - Accent2 4 3 2 4 3 2" xfId="11135" xr:uid="{00000000-0005-0000-0000-0000C45F0000}"/>
    <cellStyle name="40% - Accent2 4 3 2 4 3 2 2" xfId="22436" xr:uid="{00000000-0005-0000-0000-0000C55F0000}"/>
    <cellStyle name="40% - Accent2 4 3 2 4 3 2 2 2" xfId="45038" xr:uid="{00000000-0005-0000-0000-0000C65F0000}"/>
    <cellStyle name="40% - Accent2 4 3 2 4 3 2 3" xfId="33737" xr:uid="{00000000-0005-0000-0000-0000C75F0000}"/>
    <cellStyle name="40% - Accent2 4 3 2 4 3 3" xfId="16786" xr:uid="{00000000-0005-0000-0000-0000C85F0000}"/>
    <cellStyle name="40% - Accent2 4 3 2 4 3 3 2" xfId="39388" xr:uid="{00000000-0005-0000-0000-0000C95F0000}"/>
    <cellStyle name="40% - Accent2 4 3 2 4 3 4" xfId="28087" xr:uid="{00000000-0005-0000-0000-0000CA5F0000}"/>
    <cellStyle name="40% - Accent2 4 3 2 4 4" xfId="7730" xr:uid="{00000000-0005-0000-0000-0000CB5F0000}"/>
    <cellStyle name="40% - Accent2 4 3 2 4 4 2" xfId="19031" xr:uid="{00000000-0005-0000-0000-0000CC5F0000}"/>
    <cellStyle name="40% - Accent2 4 3 2 4 4 2 2" xfId="41633" xr:uid="{00000000-0005-0000-0000-0000CD5F0000}"/>
    <cellStyle name="40% - Accent2 4 3 2 4 4 3" xfId="30332" xr:uid="{00000000-0005-0000-0000-0000CE5F0000}"/>
    <cellStyle name="40% - Accent2 4 3 2 4 5" xfId="13381" xr:uid="{00000000-0005-0000-0000-0000CF5F0000}"/>
    <cellStyle name="40% - Accent2 4 3 2 4 5 2" xfId="35983" xr:uid="{00000000-0005-0000-0000-0000D05F0000}"/>
    <cellStyle name="40% - Accent2 4 3 2 4 6" xfId="24682" xr:uid="{00000000-0005-0000-0000-0000D15F0000}"/>
    <cellStyle name="40% - Accent2 4 3 2 5" xfId="2466" xr:uid="{00000000-0005-0000-0000-0000D25F0000}"/>
    <cellStyle name="40% - Accent2 4 3 2 5 2" xfId="8302" xr:uid="{00000000-0005-0000-0000-0000D35F0000}"/>
    <cellStyle name="40% - Accent2 4 3 2 5 2 2" xfId="19603" xr:uid="{00000000-0005-0000-0000-0000D45F0000}"/>
    <cellStyle name="40% - Accent2 4 3 2 5 2 2 2" xfId="42205" xr:uid="{00000000-0005-0000-0000-0000D55F0000}"/>
    <cellStyle name="40% - Accent2 4 3 2 5 2 3" xfId="30904" xr:uid="{00000000-0005-0000-0000-0000D65F0000}"/>
    <cellStyle name="40% - Accent2 4 3 2 5 3" xfId="13953" xr:uid="{00000000-0005-0000-0000-0000D75F0000}"/>
    <cellStyle name="40% - Accent2 4 3 2 5 3 2" xfId="36555" xr:uid="{00000000-0005-0000-0000-0000D85F0000}"/>
    <cellStyle name="40% - Accent2 4 3 2 5 4" xfId="25254" xr:uid="{00000000-0005-0000-0000-0000D95F0000}"/>
    <cellStyle name="40% - Accent2 4 3 2 6" xfId="4251" xr:uid="{00000000-0005-0000-0000-0000DA5F0000}"/>
    <cellStyle name="40% - Accent2 4 3 2 6 2" xfId="9901" xr:uid="{00000000-0005-0000-0000-0000DB5F0000}"/>
    <cellStyle name="40% - Accent2 4 3 2 6 2 2" xfId="21202" xr:uid="{00000000-0005-0000-0000-0000DC5F0000}"/>
    <cellStyle name="40% - Accent2 4 3 2 6 2 2 2" xfId="43804" xr:uid="{00000000-0005-0000-0000-0000DD5F0000}"/>
    <cellStyle name="40% - Accent2 4 3 2 6 2 3" xfId="32503" xr:uid="{00000000-0005-0000-0000-0000DE5F0000}"/>
    <cellStyle name="40% - Accent2 4 3 2 6 3" xfId="15552" xr:uid="{00000000-0005-0000-0000-0000DF5F0000}"/>
    <cellStyle name="40% - Accent2 4 3 2 6 3 2" xfId="38154" xr:uid="{00000000-0005-0000-0000-0000E05F0000}"/>
    <cellStyle name="40% - Accent2 4 3 2 6 4" xfId="26853" xr:uid="{00000000-0005-0000-0000-0000E15F0000}"/>
    <cellStyle name="40% - Accent2 4 3 2 7" xfId="6731" xr:uid="{00000000-0005-0000-0000-0000E25F0000}"/>
    <cellStyle name="40% - Accent2 4 3 2 7 2" xfId="18032" xr:uid="{00000000-0005-0000-0000-0000E35F0000}"/>
    <cellStyle name="40% - Accent2 4 3 2 7 2 2" xfId="40634" xr:uid="{00000000-0005-0000-0000-0000E45F0000}"/>
    <cellStyle name="40% - Accent2 4 3 2 7 3" xfId="29333" xr:uid="{00000000-0005-0000-0000-0000E55F0000}"/>
    <cellStyle name="40% - Accent2 4 3 2 8" xfId="12382" xr:uid="{00000000-0005-0000-0000-0000E65F0000}"/>
    <cellStyle name="40% - Accent2 4 3 2 8 2" xfId="34984" xr:uid="{00000000-0005-0000-0000-0000E75F0000}"/>
    <cellStyle name="40% - Accent2 4 3 2 9" xfId="23683" xr:uid="{00000000-0005-0000-0000-0000E85F0000}"/>
    <cellStyle name="40% - Accent2 4 3 3" xfId="1238" xr:uid="{00000000-0005-0000-0000-0000E95F0000}"/>
    <cellStyle name="40% - Accent2 4 3 3 2" xfId="1876" xr:uid="{00000000-0005-0000-0000-0000EA5F0000}"/>
    <cellStyle name="40% - Accent2 4 3 3 2 2" xfId="3306" xr:uid="{00000000-0005-0000-0000-0000EB5F0000}"/>
    <cellStyle name="40% - Accent2 4 3 3 2 2 2" xfId="6278" xr:uid="{00000000-0005-0000-0000-0000EC5F0000}"/>
    <cellStyle name="40% - Accent2 4 3 3 2 2 2 2" xfId="11928" xr:uid="{00000000-0005-0000-0000-0000ED5F0000}"/>
    <cellStyle name="40% - Accent2 4 3 3 2 2 2 2 2" xfId="23229" xr:uid="{00000000-0005-0000-0000-0000EE5F0000}"/>
    <cellStyle name="40% - Accent2 4 3 3 2 2 2 2 2 2" xfId="45831" xr:uid="{00000000-0005-0000-0000-0000EF5F0000}"/>
    <cellStyle name="40% - Accent2 4 3 3 2 2 2 2 3" xfId="34530" xr:uid="{00000000-0005-0000-0000-0000F05F0000}"/>
    <cellStyle name="40% - Accent2 4 3 3 2 2 2 3" xfId="17579" xr:uid="{00000000-0005-0000-0000-0000F15F0000}"/>
    <cellStyle name="40% - Accent2 4 3 3 2 2 2 3 2" xfId="40181" xr:uid="{00000000-0005-0000-0000-0000F25F0000}"/>
    <cellStyle name="40% - Accent2 4 3 3 2 2 2 4" xfId="28880" xr:uid="{00000000-0005-0000-0000-0000F35F0000}"/>
    <cellStyle name="40% - Accent2 4 3 3 2 2 3" xfId="9096" xr:uid="{00000000-0005-0000-0000-0000F45F0000}"/>
    <cellStyle name="40% - Accent2 4 3 3 2 2 3 2" xfId="20397" xr:uid="{00000000-0005-0000-0000-0000F55F0000}"/>
    <cellStyle name="40% - Accent2 4 3 3 2 2 3 2 2" xfId="42999" xr:uid="{00000000-0005-0000-0000-0000F65F0000}"/>
    <cellStyle name="40% - Accent2 4 3 3 2 2 3 3" xfId="31698" xr:uid="{00000000-0005-0000-0000-0000F75F0000}"/>
    <cellStyle name="40% - Accent2 4 3 3 2 2 4" xfId="14747" xr:uid="{00000000-0005-0000-0000-0000F85F0000}"/>
    <cellStyle name="40% - Accent2 4 3 3 2 2 4 2" xfId="37349" xr:uid="{00000000-0005-0000-0000-0000F95F0000}"/>
    <cellStyle name="40% - Accent2 4 3 3 2 2 5" xfId="26048" xr:uid="{00000000-0005-0000-0000-0000FA5F0000}"/>
    <cellStyle name="40% - Accent2 4 3 3 2 3" xfId="5044" xr:uid="{00000000-0005-0000-0000-0000FB5F0000}"/>
    <cellStyle name="40% - Accent2 4 3 3 2 3 2" xfId="10694" xr:uid="{00000000-0005-0000-0000-0000FC5F0000}"/>
    <cellStyle name="40% - Accent2 4 3 3 2 3 2 2" xfId="21995" xr:uid="{00000000-0005-0000-0000-0000FD5F0000}"/>
    <cellStyle name="40% - Accent2 4 3 3 2 3 2 2 2" xfId="44597" xr:uid="{00000000-0005-0000-0000-0000FE5F0000}"/>
    <cellStyle name="40% - Accent2 4 3 3 2 3 2 3" xfId="33296" xr:uid="{00000000-0005-0000-0000-0000FF5F0000}"/>
    <cellStyle name="40% - Accent2 4 3 3 2 3 3" xfId="16345" xr:uid="{00000000-0005-0000-0000-000000600000}"/>
    <cellStyle name="40% - Accent2 4 3 3 2 3 3 2" xfId="38947" xr:uid="{00000000-0005-0000-0000-000001600000}"/>
    <cellStyle name="40% - Accent2 4 3 3 2 3 4" xfId="27646" xr:uid="{00000000-0005-0000-0000-000002600000}"/>
    <cellStyle name="40% - Accent2 4 3 3 2 4" xfId="7732" xr:uid="{00000000-0005-0000-0000-000003600000}"/>
    <cellStyle name="40% - Accent2 4 3 3 2 4 2" xfId="19033" xr:uid="{00000000-0005-0000-0000-000004600000}"/>
    <cellStyle name="40% - Accent2 4 3 3 2 4 2 2" xfId="41635" xr:uid="{00000000-0005-0000-0000-000005600000}"/>
    <cellStyle name="40% - Accent2 4 3 3 2 4 3" xfId="30334" xr:uid="{00000000-0005-0000-0000-000006600000}"/>
    <cellStyle name="40% - Accent2 4 3 3 2 5" xfId="13383" xr:uid="{00000000-0005-0000-0000-000007600000}"/>
    <cellStyle name="40% - Accent2 4 3 3 2 5 2" xfId="35985" xr:uid="{00000000-0005-0000-0000-000008600000}"/>
    <cellStyle name="40% - Accent2 4 3 3 2 6" xfId="24684" xr:uid="{00000000-0005-0000-0000-000009600000}"/>
    <cellStyle name="40% - Accent2 4 3 3 3" xfId="2635" xr:uid="{00000000-0005-0000-0000-00000A600000}"/>
    <cellStyle name="40% - Accent2 4 3 3 3 2" xfId="5654" xr:uid="{00000000-0005-0000-0000-00000B600000}"/>
    <cellStyle name="40% - Accent2 4 3 3 3 2 2" xfId="11304" xr:uid="{00000000-0005-0000-0000-00000C600000}"/>
    <cellStyle name="40% - Accent2 4 3 3 3 2 2 2" xfId="22605" xr:uid="{00000000-0005-0000-0000-00000D600000}"/>
    <cellStyle name="40% - Accent2 4 3 3 3 2 2 2 2" xfId="45207" xr:uid="{00000000-0005-0000-0000-00000E600000}"/>
    <cellStyle name="40% - Accent2 4 3 3 3 2 2 3" xfId="33906" xr:uid="{00000000-0005-0000-0000-00000F600000}"/>
    <cellStyle name="40% - Accent2 4 3 3 3 2 3" xfId="16955" xr:uid="{00000000-0005-0000-0000-000010600000}"/>
    <cellStyle name="40% - Accent2 4 3 3 3 2 3 2" xfId="39557" xr:uid="{00000000-0005-0000-0000-000011600000}"/>
    <cellStyle name="40% - Accent2 4 3 3 3 2 4" xfId="28256" xr:uid="{00000000-0005-0000-0000-000012600000}"/>
    <cellStyle name="40% - Accent2 4 3 3 3 3" xfId="8471" xr:uid="{00000000-0005-0000-0000-000013600000}"/>
    <cellStyle name="40% - Accent2 4 3 3 3 3 2" xfId="19772" xr:uid="{00000000-0005-0000-0000-000014600000}"/>
    <cellStyle name="40% - Accent2 4 3 3 3 3 2 2" xfId="42374" xr:uid="{00000000-0005-0000-0000-000015600000}"/>
    <cellStyle name="40% - Accent2 4 3 3 3 3 3" xfId="31073" xr:uid="{00000000-0005-0000-0000-000016600000}"/>
    <cellStyle name="40% - Accent2 4 3 3 3 4" xfId="14122" xr:uid="{00000000-0005-0000-0000-000017600000}"/>
    <cellStyle name="40% - Accent2 4 3 3 3 4 2" xfId="36724" xr:uid="{00000000-0005-0000-0000-000018600000}"/>
    <cellStyle name="40% - Accent2 4 3 3 3 5" xfId="25423" xr:uid="{00000000-0005-0000-0000-000019600000}"/>
    <cellStyle name="40% - Accent2 4 3 3 4" xfId="4420" xr:uid="{00000000-0005-0000-0000-00001A600000}"/>
    <cellStyle name="40% - Accent2 4 3 3 4 2" xfId="10070" xr:uid="{00000000-0005-0000-0000-00001B600000}"/>
    <cellStyle name="40% - Accent2 4 3 3 4 2 2" xfId="21371" xr:uid="{00000000-0005-0000-0000-00001C600000}"/>
    <cellStyle name="40% - Accent2 4 3 3 4 2 2 2" xfId="43973" xr:uid="{00000000-0005-0000-0000-00001D600000}"/>
    <cellStyle name="40% - Accent2 4 3 3 4 2 3" xfId="32672" xr:uid="{00000000-0005-0000-0000-00001E600000}"/>
    <cellStyle name="40% - Accent2 4 3 3 4 3" xfId="15721" xr:uid="{00000000-0005-0000-0000-00001F600000}"/>
    <cellStyle name="40% - Accent2 4 3 3 4 3 2" xfId="38323" xr:uid="{00000000-0005-0000-0000-000020600000}"/>
    <cellStyle name="40% - Accent2 4 3 3 4 4" xfId="27022" xr:uid="{00000000-0005-0000-0000-000021600000}"/>
    <cellStyle name="40% - Accent2 4 3 3 5" xfId="7217" xr:uid="{00000000-0005-0000-0000-000022600000}"/>
    <cellStyle name="40% - Accent2 4 3 3 5 2" xfId="18518" xr:uid="{00000000-0005-0000-0000-000023600000}"/>
    <cellStyle name="40% - Accent2 4 3 3 5 2 2" xfId="41120" xr:uid="{00000000-0005-0000-0000-000024600000}"/>
    <cellStyle name="40% - Accent2 4 3 3 5 3" xfId="29819" xr:uid="{00000000-0005-0000-0000-000025600000}"/>
    <cellStyle name="40% - Accent2 4 3 3 6" xfId="12868" xr:uid="{00000000-0005-0000-0000-000026600000}"/>
    <cellStyle name="40% - Accent2 4 3 3 6 2" xfId="35470" xr:uid="{00000000-0005-0000-0000-000027600000}"/>
    <cellStyle name="40% - Accent2 4 3 3 7" xfId="24169" xr:uid="{00000000-0005-0000-0000-000028600000}"/>
    <cellStyle name="40% - Accent2 4 3 4" xfId="929" xr:uid="{00000000-0005-0000-0000-000029600000}"/>
    <cellStyle name="40% - Accent2 4 3 4 2" xfId="2999" xr:uid="{00000000-0005-0000-0000-00002A600000}"/>
    <cellStyle name="40% - Accent2 4 3 4 2 2" xfId="5971" xr:uid="{00000000-0005-0000-0000-00002B600000}"/>
    <cellStyle name="40% - Accent2 4 3 4 2 2 2" xfId="11621" xr:uid="{00000000-0005-0000-0000-00002C600000}"/>
    <cellStyle name="40% - Accent2 4 3 4 2 2 2 2" xfId="22922" xr:uid="{00000000-0005-0000-0000-00002D600000}"/>
    <cellStyle name="40% - Accent2 4 3 4 2 2 2 2 2" xfId="45524" xr:uid="{00000000-0005-0000-0000-00002E600000}"/>
    <cellStyle name="40% - Accent2 4 3 4 2 2 2 3" xfId="34223" xr:uid="{00000000-0005-0000-0000-00002F600000}"/>
    <cellStyle name="40% - Accent2 4 3 4 2 2 3" xfId="17272" xr:uid="{00000000-0005-0000-0000-000030600000}"/>
    <cellStyle name="40% - Accent2 4 3 4 2 2 3 2" xfId="39874" xr:uid="{00000000-0005-0000-0000-000031600000}"/>
    <cellStyle name="40% - Accent2 4 3 4 2 2 4" xfId="28573" xr:uid="{00000000-0005-0000-0000-000032600000}"/>
    <cellStyle name="40% - Accent2 4 3 4 2 3" xfId="8789" xr:uid="{00000000-0005-0000-0000-000033600000}"/>
    <cellStyle name="40% - Accent2 4 3 4 2 3 2" xfId="20090" xr:uid="{00000000-0005-0000-0000-000034600000}"/>
    <cellStyle name="40% - Accent2 4 3 4 2 3 2 2" xfId="42692" xr:uid="{00000000-0005-0000-0000-000035600000}"/>
    <cellStyle name="40% - Accent2 4 3 4 2 3 3" xfId="31391" xr:uid="{00000000-0005-0000-0000-000036600000}"/>
    <cellStyle name="40% - Accent2 4 3 4 2 4" xfId="14440" xr:uid="{00000000-0005-0000-0000-000037600000}"/>
    <cellStyle name="40% - Accent2 4 3 4 2 4 2" xfId="37042" xr:uid="{00000000-0005-0000-0000-000038600000}"/>
    <cellStyle name="40% - Accent2 4 3 4 2 5" xfId="25741" xr:uid="{00000000-0005-0000-0000-000039600000}"/>
    <cellStyle name="40% - Accent2 4 3 4 3" xfId="4737" xr:uid="{00000000-0005-0000-0000-00003A600000}"/>
    <cellStyle name="40% - Accent2 4 3 4 3 2" xfId="10387" xr:uid="{00000000-0005-0000-0000-00003B600000}"/>
    <cellStyle name="40% - Accent2 4 3 4 3 2 2" xfId="21688" xr:uid="{00000000-0005-0000-0000-00003C600000}"/>
    <cellStyle name="40% - Accent2 4 3 4 3 2 2 2" xfId="44290" xr:uid="{00000000-0005-0000-0000-00003D600000}"/>
    <cellStyle name="40% - Accent2 4 3 4 3 2 3" xfId="32989" xr:uid="{00000000-0005-0000-0000-00003E600000}"/>
    <cellStyle name="40% - Accent2 4 3 4 3 3" xfId="16038" xr:uid="{00000000-0005-0000-0000-00003F600000}"/>
    <cellStyle name="40% - Accent2 4 3 4 3 3 2" xfId="38640" xr:uid="{00000000-0005-0000-0000-000040600000}"/>
    <cellStyle name="40% - Accent2 4 3 4 3 4" xfId="27339" xr:uid="{00000000-0005-0000-0000-000041600000}"/>
    <cellStyle name="40% - Accent2 4 3 4 4" xfId="6924" xr:uid="{00000000-0005-0000-0000-000042600000}"/>
    <cellStyle name="40% - Accent2 4 3 4 4 2" xfId="18225" xr:uid="{00000000-0005-0000-0000-000043600000}"/>
    <cellStyle name="40% - Accent2 4 3 4 4 2 2" xfId="40827" xr:uid="{00000000-0005-0000-0000-000044600000}"/>
    <cellStyle name="40% - Accent2 4 3 4 4 3" xfId="29526" xr:uid="{00000000-0005-0000-0000-000045600000}"/>
    <cellStyle name="40% - Accent2 4 3 4 5" xfId="12575" xr:uid="{00000000-0005-0000-0000-000046600000}"/>
    <cellStyle name="40% - Accent2 4 3 4 5 2" xfId="35177" xr:uid="{00000000-0005-0000-0000-000047600000}"/>
    <cellStyle name="40% - Accent2 4 3 4 6" xfId="23876" xr:uid="{00000000-0005-0000-0000-000048600000}"/>
    <cellStyle name="40% - Accent2 4 3 5" xfId="1873" xr:uid="{00000000-0005-0000-0000-000049600000}"/>
    <cellStyle name="40% - Accent2 4 3 5 2" xfId="3736" xr:uid="{00000000-0005-0000-0000-00004A600000}"/>
    <cellStyle name="40% - Accent2 4 3 5 2 2" xfId="9446" xr:uid="{00000000-0005-0000-0000-00004B600000}"/>
    <cellStyle name="40% - Accent2 4 3 5 2 2 2" xfId="20747" xr:uid="{00000000-0005-0000-0000-00004C600000}"/>
    <cellStyle name="40% - Accent2 4 3 5 2 2 2 2" xfId="43349" xr:uid="{00000000-0005-0000-0000-00004D600000}"/>
    <cellStyle name="40% - Accent2 4 3 5 2 2 3" xfId="32048" xr:uid="{00000000-0005-0000-0000-00004E600000}"/>
    <cellStyle name="40% - Accent2 4 3 5 2 3" xfId="15097" xr:uid="{00000000-0005-0000-0000-00004F600000}"/>
    <cellStyle name="40% - Accent2 4 3 5 2 3 2" xfId="37699" xr:uid="{00000000-0005-0000-0000-000050600000}"/>
    <cellStyle name="40% - Accent2 4 3 5 2 4" xfId="26398" xr:uid="{00000000-0005-0000-0000-000051600000}"/>
    <cellStyle name="40% - Accent2 4 3 5 3" xfId="5347" xr:uid="{00000000-0005-0000-0000-000052600000}"/>
    <cellStyle name="40% - Accent2 4 3 5 3 2" xfId="10997" xr:uid="{00000000-0005-0000-0000-000053600000}"/>
    <cellStyle name="40% - Accent2 4 3 5 3 2 2" xfId="22298" xr:uid="{00000000-0005-0000-0000-000054600000}"/>
    <cellStyle name="40% - Accent2 4 3 5 3 2 2 2" xfId="44900" xr:uid="{00000000-0005-0000-0000-000055600000}"/>
    <cellStyle name="40% - Accent2 4 3 5 3 2 3" xfId="33599" xr:uid="{00000000-0005-0000-0000-000056600000}"/>
    <cellStyle name="40% - Accent2 4 3 5 3 3" xfId="16648" xr:uid="{00000000-0005-0000-0000-000057600000}"/>
    <cellStyle name="40% - Accent2 4 3 5 3 3 2" xfId="39250" xr:uid="{00000000-0005-0000-0000-000058600000}"/>
    <cellStyle name="40% - Accent2 4 3 5 3 4" xfId="27949" xr:uid="{00000000-0005-0000-0000-000059600000}"/>
    <cellStyle name="40% - Accent2 4 3 5 4" xfId="7729" xr:uid="{00000000-0005-0000-0000-00005A600000}"/>
    <cellStyle name="40% - Accent2 4 3 5 4 2" xfId="19030" xr:uid="{00000000-0005-0000-0000-00005B600000}"/>
    <cellStyle name="40% - Accent2 4 3 5 4 2 2" xfId="41632" xr:uid="{00000000-0005-0000-0000-00005C600000}"/>
    <cellStyle name="40% - Accent2 4 3 5 4 3" xfId="30331" xr:uid="{00000000-0005-0000-0000-00005D600000}"/>
    <cellStyle name="40% - Accent2 4 3 5 5" xfId="13380" xr:uid="{00000000-0005-0000-0000-00005E600000}"/>
    <cellStyle name="40% - Accent2 4 3 5 5 2" xfId="35982" xr:uid="{00000000-0005-0000-0000-00005F600000}"/>
    <cellStyle name="40% - Accent2 4 3 5 6" xfId="24681" xr:uid="{00000000-0005-0000-0000-000060600000}"/>
    <cellStyle name="40% - Accent2 4 3 6" xfId="2326" xr:uid="{00000000-0005-0000-0000-000061600000}"/>
    <cellStyle name="40% - Accent2 4 3 6 2" xfId="8162" xr:uid="{00000000-0005-0000-0000-000062600000}"/>
    <cellStyle name="40% - Accent2 4 3 6 2 2" xfId="19463" xr:uid="{00000000-0005-0000-0000-000063600000}"/>
    <cellStyle name="40% - Accent2 4 3 6 2 2 2" xfId="42065" xr:uid="{00000000-0005-0000-0000-000064600000}"/>
    <cellStyle name="40% - Accent2 4 3 6 2 3" xfId="30764" xr:uid="{00000000-0005-0000-0000-000065600000}"/>
    <cellStyle name="40% - Accent2 4 3 6 3" xfId="13813" xr:uid="{00000000-0005-0000-0000-000066600000}"/>
    <cellStyle name="40% - Accent2 4 3 6 3 2" xfId="36415" xr:uid="{00000000-0005-0000-0000-000067600000}"/>
    <cellStyle name="40% - Accent2 4 3 6 4" xfId="25114" xr:uid="{00000000-0005-0000-0000-000068600000}"/>
    <cellStyle name="40% - Accent2 4 3 7" xfId="4113" xr:uid="{00000000-0005-0000-0000-000069600000}"/>
    <cellStyle name="40% - Accent2 4 3 7 2" xfId="9763" xr:uid="{00000000-0005-0000-0000-00006A600000}"/>
    <cellStyle name="40% - Accent2 4 3 7 2 2" xfId="21064" xr:uid="{00000000-0005-0000-0000-00006B600000}"/>
    <cellStyle name="40% - Accent2 4 3 7 2 2 2" xfId="43666" xr:uid="{00000000-0005-0000-0000-00006C600000}"/>
    <cellStyle name="40% - Accent2 4 3 7 2 3" xfId="32365" xr:uid="{00000000-0005-0000-0000-00006D600000}"/>
    <cellStyle name="40% - Accent2 4 3 7 3" xfId="15414" xr:uid="{00000000-0005-0000-0000-00006E600000}"/>
    <cellStyle name="40% - Accent2 4 3 7 3 2" xfId="38016" xr:uid="{00000000-0005-0000-0000-00006F600000}"/>
    <cellStyle name="40% - Accent2 4 3 7 4" xfId="26715" xr:uid="{00000000-0005-0000-0000-000070600000}"/>
    <cellStyle name="40% - Accent2 4 3 8" xfId="6564" xr:uid="{00000000-0005-0000-0000-000071600000}"/>
    <cellStyle name="40% - Accent2 4 3 8 2" xfId="17865" xr:uid="{00000000-0005-0000-0000-000072600000}"/>
    <cellStyle name="40% - Accent2 4 3 8 2 2" xfId="40467" xr:uid="{00000000-0005-0000-0000-000073600000}"/>
    <cellStyle name="40% - Accent2 4 3 8 3" xfId="29166" xr:uid="{00000000-0005-0000-0000-000074600000}"/>
    <cellStyle name="40% - Accent2 4 3 9" xfId="12215" xr:uid="{00000000-0005-0000-0000-000075600000}"/>
    <cellStyle name="40% - Accent2 4 3 9 2" xfId="34817" xr:uid="{00000000-0005-0000-0000-000076600000}"/>
    <cellStyle name="40% - Accent2 4 4" xfId="568" xr:uid="{00000000-0005-0000-0000-000077600000}"/>
    <cellStyle name="40% - Accent2 4 4 2" xfId="1142" xr:uid="{00000000-0005-0000-0000-000078600000}"/>
    <cellStyle name="40% - Accent2 4 4 2 2" xfId="1878" xr:uid="{00000000-0005-0000-0000-000079600000}"/>
    <cellStyle name="40% - Accent2 4 4 2 2 2" xfId="3210" xr:uid="{00000000-0005-0000-0000-00007A600000}"/>
    <cellStyle name="40% - Accent2 4 4 2 2 2 2" xfId="6182" xr:uid="{00000000-0005-0000-0000-00007B600000}"/>
    <cellStyle name="40% - Accent2 4 4 2 2 2 2 2" xfId="11832" xr:uid="{00000000-0005-0000-0000-00007C600000}"/>
    <cellStyle name="40% - Accent2 4 4 2 2 2 2 2 2" xfId="23133" xr:uid="{00000000-0005-0000-0000-00007D600000}"/>
    <cellStyle name="40% - Accent2 4 4 2 2 2 2 2 2 2" xfId="45735" xr:uid="{00000000-0005-0000-0000-00007E600000}"/>
    <cellStyle name="40% - Accent2 4 4 2 2 2 2 2 3" xfId="34434" xr:uid="{00000000-0005-0000-0000-00007F600000}"/>
    <cellStyle name="40% - Accent2 4 4 2 2 2 2 3" xfId="17483" xr:uid="{00000000-0005-0000-0000-000080600000}"/>
    <cellStyle name="40% - Accent2 4 4 2 2 2 2 3 2" xfId="40085" xr:uid="{00000000-0005-0000-0000-000081600000}"/>
    <cellStyle name="40% - Accent2 4 4 2 2 2 2 4" xfId="28784" xr:uid="{00000000-0005-0000-0000-000082600000}"/>
    <cellStyle name="40% - Accent2 4 4 2 2 2 3" xfId="9000" xr:uid="{00000000-0005-0000-0000-000083600000}"/>
    <cellStyle name="40% - Accent2 4 4 2 2 2 3 2" xfId="20301" xr:uid="{00000000-0005-0000-0000-000084600000}"/>
    <cellStyle name="40% - Accent2 4 4 2 2 2 3 2 2" xfId="42903" xr:uid="{00000000-0005-0000-0000-000085600000}"/>
    <cellStyle name="40% - Accent2 4 4 2 2 2 3 3" xfId="31602" xr:uid="{00000000-0005-0000-0000-000086600000}"/>
    <cellStyle name="40% - Accent2 4 4 2 2 2 4" xfId="14651" xr:uid="{00000000-0005-0000-0000-000087600000}"/>
    <cellStyle name="40% - Accent2 4 4 2 2 2 4 2" xfId="37253" xr:uid="{00000000-0005-0000-0000-000088600000}"/>
    <cellStyle name="40% - Accent2 4 4 2 2 2 5" xfId="25952" xr:uid="{00000000-0005-0000-0000-000089600000}"/>
    <cellStyle name="40% - Accent2 4 4 2 2 3" xfId="4948" xr:uid="{00000000-0005-0000-0000-00008A600000}"/>
    <cellStyle name="40% - Accent2 4 4 2 2 3 2" xfId="10598" xr:uid="{00000000-0005-0000-0000-00008B600000}"/>
    <cellStyle name="40% - Accent2 4 4 2 2 3 2 2" xfId="21899" xr:uid="{00000000-0005-0000-0000-00008C600000}"/>
    <cellStyle name="40% - Accent2 4 4 2 2 3 2 2 2" xfId="44501" xr:uid="{00000000-0005-0000-0000-00008D600000}"/>
    <cellStyle name="40% - Accent2 4 4 2 2 3 2 3" xfId="33200" xr:uid="{00000000-0005-0000-0000-00008E600000}"/>
    <cellStyle name="40% - Accent2 4 4 2 2 3 3" xfId="16249" xr:uid="{00000000-0005-0000-0000-00008F600000}"/>
    <cellStyle name="40% - Accent2 4 4 2 2 3 3 2" xfId="38851" xr:uid="{00000000-0005-0000-0000-000090600000}"/>
    <cellStyle name="40% - Accent2 4 4 2 2 3 4" xfId="27550" xr:uid="{00000000-0005-0000-0000-000091600000}"/>
    <cellStyle name="40% - Accent2 4 4 2 2 4" xfId="7734" xr:uid="{00000000-0005-0000-0000-000092600000}"/>
    <cellStyle name="40% - Accent2 4 4 2 2 4 2" xfId="19035" xr:uid="{00000000-0005-0000-0000-000093600000}"/>
    <cellStyle name="40% - Accent2 4 4 2 2 4 2 2" xfId="41637" xr:uid="{00000000-0005-0000-0000-000094600000}"/>
    <cellStyle name="40% - Accent2 4 4 2 2 4 3" xfId="30336" xr:uid="{00000000-0005-0000-0000-000095600000}"/>
    <cellStyle name="40% - Accent2 4 4 2 2 5" xfId="13385" xr:uid="{00000000-0005-0000-0000-000096600000}"/>
    <cellStyle name="40% - Accent2 4 4 2 2 5 2" xfId="35987" xr:uid="{00000000-0005-0000-0000-000097600000}"/>
    <cellStyle name="40% - Accent2 4 4 2 2 6" xfId="24686" xr:uid="{00000000-0005-0000-0000-000098600000}"/>
    <cellStyle name="40% - Accent2 4 4 2 3" xfId="2539" xr:uid="{00000000-0005-0000-0000-000099600000}"/>
    <cellStyle name="40% - Accent2 4 4 2 3 2" xfId="5558" xr:uid="{00000000-0005-0000-0000-00009A600000}"/>
    <cellStyle name="40% - Accent2 4 4 2 3 2 2" xfId="11208" xr:uid="{00000000-0005-0000-0000-00009B600000}"/>
    <cellStyle name="40% - Accent2 4 4 2 3 2 2 2" xfId="22509" xr:uid="{00000000-0005-0000-0000-00009C600000}"/>
    <cellStyle name="40% - Accent2 4 4 2 3 2 2 2 2" xfId="45111" xr:uid="{00000000-0005-0000-0000-00009D600000}"/>
    <cellStyle name="40% - Accent2 4 4 2 3 2 2 3" xfId="33810" xr:uid="{00000000-0005-0000-0000-00009E600000}"/>
    <cellStyle name="40% - Accent2 4 4 2 3 2 3" xfId="16859" xr:uid="{00000000-0005-0000-0000-00009F600000}"/>
    <cellStyle name="40% - Accent2 4 4 2 3 2 3 2" xfId="39461" xr:uid="{00000000-0005-0000-0000-0000A0600000}"/>
    <cellStyle name="40% - Accent2 4 4 2 3 2 4" xfId="28160" xr:uid="{00000000-0005-0000-0000-0000A1600000}"/>
    <cellStyle name="40% - Accent2 4 4 2 3 3" xfId="8375" xr:uid="{00000000-0005-0000-0000-0000A2600000}"/>
    <cellStyle name="40% - Accent2 4 4 2 3 3 2" xfId="19676" xr:uid="{00000000-0005-0000-0000-0000A3600000}"/>
    <cellStyle name="40% - Accent2 4 4 2 3 3 2 2" xfId="42278" xr:uid="{00000000-0005-0000-0000-0000A4600000}"/>
    <cellStyle name="40% - Accent2 4 4 2 3 3 3" xfId="30977" xr:uid="{00000000-0005-0000-0000-0000A5600000}"/>
    <cellStyle name="40% - Accent2 4 4 2 3 4" xfId="14026" xr:uid="{00000000-0005-0000-0000-0000A6600000}"/>
    <cellStyle name="40% - Accent2 4 4 2 3 4 2" xfId="36628" xr:uid="{00000000-0005-0000-0000-0000A7600000}"/>
    <cellStyle name="40% - Accent2 4 4 2 3 5" xfId="25327" xr:uid="{00000000-0005-0000-0000-0000A8600000}"/>
    <cellStyle name="40% - Accent2 4 4 2 4" xfId="4324" xr:uid="{00000000-0005-0000-0000-0000A9600000}"/>
    <cellStyle name="40% - Accent2 4 4 2 4 2" xfId="9974" xr:uid="{00000000-0005-0000-0000-0000AA600000}"/>
    <cellStyle name="40% - Accent2 4 4 2 4 2 2" xfId="21275" xr:uid="{00000000-0005-0000-0000-0000AB600000}"/>
    <cellStyle name="40% - Accent2 4 4 2 4 2 2 2" xfId="43877" xr:uid="{00000000-0005-0000-0000-0000AC600000}"/>
    <cellStyle name="40% - Accent2 4 4 2 4 2 3" xfId="32576" xr:uid="{00000000-0005-0000-0000-0000AD600000}"/>
    <cellStyle name="40% - Accent2 4 4 2 4 3" xfId="15625" xr:uid="{00000000-0005-0000-0000-0000AE600000}"/>
    <cellStyle name="40% - Accent2 4 4 2 4 3 2" xfId="38227" xr:uid="{00000000-0005-0000-0000-0000AF600000}"/>
    <cellStyle name="40% - Accent2 4 4 2 4 4" xfId="26926" xr:uid="{00000000-0005-0000-0000-0000B0600000}"/>
    <cellStyle name="40% - Accent2 4 4 2 5" xfId="7121" xr:uid="{00000000-0005-0000-0000-0000B1600000}"/>
    <cellStyle name="40% - Accent2 4 4 2 5 2" xfId="18422" xr:uid="{00000000-0005-0000-0000-0000B2600000}"/>
    <cellStyle name="40% - Accent2 4 4 2 5 2 2" xfId="41024" xr:uid="{00000000-0005-0000-0000-0000B3600000}"/>
    <cellStyle name="40% - Accent2 4 4 2 5 3" xfId="29723" xr:uid="{00000000-0005-0000-0000-0000B4600000}"/>
    <cellStyle name="40% - Accent2 4 4 2 6" xfId="12772" xr:uid="{00000000-0005-0000-0000-0000B5600000}"/>
    <cellStyle name="40% - Accent2 4 4 2 6 2" xfId="35374" xr:uid="{00000000-0005-0000-0000-0000B6600000}"/>
    <cellStyle name="40% - Accent2 4 4 2 7" xfId="24073" xr:uid="{00000000-0005-0000-0000-0000B7600000}"/>
    <cellStyle name="40% - Accent2 4 4 3" xfId="816" xr:uid="{00000000-0005-0000-0000-0000B8600000}"/>
    <cellStyle name="40% - Accent2 4 4 3 2" xfId="2903" xr:uid="{00000000-0005-0000-0000-0000B9600000}"/>
    <cellStyle name="40% - Accent2 4 4 3 2 2" xfId="5875" xr:uid="{00000000-0005-0000-0000-0000BA600000}"/>
    <cellStyle name="40% - Accent2 4 4 3 2 2 2" xfId="11525" xr:uid="{00000000-0005-0000-0000-0000BB600000}"/>
    <cellStyle name="40% - Accent2 4 4 3 2 2 2 2" xfId="22826" xr:uid="{00000000-0005-0000-0000-0000BC600000}"/>
    <cellStyle name="40% - Accent2 4 4 3 2 2 2 2 2" xfId="45428" xr:uid="{00000000-0005-0000-0000-0000BD600000}"/>
    <cellStyle name="40% - Accent2 4 4 3 2 2 2 3" xfId="34127" xr:uid="{00000000-0005-0000-0000-0000BE600000}"/>
    <cellStyle name="40% - Accent2 4 4 3 2 2 3" xfId="17176" xr:uid="{00000000-0005-0000-0000-0000BF600000}"/>
    <cellStyle name="40% - Accent2 4 4 3 2 2 3 2" xfId="39778" xr:uid="{00000000-0005-0000-0000-0000C0600000}"/>
    <cellStyle name="40% - Accent2 4 4 3 2 2 4" xfId="28477" xr:uid="{00000000-0005-0000-0000-0000C1600000}"/>
    <cellStyle name="40% - Accent2 4 4 3 2 3" xfId="8693" xr:uid="{00000000-0005-0000-0000-0000C2600000}"/>
    <cellStyle name="40% - Accent2 4 4 3 2 3 2" xfId="19994" xr:uid="{00000000-0005-0000-0000-0000C3600000}"/>
    <cellStyle name="40% - Accent2 4 4 3 2 3 2 2" xfId="42596" xr:uid="{00000000-0005-0000-0000-0000C4600000}"/>
    <cellStyle name="40% - Accent2 4 4 3 2 3 3" xfId="31295" xr:uid="{00000000-0005-0000-0000-0000C5600000}"/>
    <cellStyle name="40% - Accent2 4 4 3 2 4" xfId="14344" xr:uid="{00000000-0005-0000-0000-0000C6600000}"/>
    <cellStyle name="40% - Accent2 4 4 3 2 4 2" xfId="36946" xr:uid="{00000000-0005-0000-0000-0000C7600000}"/>
    <cellStyle name="40% - Accent2 4 4 3 2 5" xfId="25645" xr:uid="{00000000-0005-0000-0000-0000C8600000}"/>
    <cellStyle name="40% - Accent2 4 4 3 3" xfId="4641" xr:uid="{00000000-0005-0000-0000-0000C9600000}"/>
    <cellStyle name="40% - Accent2 4 4 3 3 2" xfId="10291" xr:uid="{00000000-0005-0000-0000-0000CA600000}"/>
    <cellStyle name="40% - Accent2 4 4 3 3 2 2" xfId="21592" xr:uid="{00000000-0005-0000-0000-0000CB600000}"/>
    <cellStyle name="40% - Accent2 4 4 3 3 2 2 2" xfId="44194" xr:uid="{00000000-0005-0000-0000-0000CC600000}"/>
    <cellStyle name="40% - Accent2 4 4 3 3 2 3" xfId="32893" xr:uid="{00000000-0005-0000-0000-0000CD600000}"/>
    <cellStyle name="40% - Accent2 4 4 3 3 3" xfId="15942" xr:uid="{00000000-0005-0000-0000-0000CE600000}"/>
    <cellStyle name="40% - Accent2 4 4 3 3 3 2" xfId="38544" xr:uid="{00000000-0005-0000-0000-0000CF600000}"/>
    <cellStyle name="40% - Accent2 4 4 3 3 4" xfId="27243" xr:uid="{00000000-0005-0000-0000-0000D0600000}"/>
    <cellStyle name="40% - Accent2 4 4 3 4" xfId="6824" xr:uid="{00000000-0005-0000-0000-0000D1600000}"/>
    <cellStyle name="40% - Accent2 4 4 3 4 2" xfId="18125" xr:uid="{00000000-0005-0000-0000-0000D2600000}"/>
    <cellStyle name="40% - Accent2 4 4 3 4 2 2" xfId="40727" xr:uid="{00000000-0005-0000-0000-0000D3600000}"/>
    <cellStyle name="40% - Accent2 4 4 3 4 3" xfId="29426" xr:uid="{00000000-0005-0000-0000-0000D4600000}"/>
    <cellStyle name="40% - Accent2 4 4 3 5" xfId="12475" xr:uid="{00000000-0005-0000-0000-0000D5600000}"/>
    <cellStyle name="40% - Accent2 4 4 3 5 2" xfId="35077" xr:uid="{00000000-0005-0000-0000-0000D6600000}"/>
    <cellStyle name="40% - Accent2 4 4 3 6" xfId="23776" xr:uid="{00000000-0005-0000-0000-0000D7600000}"/>
    <cellStyle name="40% - Accent2 4 4 4" xfId="1877" xr:uid="{00000000-0005-0000-0000-0000D8600000}"/>
    <cellStyle name="40% - Accent2 4 4 4 2" xfId="3738" xr:uid="{00000000-0005-0000-0000-0000D9600000}"/>
    <cellStyle name="40% - Accent2 4 4 4 2 2" xfId="9448" xr:uid="{00000000-0005-0000-0000-0000DA600000}"/>
    <cellStyle name="40% - Accent2 4 4 4 2 2 2" xfId="20749" xr:uid="{00000000-0005-0000-0000-0000DB600000}"/>
    <cellStyle name="40% - Accent2 4 4 4 2 2 2 2" xfId="43351" xr:uid="{00000000-0005-0000-0000-0000DC600000}"/>
    <cellStyle name="40% - Accent2 4 4 4 2 2 3" xfId="32050" xr:uid="{00000000-0005-0000-0000-0000DD600000}"/>
    <cellStyle name="40% - Accent2 4 4 4 2 3" xfId="15099" xr:uid="{00000000-0005-0000-0000-0000DE600000}"/>
    <cellStyle name="40% - Accent2 4 4 4 2 3 2" xfId="37701" xr:uid="{00000000-0005-0000-0000-0000DF600000}"/>
    <cellStyle name="40% - Accent2 4 4 4 2 4" xfId="26400" xr:uid="{00000000-0005-0000-0000-0000E0600000}"/>
    <cellStyle name="40% - Accent2 4 4 4 3" xfId="5251" xr:uid="{00000000-0005-0000-0000-0000E1600000}"/>
    <cellStyle name="40% - Accent2 4 4 4 3 2" xfId="10901" xr:uid="{00000000-0005-0000-0000-0000E2600000}"/>
    <cellStyle name="40% - Accent2 4 4 4 3 2 2" xfId="22202" xr:uid="{00000000-0005-0000-0000-0000E3600000}"/>
    <cellStyle name="40% - Accent2 4 4 4 3 2 2 2" xfId="44804" xr:uid="{00000000-0005-0000-0000-0000E4600000}"/>
    <cellStyle name="40% - Accent2 4 4 4 3 2 3" xfId="33503" xr:uid="{00000000-0005-0000-0000-0000E5600000}"/>
    <cellStyle name="40% - Accent2 4 4 4 3 3" xfId="16552" xr:uid="{00000000-0005-0000-0000-0000E6600000}"/>
    <cellStyle name="40% - Accent2 4 4 4 3 3 2" xfId="39154" xr:uid="{00000000-0005-0000-0000-0000E7600000}"/>
    <cellStyle name="40% - Accent2 4 4 4 3 4" xfId="27853" xr:uid="{00000000-0005-0000-0000-0000E8600000}"/>
    <cellStyle name="40% - Accent2 4 4 4 4" xfId="7733" xr:uid="{00000000-0005-0000-0000-0000E9600000}"/>
    <cellStyle name="40% - Accent2 4 4 4 4 2" xfId="19034" xr:uid="{00000000-0005-0000-0000-0000EA600000}"/>
    <cellStyle name="40% - Accent2 4 4 4 4 2 2" xfId="41636" xr:uid="{00000000-0005-0000-0000-0000EB600000}"/>
    <cellStyle name="40% - Accent2 4 4 4 4 3" xfId="30335" xr:uid="{00000000-0005-0000-0000-0000EC600000}"/>
    <cellStyle name="40% - Accent2 4 4 4 5" xfId="13384" xr:uid="{00000000-0005-0000-0000-0000ED600000}"/>
    <cellStyle name="40% - Accent2 4 4 4 5 2" xfId="35986" xr:uid="{00000000-0005-0000-0000-0000EE600000}"/>
    <cellStyle name="40% - Accent2 4 4 4 6" xfId="24685" xr:uid="{00000000-0005-0000-0000-0000EF600000}"/>
    <cellStyle name="40% - Accent2 4 4 5" xfId="2223" xr:uid="{00000000-0005-0000-0000-0000F0600000}"/>
    <cellStyle name="40% - Accent2 4 4 5 2" xfId="8065" xr:uid="{00000000-0005-0000-0000-0000F1600000}"/>
    <cellStyle name="40% - Accent2 4 4 5 2 2" xfId="19366" xr:uid="{00000000-0005-0000-0000-0000F2600000}"/>
    <cellStyle name="40% - Accent2 4 4 5 2 2 2" xfId="41968" xr:uid="{00000000-0005-0000-0000-0000F3600000}"/>
    <cellStyle name="40% - Accent2 4 4 5 2 3" xfId="30667" xr:uid="{00000000-0005-0000-0000-0000F4600000}"/>
    <cellStyle name="40% - Accent2 4 4 5 3" xfId="13716" xr:uid="{00000000-0005-0000-0000-0000F5600000}"/>
    <cellStyle name="40% - Accent2 4 4 5 3 2" xfId="36318" xr:uid="{00000000-0005-0000-0000-0000F6600000}"/>
    <cellStyle name="40% - Accent2 4 4 5 4" xfId="25017" xr:uid="{00000000-0005-0000-0000-0000F7600000}"/>
    <cellStyle name="40% - Accent2 4 4 6" xfId="4017" xr:uid="{00000000-0005-0000-0000-0000F8600000}"/>
    <cellStyle name="40% - Accent2 4 4 6 2" xfId="9667" xr:uid="{00000000-0005-0000-0000-0000F9600000}"/>
    <cellStyle name="40% - Accent2 4 4 6 2 2" xfId="20968" xr:uid="{00000000-0005-0000-0000-0000FA600000}"/>
    <cellStyle name="40% - Accent2 4 4 6 2 2 2" xfId="43570" xr:uid="{00000000-0005-0000-0000-0000FB600000}"/>
    <cellStyle name="40% - Accent2 4 4 6 2 3" xfId="32269" xr:uid="{00000000-0005-0000-0000-0000FC600000}"/>
    <cellStyle name="40% - Accent2 4 4 6 3" xfId="15318" xr:uid="{00000000-0005-0000-0000-0000FD600000}"/>
    <cellStyle name="40% - Accent2 4 4 6 3 2" xfId="37920" xr:uid="{00000000-0005-0000-0000-0000FE600000}"/>
    <cellStyle name="40% - Accent2 4 4 6 4" xfId="26619" xr:uid="{00000000-0005-0000-0000-0000FF600000}"/>
    <cellStyle name="40% - Accent2 4 4 7" xfId="6635" xr:uid="{00000000-0005-0000-0000-000000610000}"/>
    <cellStyle name="40% - Accent2 4 4 7 2" xfId="17936" xr:uid="{00000000-0005-0000-0000-000001610000}"/>
    <cellStyle name="40% - Accent2 4 4 7 2 2" xfId="40538" xr:uid="{00000000-0005-0000-0000-000002610000}"/>
    <cellStyle name="40% - Accent2 4 4 7 3" xfId="29237" xr:uid="{00000000-0005-0000-0000-000003610000}"/>
    <cellStyle name="40% - Accent2 4 4 8" xfId="12286" xr:uid="{00000000-0005-0000-0000-000004610000}"/>
    <cellStyle name="40% - Accent2 4 4 8 2" xfId="34888" xr:uid="{00000000-0005-0000-0000-000005610000}"/>
    <cellStyle name="40% - Accent2 4 4 9" xfId="23587" xr:uid="{00000000-0005-0000-0000-000006610000}"/>
    <cellStyle name="40% - Accent2 4 5" xfId="512" xr:uid="{00000000-0005-0000-0000-000007610000}"/>
    <cellStyle name="40% - Accent2 4 5 2" xfId="1281" xr:uid="{00000000-0005-0000-0000-000008610000}"/>
    <cellStyle name="40% - Accent2 4 5 2 2" xfId="1880" xr:uid="{00000000-0005-0000-0000-000009610000}"/>
    <cellStyle name="40% - Accent2 4 5 2 2 2" xfId="3350" xr:uid="{00000000-0005-0000-0000-00000A610000}"/>
    <cellStyle name="40% - Accent2 4 5 2 2 2 2" xfId="6322" xr:uid="{00000000-0005-0000-0000-00000B610000}"/>
    <cellStyle name="40% - Accent2 4 5 2 2 2 2 2" xfId="11972" xr:uid="{00000000-0005-0000-0000-00000C610000}"/>
    <cellStyle name="40% - Accent2 4 5 2 2 2 2 2 2" xfId="23273" xr:uid="{00000000-0005-0000-0000-00000D610000}"/>
    <cellStyle name="40% - Accent2 4 5 2 2 2 2 2 2 2" xfId="45875" xr:uid="{00000000-0005-0000-0000-00000E610000}"/>
    <cellStyle name="40% - Accent2 4 5 2 2 2 2 2 3" xfId="34574" xr:uid="{00000000-0005-0000-0000-00000F610000}"/>
    <cellStyle name="40% - Accent2 4 5 2 2 2 2 3" xfId="17623" xr:uid="{00000000-0005-0000-0000-000010610000}"/>
    <cellStyle name="40% - Accent2 4 5 2 2 2 2 3 2" xfId="40225" xr:uid="{00000000-0005-0000-0000-000011610000}"/>
    <cellStyle name="40% - Accent2 4 5 2 2 2 2 4" xfId="28924" xr:uid="{00000000-0005-0000-0000-000012610000}"/>
    <cellStyle name="40% - Accent2 4 5 2 2 2 3" xfId="9140" xr:uid="{00000000-0005-0000-0000-000013610000}"/>
    <cellStyle name="40% - Accent2 4 5 2 2 2 3 2" xfId="20441" xr:uid="{00000000-0005-0000-0000-000014610000}"/>
    <cellStyle name="40% - Accent2 4 5 2 2 2 3 2 2" xfId="43043" xr:uid="{00000000-0005-0000-0000-000015610000}"/>
    <cellStyle name="40% - Accent2 4 5 2 2 2 3 3" xfId="31742" xr:uid="{00000000-0005-0000-0000-000016610000}"/>
    <cellStyle name="40% - Accent2 4 5 2 2 2 4" xfId="14791" xr:uid="{00000000-0005-0000-0000-000017610000}"/>
    <cellStyle name="40% - Accent2 4 5 2 2 2 4 2" xfId="37393" xr:uid="{00000000-0005-0000-0000-000018610000}"/>
    <cellStyle name="40% - Accent2 4 5 2 2 2 5" xfId="26092" xr:uid="{00000000-0005-0000-0000-000019610000}"/>
    <cellStyle name="40% - Accent2 4 5 2 2 3" xfId="5088" xr:uid="{00000000-0005-0000-0000-00001A610000}"/>
    <cellStyle name="40% - Accent2 4 5 2 2 3 2" xfId="10738" xr:uid="{00000000-0005-0000-0000-00001B610000}"/>
    <cellStyle name="40% - Accent2 4 5 2 2 3 2 2" xfId="22039" xr:uid="{00000000-0005-0000-0000-00001C610000}"/>
    <cellStyle name="40% - Accent2 4 5 2 2 3 2 2 2" xfId="44641" xr:uid="{00000000-0005-0000-0000-00001D610000}"/>
    <cellStyle name="40% - Accent2 4 5 2 2 3 2 3" xfId="33340" xr:uid="{00000000-0005-0000-0000-00001E610000}"/>
    <cellStyle name="40% - Accent2 4 5 2 2 3 3" xfId="16389" xr:uid="{00000000-0005-0000-0000-00001F610000}"/>
    <cellStyle name="40% - Accent2 4 5 2 2 3 3 2" xfId="38991" xr:uid="{00000000-0005-0000-0000-000020610000}"/>
    <cellStyle name="40% - Accent2 4 5 2 2 3 4" xfId="27690" xr:uid="{00000000-0005-0000-0000-000021610000}"/>
    <cellStyle name="40% - Accent2 4 5 2 2 4" xfId="7736" xr:uid="{00000000-0005-0000-0000-000022610000}"/>
    <cellStyle name="40% - Accent2 4 5 2 2 4 2" xfId="19037" xr:uid="{00000000-0005-0000-0000-000023610000}"/>
    <cellStyle name="40% - Accent2 4 5 2 2 4 2 2" xfId="41639" xr:uid="{00000000-0005-0000-0000-000024610000}"/>
    <cellStyle name="40% - Accent2 4 5 2 2 4 3" xfId="30338" xr:uid="{00000000-0005-0000-0000-000025610000}"/>
    <cellStyle name="40% - Accent2 4 5 2 2 5" xfId="13387" xr:uid="{00000000-0005-0000-0000-000026610000}"/>
    <cellStyle name="40% - Accent2 4 5 2 2 5 2" xfId="35989" xr:uid="{00000000-0005-0000-0000-000027610000}"/>
    <cellStyle name="40% - Accent2 4 5 2 2 6" xfId="24688" xr:uid="{00000000-0005-0000-0000-000028610000}"/>
    <cellStyle name="40% - Accent2 4 5 2 3" xfId="2679" xr:uid="{00000000-0005-0000-0000-000029610000}"/>
    <cellStyle name="40% - Accent2 4 5 2 3 2" xfId="5698" xr:uid="{00000000-0005-0000-0000-00002A610000}"/>
    <cellStyle name="40% - Accent2 4 5 2 3 2 2" xfId="11348" xr:uid="{00000000-0005-0000-0000-00002B610000}"/>
    <cellStyle name="40% - Accent2 4 5 2 3 2 2 2" xfId="22649" xr:uid="{00000000-0005-0000-0000-00002C610000}"/>
    <cellStyle name="40% - Accent2 4 5 2 3 2 2 2 2" xfId="45251" xr:uid="{00000000-0005-0000-0000-00002D610000}"/>
    <cellStyle name="40% - Accent2 4 5 2 3 2 2 3" xfId="33950" xr:uid="{00000000-0005-0000-0000-00002E610000}"/>
    <cellStyle name="40% - Accent2 4 5 2 3 2 3" xfId="16999" xr:uid="{00000000-0005-0000-0000-00002F610000}"/>
    <cellStyle name="40% - Accent2 4 5 2 3 2 3 2" xfId="39601" xr:uid="{00000000-0005-0000-0000-000030610000}"/>
    <cellStyle name="40% - Accent2 4 5 2 3 2 4" xfId="28300" xr:uid="{00000000-0005-0000-0000-000031610000}"/>
    <cellStyle name="40% - Accent2 4 5 2 3 3" xfId="8515" xr:uid="{00000000-0005-0000-0000-000032610000}"/>
    <cellStyle name="40% - Accent2 4 5 2 3 3 2" xfId="19816" xr:uid="{00000000-0005-0000-0000-000033610000}"/>
    <cellStyle name="40% - Accent2 4 5 2 3 3 2 2" xfId="42418" xr:uid="{00000000-0005-0000-0000-000034610000}"/>
    <cellStyle name="40% - Accent2 4 5 2 3 3 3" xfId="31117" xr:uid="{00000000-0005-0000-0000-000035610000}"/>
    <cellStyle name="40% - Accent2 4 5 2 3 4" xfId="14166" xr:uid="{00000000-0005-0000-0000-000036610000}"/>
    <cellStyle name="40% - Accent2 4 5 2 3 4 2" xfId="36768" xr:uid="{00000000-0005-0000-0000-000037610000}"/>
    <cellStyle name="40% - Accent2 4 5 2 3 5" xfId="25467" xr:uid="{00000000-0005-0000-0000-000038610000}"/>
    <cellStyle name="40% - Accent2 4 5 2 4" xfId="4464" xr:uid="{00000000-0005-0000-0000-000039610000}"/>
    <cellStyle name="40% - Accent2 4 5 2 4 2" xfId="10114" xr:uid="{00000000-0005-0000-0000-00003A610000}"/>
    <cellStyle name="40% - Accent2 4 5 2 4 2 2" xfId="21415" xr:uid="{00000000-0005-0000-0000-00003B610000}"/>
    <cellStyle name="40% - Accent2 4 5 2 4 2 2 2" xfId="44017" xr:uid="{00000000-0005-0000-0000-00003C610000}"/>
    <cellStyle name="40% - Accent2 4 5 2 4 2 3" xfId="32716" xr:uid="{00000000-0005-0000-0000-00003D610000}"/>
    <cellStyle name="40% - Accent2 4 5 2 4 3" xfId="15765" xr:uid="{00000000-0005-0000-0000-00003E610000}"/>
    <cellStyle name="40% - Accent2 4 5 2 4 3 2" xfId="38367" xr:uid="{00000000-0005-0000-0000-00003F610000}"/>
    <cellStyle name="40% - Accent2 4 5 2 4 4" xfId="27066" xr:uid="{00000000-0005-0000-0000-000040610000}"/>
    <cellStyle name="40% - Accent2 4 5 2 5" xfId="7260" xr:uid="{00000000-0005-0000-0000-000041610000}"/>
    <cellStyle name="40% - Accent2 4 5 2 5 2" xfId="18561" xr:uid="{00000000-0005-0000-0000-000042610000}"/>
    <cellStyle name="40% - Accent2 4 5 2 5 2 2" xfId="41163" xr:uid="{00000000-0005-0000-0000-000043610000}"/>
    <cellStyle name="40% - Accent2 4 5 2 5 3" xfId="29862" xr:uid="{00000000-0005-0000-0000-000044610000}"/>
    <cellStyle name="40% - Accent2 4 5 2 6" xfId="12911" xr:uid="{00000000-0005-0000-0000-000045610000}"/>
    <cellStyle name="40% - Accent2 4 5 2 6 2" xfId="35513" xr:uid="{00000000-0005-0000-0000-000046610000}"/>
    <cellStyle name="40% - Accent2 4 5 2 7" xfId="24212" xr:uid="{00000000-0005-0000-0000-000047610000}"/>
    <cellStyle name="40% - Accent2 4 5 3" xfId="979" xr:uid="{00000000-0005-0000-0000-000048610000}"/>
    <cellStyle name="40% - Accent2 4 5 3 2" xfId="3042" xr:uid="{00000000-0005-0000-0000-000049610000}"/>
    <cellStyle name="40% - Accent2 4 5 3 2 2" xfId="6014" xr:uid="{00000000-0005-0000-0000-00004A610000}"/>
    <cellStyle name="40% - Accent2 4 5 3 2 2 2" xfId="11664" xr:uid="{00000000-0005-0000-0000-00004B610000}"/>
    <cellStyle name="40% - Accent2 4 5 3 2 2 2 2" xfId="22965" xr:uid="{00000000-0005-0000-0000-00004C610000}"/>
    <cellStyle name="40% - Accent2 4 5 3 2 2 2 2 2" xfId="45567" xr:uid="{00000000-0005-0000-0000-00004D610000}"/>
    <cellStyle name="40% - Accent2 4 5 3 2 2 2 3" xfId="34266" xr:uid="{00000000-0005-0000-0000-00004E610000}"/>
    <cellStyle name="40% - Accent2 4 5 3 2 2 3" xfId="17315" xr:uid="{00000000-0005-0000-0000-00004F610000}"/>
    <cellStyle name="40% - Accent2 4 5 3 2 2 3 2" xfId="39917" xr:uid="{00000000-0005-0000-0000-000050610000}"/>
    <cellStyle name="40% - Accent2 4 5 3 2 2 4" xfId="28616" xr:uid="{00000000-0005-0000-0000-000051610000}"/>
    <cellStyle name="40% - Accent2 4 5 3 2 3" xfId="8832" xr:uid="{00000000-0005-0000-0000-000052610000}"/>
    <cellStyle name="40% - Accent2 4 5 3 2 3 2" xfId="20133" xr:uid="{00000000-0005-0000-0000-000053610000}"/>
    <cellStyle name="40% - Accent2 4 5 3 2 3 2 2" xfId="42735" xr:uid="{00000000-0005-0000-0000-000054610000}"/>
    <cellStyle name="40% - Accent2 4 5 3 2 3 3" xfId="31434" xr:uid="{00000000-0005-0000-0000-000055610000}"/>
    <cellStyle name="40% - Accent2 4 5 3 2 4" xfId="14483" xr:uid="{00000000-0005-0000-0000-000056610000}"/>
    <cellStyle name="40% - Accent2 4 5 3 2 4 2" xfId="37085" xr:uid="{00000000-0005-0000-0000-000057610000}"/>
    <cellStyle name="40% - Accent2 4 5 3 2 5" xfId="25784" xr:uid="{00000000-0005-0000-0000-000058610000}"/>
    <cellStyle name="40% - Accent2 4 5 3 3" xfId="4780" xr:uid="{00000000-0005-0000-0000-000059610000}"/>
    <cellStyle name="40% - Accent2 4 5 3 3 2" xfId="10430" xr:uid="{00000000-0005-0000-0000-00005A610000}"/>
    <cellStyle name="40% - Accent2 4 5 3 3 2 2" xfId="21731" xr:uid="{00000000-0005-0000-0000-00005B610000}"/>
    <cellStyle name="40% - Accent2 4 5 3 3 2 2 2" xfId="44333" xr:uid="{00000000-0005-0000-0000-00005C610000}"/>
    <cellStyle name="40% - Accent2 4 5 3 3 2 3" xfId="33032" xr:uid="{00000000-0005-0000-0000-00005D610000}"/>
    <cellStyle name="40% - Accent2 4 5 3 3 3" xfId="16081" xr:uid="{00000000-0005-0000-0000-00005E610000}"/>
    <cellStyle name="40% - Accent2 4 5 3 3 3 2" xfId="38683" xr:uid="{00000000-0005-0000-0000-00005F610000}"/>
    <cellStyle name="40% - Accent2 4 5 3 3 4" xfId="27382" xr:uid="{00000000-0005-0000-0000-000060610000}"/>
    <cellStyle name="40% - Accent2 4 5 3 4" xfId="6967" xr:uid="{00000000-0005-0000-0000-000061610000}"/>
    <cellStyle name="40% - Accent2 4 5 3 4 2" xfId="18268" xr:uid="{00000000-0005-0000-0000-000062610000}"/>
    <cellStyle name="40% - Accent2 4 5 3 4 2 2" xfId="40870" xr:uid="{00000000-0005-0000-0000-000063610000}"/>
    <cellStyle name="40% - Accent2 4 5 3 4 3" xfId="29569" xr:uid="{00000000-0005-0000-0000-000064610000}"/>
    <cellStyle name="40% - Accent2 4 5 3 5" xfId="12618" xr:uid="{00000000-0005-0000-0000-000065610000}"/>
    <cellStyle name="40% - Accent2 4 5 3 5 2" xfId="35220" xr:uid="{00000000-0005-0000-0000-000066610000}"/>
    <cellStyle name="40% - Accent2 4 5 3 6" xfId="23919" xr:uid="{00000000-0005-0000-0000-000067610000}"/>
    <cellStyle name="40% - Accent2 4 5 4" xfId="1879" xr:uid="{00000000-0005-0000-0000-000068610000}"/>
    <cellStyle name="40% - Accent2 4 5 4 2" xfId="3739" xr:uid="{00000000-0005-0000-0000-000069610000}"/>
    <cellStyle name="40% - Accent2 4 5 4 2 2" xfId="9449" xr:uid="{00000000-0005-0000-0000-00006A610000}"/>
    <cellStyle name="40% - Accent2 4 5 4 2 2 2" xfId="20750" xr:uid="{00000000-0005-0000-0000-00006B610000}"/>
    <cellStyle name="40% - Accent2 4 5 4 2 2 2 2" xfId="43352" xr:uid="{00000000-0005-0000-0000-00006C610000}"/>
    <cellStyle name="40% - Accent2 4 5 4 2 2 3" xfId="32051" xr:uid="{00000000-0005-0000-0000-00006D610000}"/>
    <cellStyle name="40% - Accent2 4 5 4 2 3" xfId="15100" xr:uid="{00000000-0005-0000-0000-00006E610000}"/>
    <cellStyle name="40% - Accent2 4 5 4 2 3 2" xfId="37702" xr:uid="{00000000-0005-0000-0000-00006F610000}"/>
    <cellStyle name="40% - Accent2 4 5 4 2 4" xfId="26401" xr:uid="{00000000-0005-0000-0000-000070610000}"/>
    <cellStyle name="40% - Accent2 4 5 4 3" xfId="5390" xr:uid="{00000000-0005-0000-0000-000071610000}"/>
    <cellStyle name="40% - Accent2 4 5 4 3 2" xfId="11040" xr:uid="{00000000-0005-0000-0000-000072610000}"/>
    <cellStyle name="40% - Accent2 4 5 4 3 2 2" xfId="22341" xr:uid="{00000000-0005-0000-0000-000073610000}"/>
    <cellStyle name="40% - Accent2 4 5 4 3 2 2 2" xfId="44943" xr:uid="{00000000-0005-0000-0000-000074610000}"/>
    <cellStyle name="40% - Accent2 4 5 4 3 2 3" xfId="33642" xr:uid="{00000000-0005-0000-0000-000075610000}"/>
    <cellStyle name="40% - Accent2 4 5 4 3 3" xfId="16691" xr:uid="{00000000-0005-0000-0000-000076610000}"/>
    <cellStyle name="40% - Accent2 4 5 4 3 3 2" xfId="39293" xr:uid="{00000000-0005-0000-0000-000077610000}"/>
    <cellStyle name="40% - Accent2 4 5 4 3 4" xfId="27992" xr:uid="{00000000-0005-0000-0000-000078610000}"/>
    <cellStyle name="40% - Accent2 4 5 4 4" xfId="7735" xr:uid="{00000000-0005-0000-0000-000079610000}"/>
    <cellStyle name="40% - Accent2 4 5 4 4 2" xfId="19036" xr:uid="{00000000-0005-0000-0000-00007A610000}"/>
    <cellStyle name="40% - Accent2 4 5 4 4 2 2" xfId="41638" xr:uid="{00000000-0005-0000-0000-00007B610000}"/>
    <cellStyle name="40% - Accent2 4 5 4 4 3" xfId="30337" xr:uid="{00000000-0005-0000-0000-00007C610000}"/>
    <cellStyle name="40% - Accent2 4 5 4 5" xfId="13386" xr:uid="{00000000-0005-0000-0000-00007D610000}"/>
    <cellStyle name="40% - Accent2 4 5 4 5 2" xfId="35988" xr:uid="{00000000-0005-0000-0000-00007E610000}"/>
    <cellStyle name="40% - Accent2 4 5 4 6" xfId="24687" xr:uid="{00000000-0005-0000-0000-00007F610000}"/>
    <cellStyle name="40% - Accent2 4 5 5" xfId="2371" xr:uid="{00000000-0005-0000-0000-000080610000}"/>
    <cellStyle name="40% - Accent2 4 5 5 2" xfId="8207" xr:uid="{00000000-0005-0000-0000-000081610000}"/>
    <cellStyle name="40% - Accent2 4 5 5 2 2" xfId="19508" xr:uid="{00000000-0005-0000-0000-000082610000}"/>
    <cellStyle name="40% - Accent2 4 5 5 2 2 2" xfId="42110" xr:uid="{00000000-0005-0000-0000-000083610000}"/>
    <cellStyle name="40% - Accent2 4 5 5 2 3" xfId="30809" xr:uid="{00000000-0005-0000-0000-000084610000}"/>
    <cellStyle name="40% - Accent2 4 5 5 3" xfId="13858" xr:uid="{00000000-0005-0000-0000-000085610000}"/>
    <cellStyle name="40% - Accent2 4 5 5 3 2" xfId="36460" xr:uid="{00000000-0005-0000-0000-000086610000}"/>
    <cellStyle name="40% - Accent2 4 5 5 4" xfId="25159" xr:uid="{00000000-0005-0000-0000-000087610000}"/>
    <cellStyle name="40% - Accent2 4 5 6" xfId="4156" xr:uid="{00000000-0005-0000-0000-000088610000}"/>
    <cellStyle name="40% - Accent2 4 5 6 2" xfId="9806" xr:uid="{00000000-0005-0000-0000-000089610000}"/>
    <cellStyle name="40% - Accent2 4 5 6 2 2" xfId="21107" xr:uid="{00000000-0005-0000-0000-00008A610000}"/>
    <cellStyle name="40% - Accent2 4 5 6 2 2 2" xfId="43709" xr:uid="{00000000-0005-0000-0000-00008B610000}"/>
    <cellStyle name="40% - Accent2 4 5 6 2 3" xfId="32408" xr:uid="{00000000-0005-0000-0000-00008C610000}"/>
    <cellStyle name="40% - Accent2 4 5 6 3" xfId="15457" xr:uid="{00000000-0005-0000-0000-00008D610000}"/>
    <cellStyle name="40% - Accent2 4 5 6 3 2" xfId="38059" xr:uid="{00000000-0005-0000-0000-00008E610000}"/>
    <cellStyle name="40% - Accent2 4 5 6 4" xfId="26758" xr:uid="{00000000-0005-0000-0000-00008F610000}"/>
    <cellStyle name="40% - Accent2 4 5 7" xfId="6607" xr:uid="{00000000-0005-0000-0000-000090610000}"/>
    <cellStyle name="40% - Accent2 4 5 7 2" xfId="17908" xr:uid="{00000000-0005-0000-0000-000091610000}"/>
    <cellStyle name="40% - Accent2 4 5 7 2 2" xfId="40510" xr:uid="{00000000-0005-0000-0000-000092610000}"/>
    <cellStyle name="40% - Accent2 4 5 7 3" xfId="29209" xr:uid="{00000000-0005-0000-0000-000093610000}"/>
    <cellStyle name="40% - Accent2 4 5 8" xfId="12258" xr:uid="{00000000-0005-0000-0000-000094610000}"/>
    <cellStyle name="40% - Accent2 4 5 8 2" xfId="34860" xr:uid="{00000000-0005-0000-0000-000095610000}"/>
    <cellStyle name="40% - Accent2 4 5 9" xfId="23559" xr:uid="{00000000-0005-0000-0000-000096610000}"/>
    <cellStyle name="40% - Accent2 4 6" xfId="1114" xr:uid="{00000000-0005-0000-0000-000097610000}"/>
    <cellStyle name="40% - Accent2 4 6 2" xfId="1881" xr:uid="{00000000-0005-0000-0000-000098610000}"/>
    <cellStyle name="40% - Accent2 4 6 2 2" xfId="3181" xr:uid="{00000000-0005-0000-0000-000099610000}"/>
    <cellStyle name="40% - Accent2 4 6 2 2 2" xfId="6153" xr:uid="{00000000-0005-0000-0000-00009A610000}"/>
    <cellStyle name="40% - Accent2 4 6 2 2 2 2" xfId="11803" xr:uid="{00000000-0005-0000-0000-00009B610000}"/>
    <cellStyle name="40% - Accent2 4 6 2 2 2 2 2" xfId="23104" xr:uid="{00000000-0005-0000-0000-00009C610000}"/>
    <cellStyle name="40% - Accent2 4 6 2 2 2 2 2 2" xfId="45706" xr:uid="{00000000-0005-0000-0000-00009D610000}"/>
    <cellStyle name="40% - Accent2 4 6 2 2 2 2 3" xfId="34405" xr:uid="{00000000-0005-0000-0000-00009E610000}"/>
    <cellStyle name="40% - Accent2 4 6 2 2 2 3" xfId="17454" xr:uid="{00000000-0005-0000-0000-00009F610000}"/>
    <cellStyle name="40% - Accent2 4 6 2 2 2 3 2" xfId="40056" xr:uid="{00000000-0005-0000-0000-0000A0610000}"/>
    <cellStyle name="40% - Accent2 4 6 2 2 2 4" xfId="28755" xr:uid="{00000000-0005-0000-0000-0000A1610000}"/>
    <cellStyle name="40% - Accent2 4 6 2 2 3" xfId="8971" xr:uid="{00000000-0005-0000-0000-0000A2610000}"/>
    <cellStyle name="40% - Accent2 4 6 2 2 3 2" xfId="20272" xr:uid="{00000000-0005-0000-0000-0000A3610000}"/>
    <cellStyle name="40% - Accent2 4 6 2 2 3 2 2" xfId="42874" xr:uid="{00000000-0005-0000-0000-0000A4610000}"/>
    <cellStyle name="40% - Accent2 4 6 2 2 3 3" xfId="31573" xr:uid="{00000000-0005-0000-0000-0000A5610000}"/>
    <cellStyle name="40% - Accent2 4 6 2 2 4" xfId="14622" xr:uid="{00000000-0005-0000-0000-0000A6610000}"/>
    <cellStyle name="40% - Accent2 4 6 2 2 4 2" xfId="37224" xr:uid="{00000000-0005-0000-0000-0000A7610000}"/>
    <cellStyle name="40% - Accent2 4 6 2 2 5" xfId="25923" xr:uid="{00000000-0005-0000-0000-0000A8610000}"/>
    <cellStyle name="40% - Accent2 4 6 2 3" xfId="4919" xr:uid="{00000000-0005-0000-0000-0000A9610000}"/>
    <cellStyle name="40% - Accent2 4 6 2 3 2" xfId="10569" xr:uid="{00000000-0005-0000-0000-0000AA610000}"/>
    <cellStyle name="40% - Accent2 4 6 2 3 2 2" xfId="21870" xr:uid="{00000000-0005-0000-0000-0000AB610000}"/>
    <cellStyle name="40% - Accent2 4 6 2 3 2 2 2" xfId="44472" xr:uid="{00000000-0005-0000-0000-0000AC610000}"/>
    <cellStyle name="40% - Accent2 4 6 2 3 2 3" xfId="33171" xr:uid="{00000000-0005-0000-0000-0000AD610000}"/>
    <cellStyle name="40% - Accent2 4 6 2 3 3" xfId="16220" xr:uid="{00000000-0005-0000-0000-0000AE610000}"/>
    <cellStyle name="40% - Accent2 4 6 2 3 3 2" xfId="38822" xr:uid="{00000000-0005-0000-0000-0000AF610000}"/>
    <cellStyle name="40% - Accent2 4 6 2 3 4" xfId="27521" xr:uid="{00000000-0005-0000-0000-0000B0610000}"/>
    <cellStyle name="40% - Accent2 4 6 2 4" xfId="7737" xr:uid="{00000000-0005-0000-0000-0000B1610000}"/>
    <cellStyle name="40% - Accent2 4 6 2 4 2" xfId="19038" xr:uid="{00000000-0005-0000-0000-0000B2610000}"/>
    <cellStyle name="40% - Accent2 4 6 2 4 2 2" xfId="41640" xr:uid="{00000000-0005-0000-0000-0000B3610000}"/>
    <cellStyle name="40% - Accent2 4 6 2 4 3" xfId="30339" xr:uid="{00000000-0005-0000-0000-0000B4610000}"/>
    <cellStyle name="40% - Accent2 4 6 2 5" xfId="13388" xr:uid="{00000000-0005-0000-0000-0000B5610000}"/>
    <cellStyle name="40% - Accent2 4 6 2 5 2" xfId="35990" xr:uid="{00000000-0005-0000-0000-0000B6610000}"/>
    <cellStyle name="40% - Accent2 4 6 2 6" xfId="24689" xr:uid="{00000000-0005-0000-0000-0000B7610000}"/>
    <cellStyle name="40% - Accent2 4 6 3" xfId="2510" xr:uid="{00000000-0005-0000-0000-0000B8610000}"/>
    <cellStyle name="40% - Accent2 4 6 3 2" xfId="5529" xr:uid="{00000000-0005-0000-0000-0000B9610000}"/>
    <cellStyle name="40% - Accent2 4 6 3 2 2" xfId="11179" xr:uid="{00000000-0005-0000-0000-0000BA610000}"/>
    <cellStyle name="40% - Accent2 4 6 3 2 2 2" xfId="22480" xr:uid="{00000000-0005-0000-0000-0000BB610000}"/>
    <cellStyle name="40% - Accent2 4 6 3 2 2 2 2" xfId="45082" xr:uid="{00000000-0005-0000-0000-0000BC610000}"/>
    <cellStyle name="40% - Accent2 4 6 3 2 2 3" xfId="33781" xr:uid="{00000000-0005-0000-0000-0000BD610000}"/>
    <cellStyle name="40% - Accent2 4 6 3 2 3" xfId="16830" xr:uid="{00000000-0005-0000-0000-0000BE610000}"/>
    <cellStyle name="40% - Accent2 4 6 3 2 3 2" xfId="39432" xr:uid="{00000000-0005-0000-0000-0000BF610000}"/>
    <cellStyle name="40% - Accent2 4 6 3 2 4" xfId="28131" xr:uid="{00000000-0005-0000-0000-0000C0610000}"/>
    <cellStyle name="40% - Accent2 4 6 3 3" xfId="8346" xr:uid="{00000000-0005-0000-0000-0000C1610000}"/>
    <cellStyle name="40% - Accent2 4 6 3 3 2" xfId="19647" xr:uid="{00000000-0005-0000-0000-0000C2610000}"/>
    <cellStyle name="40% - Accent2 4 6 3 3 2 2" xfId="42249" xr:uid="{00000000-0005-0000-0000-0000C3610000}"/>
    <cellStyle name="40% - Accent2 4 6 3 3 3" xfId="30948" xr:uid="{00000000-0005-0000-0000-0000C4610000}"/>
    <cellStyle name="40% - Accent2 4 6 3 4" xfId="13997" xr:uid="{00000000-0005-0000-0000-0000C5610000}"/>
    <cellStyle name="40% - Accent2 4 6 3 4 2" xfId="36599" xr:uid="{00000000-0005-0000-0000-0000C6610000}"/>
    <cellStyle name="40% - Accent2 4 6 3 5" xfId="25298" xr:uid="{00000000-0005-0000-0000-0000C7610000}"/>
    <cellStyle name="40% - Accent2 4 6 4" xfId="4295" xr:uid="{00000000-0005-0000-0000-0000C8610000}"/>
    <cellStyle name="40% - Accent2 4 6 4 2" xfId="9945" xr:uid="{00000000-0005-0000-0000-0000C9610000}"/>
    <cellStyle name="40% - Accent2 4 6 4 2 2" xfId="21246" xr:uid="{00000000-0005-0000-0000-0000CA610000}"/>
    <cellStyle name="40% - Accent2 4 6 4 2 2 2" xfId="43848" xr:uid="{00000000-0005-0000-0000-0000CB610000}"/>
    <cellStyle name="40% - Accent2 4 6 4 2 3" xfId="32547" xr:uid="{00000000-0005-0000-0000-0000CC610000}"/>
    <cellStyle name="40% - Accent2 4 6 4 3" xfId="15596" xr:uid="{00000000-0005-0000-0000-0000CD610000}"/>
    <cellStyle name="40% - Accent2 4 6 4 3 2" xfId="38198" xr:uid="{00000000-0005-0000-0000-0000CE610000}"/>
    <cellStyle name="40% - Accent2 4 6 4 4" xfId="26897" xr:uid="{00000000-0005-0000-0000-0000CF610000}"/>
    <cellStyle name="40% - Accent2 4 6 5" xfId="7093" xr:uid="{00000000-0005-0000-0000-0000D0610000}"/>
    <cellStyle name="40% - Accent2 4 6 5 2" xfId="18394" xr:uid="{00000000-0005-0000-0000-0000D1610000}"/>
    <cellStyle name="40% - Accent2 4 6 5 2 2" xfId="40996" xr:uid="{00000000-0005-0000-0000-0000D2610000}"/>
    <cellStyle name="40% - Accent2 4 6 5 3" xfId="29695" xr:uid="{00000000-0005-0000-0000-0000D3610000}"/>
    <cellStyle name="40% - Accent2 4 6 6" xfId="12744" xr:uid="{00000000-0005-0000-0000-0000D4610000}"/>
    <cellStyle name="40% - Accent2 4 6 6 2" xfId="35346" xr:uid="{00000000-0005-0000-0000-0000D5610000}"/>
    <cellStyle name="40% - Accent2 4 6 7" xfId="24045" xr:uid="{00000000-0005-0000-0000-0000D6610000}"/>
    <cellStyle name="40% - Accent2 4 7" xfId="778" xr:uid="{00000000-0005-0000-0000-0000D7610000}"/>
    <cellStyle name="40% - Accent2 4 7 2" xfId="2875" xr:uid="{00000000-0005-0000-0000-0000D8610000}"/>
    <cellStyle name="40% - Accent2 4 7 2 2" xfId="5847" xr:uid="{00000000-0005-0000-0000-0000D9610000}"/>
    <cellStyle name="40% - Accent2 4 7 2 2 2" xfId="11497" xr:uid="{00000000-0005-0000-0000-0000DA610000}"/>
    <cellStyle name="40% - Accent2 4 7 2 2 2 2" xfId="22798" xr:uid="{00000000-0005-0000-0000-0000DB610000}"/>
    <cellStyle name="40% - Accent2 4 7 2 2 2 2 2" xfId="45400" xr:uid="{00000000-0005-0000-0000-0000DC610000}"/>
    <cellStyle name="40% - Accent2 4 7 2 2 2 3" xfId="34099" xr:uid="{00000000-0005-0000-0000-0000DD610000}"/>
    <cellStyle name="40% - Accent2 4 7 2 2 3" xfId="17148" xr:uid="{00000000-0005-0000-0000-0000DE610000}"/>
    <cellStyle name="40% - Accent2 4 7 2 2 3 2" xfId="39750" xr:uid="{00000000-0005-0000-0000-0000DF610000}"/>
    <cellStyle name="40% - Accent2 4 7 2 2 4" xfId="28449" xr:uid="{00000000-0005-0000-0000-0000E0610000}"/>
    <cellStyle name="40% - Accent2 4 7 2 3" xfId="8665" xr:uid="{00000000-0005-0000-0000-0000E1610000}"/>
    <cellStyle name="40% - Accent2 4 7 2 3 2" xfId="19966" xr:uid="{00000000-0005-0000-0000-0000E2610000}"/>
    <cellStyle name="40% - Accent2 4 7 2 3 2 2" xfId="42568" xr:uid="{00000000-0005-0000-0000-0000E3610000}"/>
    <cellStyle name="40% - Accent2 4 7 2 3 3" xfId="31267" xr:uid="{00000000-0005-0000-0000-0000E4610000}"/>
    <cellStyle name="40% - Accent2 4 7 2 4" xfId="14316" xr:uid="{00000000-0005-0000-0000-0000E5610000}"/>
    <cellStyle name="40% - Accent2 4 7 2 4 2" xfId="36918" xr:uid="{00000000-0005-0000-0000-0000E6610000}"/>
    <cellStyle name="40% - Accent2 4 7 2 5" xfId="25617" xr:uid="{00000000-0005-0000-0000-0000E7610000}"/>
    <cellStyle name="40% - Accent2 4 7 3" xfId="4613" xr:uid="{00000000-0005-0000-0000-0000E8610000}"/>
    <cellStyle name="40% - Accent2 4 7 3 2" xfId="10263" xr:uid="{00000000-0005-0000-0000-0000E9610000}"/>
    <cellStyle name="40% - Accent2 4 7 3 2 2" xfId="21564" xr:uid="{00000000-0005-0000-0000-0000EA610000}"/>
    <cellStyle name="40% - Accent2 4 7 3 2 2 2" xfId="44166" xr:uid="{00000000-0005-0000-0000-0000EB610000}"/>
    <cellStyle name="40% - Accent2 4 7 3 2 3" xfId="32865" xr:uid="{00000000-0005-0000-0000-0000EC610000}"/>
    <cellStyle name="40% - Accent2 4 7 3 3" xfId="15914" xr:uid="{00000000-0005-0000-0000-0000ED610000}"/>
    <cellStyle name="40% - Accent2 4 7 3 3 2" xfId="38516" xr:uid="{00000000-0005-0000-0000-0000EE610000}"/>
    <cellStyle name="40% - Accent2 4 7 3 4" xfId="27215" xr:uid="{00000000-0005-0000-0000-0000EF610000}"/>
    <cellStyle name="40% - Accent2 4 7 4" xfId="6795" xr:uid="{00000000-0005-0000-0000-0000F0610000}"/>
    <cellStyle name="40% - Accent2 4 7 4 2" xfId="18096" xr:uid="{00000000-0005-0000-0000-0000F1610000}"/>
    <cellStyle name="40% - Accent2 4 7 4 2 2" xfId="40698" xr:uid="{00000000-0005-0000-0000-0000F2610000}"/>
    <cellStyle name="40% - Accent2 4 7 4 3" xfId="29397" xr:uid="{00000000-0005-0000-0000-0000F3610000}"/>
    <cellStyle name="40% - Accent2 4 7 5" xfId="12446" xr:uid="{00000000-0005-0000-0000-0000F4610000}"/>
    <cellStyle name="40% - Accent2 4 7 5 2" xfId="35048" xr:uid="{00000000-0005-0000-0000-0000F5610000}"/>
    <cellStyle name="40% - Accent2 4 7 6" xfId="23747" xr:uid="{00000000-0005-0000-0000-0000F6610000}"/>
    <cellStyle name="40% - Accent2 4 8" xfId="1868" xr:uid="{00000000-0005-0000-0000-0000F7610000}"/>
    <cellStyle name="40% - Accent2 4 8 2" xfId="3733" xr:uid="{00000000-0005-0000-0000-0000F8610000}"/>
    <cellStyle name="40% - Accent2 4 8 2 2" xfId="9443" xr:uid="{00000000-0005-0000-0000-0000F9610000}"/>
    <cellStyle name="40% - Accent2 4 8 2 2 2" xfId="20744" xr:uid="{00000000-0005-0000-0000-0000FA610000}"/>
    <cellStyle name="40% - Accent2 4 8 2 2 2 2" xfId="43346" xr:uid="{00000000-0005-0000-0000-0000FB610000}"/>
    <cellStyle name="40% - Accent2 4 8 2 2 3" xfId="32045" xr:uid="{00000000-0005-0000-0000-0000FC610000}"/>
    <cellStyle name="40% - Accent2 4 8 2 3" xfId="15094" xr:uid="{00000000-0005-0000-0000-0000FD610000}"/>
    <cellStyle name="40% - Accent2 4 8 2 3 2" xfId="37696" xr:uid="{00000000-0005-0000-0000-0000FE610000}"/>
    <cellStyle name="40% - Accent2 4 8 2 4" xfId="26395" xr:uid="{00000000-0005-0000-0000-0000FF610000}"/>
    <cellStyle name="40% - Accent2 4 8 3" xfId="5223" xr:uid="{00000000-0005-0000-0000-000000620000}"/>
    <cellStyle name="40% - Accent2 4 8 3 2" xfId="10873" xr:uid="{00000000-0005-0000-0000-000001620000}"/>
    <cellStyle name="40% - Accent2 4 8 3 2 2" xfId="22174" xr:uid="{00000000-0005-0000-0000-000002620000}"/>
    <cellStyle name="40% - Accent2 4 8 3 2 2 2" xfId="44776" xr:uid="{00000000-0005-0000-0000-000003620000}"/>
    <cellStyle name="40% - Accent2 4 8 3 2 3" xfId="33475" xr:uid="{00000000-0005-0000-0000-000004620000}"/>
    <cellStyle name="40% - Accent2 4 8 3 3" xfId="16524" xr:uid="{00000000-0005-0000-0000-000005620000}"/>
    <cellStyle name="40% - Accent2 4 8 3 3 2" xfId="39126" xr:uid="{00000000-0005-0000-0000-000006620000}"/>
    <cellStyle name="40% - Accent2 4 8 3 4" xfId="27825" xr:uid="{00000000-0005-0000-0000-000007620000}"/>
    <cellStyle name="40% - Accent2 4 8 4" xfId="7724" xr:uid="{00000000-0005-0000-0000-000008620000}"/>
    <cellStyle name="40% - Accent2 4 8 4 2" xfId="19025" xr:uid="{00000000-0005-0000-0000-000009620000}"/>
    <cellStyle name="40% - Accent2 4 8 4 2 2" xfId="41627" xr:uid="{00000000-0005-0000-0000-00000A620000}"/>
    <cellStyle name="40% - Accent2 4 8 4 3" xfId="30326" xr:uid="{00000000-0005-0000-0000-00000B620000}"/>
    <cellStyle name="40% - Accent2 4 8 5" xfId="13375" xr:uid="{00000000-0005-0000-0000-00000C620000}"/>
    <cellStyle name="40% - Accent2 4 8 5 2" xfId="35977" xr:uid="{00000000-0005-0000-0000-00000D620000}"/>
    <cellStyle name="40% - Accent2 4 8 6" xfId="24676" xr:uid="{00000000-0005-0000-0000-00000E620000}"/>
    <cellStyle name="40% - Accent2 4 9" xfId="2194" xr:uid="{00000000-0005-0000-0000-00000F620000}"/>
    <cellStyle name="40% - Accent2 4 9 2" xfId="8037" xr:uid="{00000000-0005-0000-0000-000010620000}"/>
    <cellStyle name="40% - Accent2 4 9 2 2" xfId="19338" xr:uid="{00000000-0005-0000-0000-000011620000}"/>
    <cellStyle name="40% - Accent2 4 9 2 2 2" xfId="41940" xr:uid="{00000000-0005-0000-0000-000012620000}"/>
    <cellStyle name="40% - Accent2 4 9 2 3" xfId="30639" xr:uid="{00000000-0005-0000-0000-000013620000}"/>
    <cellStyle name="40% - Accent2 4 9 3" xfId="13688" xr:uid="{00000000-0005-0000-0000-000014620000}"/>
    <cellStyle name="40% - Accent2 4 9 3 2" xfId="36290" xr:uid="{00000000-0005-0000-0000-000015620000}"/>
    <cellStyle name="40% - Accent2 4 9 4" xfId="24989" xr:uid="{00000000-0005-0000-0000-000016620000}"/>
    <cellStyle name="40% - Accent2 5" xfId="265" xr:uid="{00000000-0005-0000-0000-000017620000}"/>
    <cellStyle name="40% - Accent2 5 10" xfId="12131" xr:uid="{00000000-0005-0000-0000-000018620000}"/>
    <cellStyle name="40% - Accent2 5 10 2" xfId="34733" xr:uid="{00000000-0005-0000-0000-000019620000}"/>
    <cellStyle name="40% - Accent2 5 11" xfId="23432" xr:uid="{00000000-0005-0000-0000-00001A620000}"/>
    <cellStyle name="40% - Accent2 5 2" xfId="433" xr:uid="{00000000-0005-0000-0000-00001B620000}"/>
    <cellStyle name="40% - Accent2 5 2 10" xfId="23528" xr:uid="{00000000-0005-0000-0000-00001C620000}"/>
    <cellStyle name="40% - Accent2 5 2 2" xfId="678" xr:uid="{00000000-0005-0000-0000-00001D620000}"/>
    <cellStyle name="40% - Accent2 5 2 2 2" xfId="1388" xr:uid="{00000000-0005-0000-0000-00001E620000}"/>
    <cellStyle name="40% - Accent2 5 2 2 2 2" xfId="1885" xr:uid="{00000000-0005-0000-0000-00001F620000}"/>
    <cellStyle name="40% - Accent2 5 2 2 2 2 2" xfId="3457" xr:uid="{00000000-0005-0000-0000-000020620000}"/>
    <cellStyle name="40% - Accent2 5 2 2 2 2 2 2" xfId="6429" xr:uid="{00000000-0005-0000-0000-000021620000}"/>
    <cellStyle name="40% - Accent2 5 2 2 2 2 2 2 2" xfId="12079" xr:uid="{00000000-0005-0000-0000-000022620000}"/>
    <cellStyle name="40% - Accent2 5 2 2 2 2 2 2 2 2" xfId="23380" xr:uid="{00000000-0005-0000-0000-000023620000}"/>
    <cellStyle name="40% - Accent2 5 2 2 2 2 2 2 2 2 2" xfId="45982" xr:uid="{00000000-0005-0000-0000-000024620000}"/>
    <cellStyle name="40% - Accent2 5 2 2 2 2 2 2 2 3" xfId="34681" xr:uid="{00000000-0005-0000-0000-000025620000}"/>
    <cellStyle name="40% - Accent2 5 2 2 2 2 2 2 3" xfId="17730" xr:uid="{00000000-0005-0000-0000-000026620000}"/>
    <cellStyle name="40% - Accent2 5 2 2 2 2 2 2 3 2" xfId="40332" xr:uid="{00000000-0005-0000-0000-000027620000}"/>
    <cellStyle name="40% - Accent2 5 2 2 2 2 2 2 4" xfId="29031" xr:uid="{00000000-0005-0000-0000-000028620000}"/>
    <cellStyle name="40% - Accent2 5 2 2 2 2 2 3" xfId="9247" xr:uid="{00000000-0005-0000-0000-000029620000}"/>
    <cellStyle name="40% - Accent2 5 2 2 2 2 2 3 2" xfId="20548" xr:uid="{00000000-0005-0000-0000-00002A620000}"/>
    <cellStyle name="40% - Accent2 5 2 2 2 2 2 3 2 2" xfId="43150" xr:uid="{00000000-0005-0000-0000-00002B620000}"/>
    <cellStyle name="40% - Accent2 5 2 2 2 2 2 3 3" xfId="31849" xr:uid="{00000000-0005-0000-0000-00002C620000}"/>
    <cellStyle name="40% - Accent2 5 2 2 2 2 2 4" xfId="14898" xr:uid="{00000000-0005-0000-0000-00002D620000}"/>
    <cellStyle name="40% - Accent2 5 2 2 2 2 2 4 2" xfId="37500" xr:uid="{00000000-0005-0000-0000-00002E620000}"/>
    <cellStyle name="40% - Accent2 5 2 2 2 2 2 5" xfId="26199" xr:uid="{00000000-0005-0000-0000-00002F620000}"/>
    <cellStyle name="40% - Accent2 5 2 2 2 2 3" xfId="5195" xr:uid="{00000000-0005-0000-0000-000030620000}"/>
    <cellStyle name="40% - Accent2 5 2 2 2 2 3 2" xfId="10845" xr:uid="{00000000-0005-0000-0000-000031620000}"/>
    <cellStyle name="40% - Accent2 5 2 2 2 2 3 2 2" xfId="22146" xr:uid="{00000000-0005-0000-0000-000032620000}"/>
    <cellStyle name="40% - Accent2 5 2 2 2 2 3 2 2 2" xfId="44748" xr:uid="{00000000-0005-0000-0000-000033620000}"/>
    <cellStyle name="40% - Accent2 5 2 2 2 2 3 2 3" xfId="33447" xr:uid="{00000000-0005-0000-0000-000034620000}"/>
    <cellStyle name="40% - Accent2 5 2 2 2 2 3 3" xfId="16496" xr:uid="{00000000-0005-0000-0000-000035620000}"/>
    <cellStyle name="40% - Accent2 5 2 2 2 2 3 3 2" xfId="39098" xr:uid="{00000000-0005-0000-0000-000036620000}"/>
    <cellStyle name="40% - Accent2 5 2 2 2 2 3 4" xfId="27797" xr:uid="{00000000-0005-0000-0000-000037620000}"/>
    <cellStyle name="40% - Accent2 5 2 2 2 2 4" xfId="7741" xr:uid="{00000000-0005-0000-0000-000038620000}"/>
    <cellStyle name="40% - Accent2 5 2 2 2 2 4 2" xfId="19042" xr:uid="{00000000-0005-0000-0000-000039620000}"/>
    <cellStyle name="40% - Accent2 5 2 2 2 2 4 2 2" xfId="41644" xr:uid="{00000000-0005-0000-0000-00003A620000}"/>
    <cellStyle name="40% - Accent2 5 2 2 2 2 4 3" xfId="30343" xr:uid="{00000000-0005-0000-0000-00003B620000}"/>
    <cellStyle name="40% - Accent2 5 2 2 2 2 5" xfId="13392" xr:uid="{00000000-0005-0000-0000-00003C620000}"/>
    <cellStyle name="40% - Accent2 5 2 2 2 2 5 2" xfId="35994" xr:uid="{00000000-0005-0000-0000-00003D620000}"/>
    <cellStyle name="40% - Accent2 5 2 2 2 2 6" xfId="24693" xr:uid="{00000000-0005-0000-0000-00003E620000}"/>
    <cellStyle name="40% - Accent2 5 2 2 2 3" xfId="2786" xr:uid="{00000000-0005-0000-0000-00003F620000}"/>
    <cellStyle name="40% - Accent2 5 2 2 2 3 2" xfId="5805" xr:uid="{00000000-0005-0000-0000-000040620000}"/>
    <cellStyle name="40% - Accent2 5 2 2 2 3 2 2" xfId="11455" xr:uid="{00000000-0005-0000-0000-000041620000}"/>
    <cellStyle name="40% - Accent2 5 2 2 2 3 2 2 2" xfId="22756" xr:uid="{00000000-0005-0000-0000-000042620000}"/>
    <cellStyle name="40% - Accent2 5 2 2 2 3 2 2 2 2" xfId="45358" xr:uid="{00000000-0005-0000-0000-000043620000}"/>
    <cellStyle name="40% - Accent2 5 2 2 2 3 2 2 3" xfId="34057" xr:uid="{00000000-0005-0000-0000-000044620000}"/>
    <cellStyle name="40% - Accent2 5 2 2 2 3 2 3" xfId="17106" xr:uid="{00000000-0005-0000-0000-000045620000}"/>
    <cellStyle name="40% - Accent2 5 2 2 2 3 2 3 2" xfId="39708" xr:uid="{00000000-0005-0000-0000-000046620000}"/>
    <cellStyle name="40% - Accent2 5 2 2 2 3 2 4" xfId="28407" xr:uid="{00000000-0005-0000-0000-000047620000}"/>
    <cellStyle name="40% - Accent2 5 2 2 2 3 3" xfId="8622" xr:uid="{00000000-0005-0000-0000-000048620000}"/>
    <cellStyle name="40% - Accent2 5 2 2 2 3 3 2" xfId="19923" xr:uid="{00000000-0005-0000-0000-000049620000}"/>
    <cellStyle name="40% - Accent2 5 2 2 2 3 3 2 2" xfId="42525" xr:uid="{00000000-0005-0000-0000-00004A620000}"/>
    <cellStyle name="40% - Accent2 5 2 2 2 3 3 3" xfId="31224" xr:uid="{00000000-0005-0000-0000-00004B620000}"/>
    <cellStyle name="40% - Accent2 5 2 2 2 3 4" xfId="14273" xr:uid="{00000000-0005-0000-0000-00004C620000}"/>
    <cellStyle name="40% - Accent2 5 2 2 2 3 4 2" xfId="36875" xr:uid="{00000000-0005-0000-0000-00004D620000}"/>
    <cellStyle name="40% - Accent2 5 2 2 2 3 5" xfId="25574" xr:uid="{00000000-0005-0000-0000-00004E620000}"/>
    <cellStyle name="40% - Accent2 5 2 2 2 4" xfId="4571" xr:uid="{00000000-0005-0000-0000-00004F620000}"/>
    <cellStyle name="40% - Accent2 5 2 2 2 4 2" xfId="10221" xr:uid="{00000000-0005-0000-0000-000050620000}"/>
    <cellStyle name="40% - Accent2 5 2 2 2 4 2 2" xfId="21522" xr:uid="{00000000-0005-0000-0000-000051620000}"/>
    <cellStyle name="40% - Accent2 5 2 2 2 4 2 2 2" xfId="44124" xr:uid="{00000000-0005-0000-0000-000052620000}"/>
    <cellStyle name="40% - Accent2 5 2 2 2 4 2 3" xfId="32823" xr:uid="{00000000-0005-0000-0000-000053620000}"/>
    <cellStyle name="40% - Accent2 5 2 2 2 4 3" xfId="15872" xr:uid="{00000000-0005-0000-0000-000054620000}"/>
    <cellStyle name="40% - Accent2 5 2 2 2 4 3 2" xfId="38474" xr:uid="{00000000-0005-0000-0000-000055620000}"/>
    <cellStyle name="40% - Accent2 5 2 2 2 4 4" xfId="27173" xr:uid="{00000000-0005-0000-0000-000056620000}"/>
    <cellStyle name="40% - Accent2 5 2 2 2 5" xfId="7367" xr:uid="{00000000-0005-0000-0000-000057620000}"/>
    <cellStyle name="40% - Accent2 5 2 2 2 5 2" xfId="18668" xr:uid="{00000000-0005-0000-0000-000058620000}"/>
    <cellStyle name="40% - Accent2 5 2 2 2 5 2 2" xfId="41270" xr:uid="{00000000-0005-0000-0000-000059620000}"/>
    <cellStyle name="40% - Accent2 5 2 2 2 5 3" xfId="29969" xr:uid="{00000000-0005-0000-0000-00005A620000}"/>
    <cellStyle name="40% - Accent2 5 2 2 2 6" xfId="13018" xr:uid="{00000000-0005-0000-0000-00005B620000}"/>
    <cellStyle name="40% - Accent2 5 2 2 2 6 2" xfId="35620" xr:uid="{00000000-0005-0000-0000-00005C620000}"/>
    <cellStyle name="40% - Accent2 5 2 2 2 7" xfId="24319" xr:uid="{00000000-0005-0000-0000-00005D620000}"/>
    <cellStyle name="40% - Accent2 5 2 2 3" xfId="1086" xr:uid="{00000000-0005-0000-0000-00005E620000}"/>
    <cellStyle name="40% - Accent2 5 2 2 3 2" xfId="3149" xr:uid="{00000000-0005-0000-0000-00005F620000}"/>
    <cellStyle name="40% - Accent2 5 2 2 3 2 2" xfId="6121" xr:uid="{00000000-0005-0000-0000-000060620000}"/>
    <cellStyle name="40% - Accent2 5 2 2 3 2 2 2" xfId="11771" xr:uid="{00000000-0005-0000-0000-000061620000}"/>
    <cellStyle name="40% - Accent2 5 2 2 3 2 2 2 2" xfId="23072" xr:uid="{00000000-0005-0000-0000-000062620000}"/>
    <cellStyle name="40% - Accent2 5 2 2 3 2 2 2 2 2" xfId="45674" xr:uid="{00000000-0005-0000-0000-000063620000}"/>
    <cellStyle name="40% - Accent2 5 2 2 3 2 2 2 3" xfId="34373" xr:uid="{00000000-0005-0000-0000-000064620000}"/>
    <cellStyle name="40% - Accent2 5 2 2 3 2 2 3" xfId="17422" xr:uid="{00000000-0005-0000-0000-000065620000}"/>
    <cellStyle name="40% - Accent2 5 2 2 3 2 2 3 2" xfId="40024" xr:uid="{00000000-0005-0000-0000-000066620000}"/>
    <cellStyle name="40% - Accent2 5 2 2 3 2 2 4" xfId="28723" xr:uid="{00000000-0005-0000-0000-000067620000}"/>
    <cellStyle name="40% - Accent2 5 2 2 3 2 3" xfId="8939" xr:uid="{00000000-0005-0000-0000-000068620000}"/>
    <cellStyle name="40% - Accent2 5 2 2 3 2 3 2" xfId="20240" xr:uid="{00000000-0005-0000-0000-000069620000}"/>
    <cellStyle name="40% - Accent2 5 2 2 3 2 3 2 2" xfId="42842" xr:uid="{00000000-0005-0000-0000-00006A620000}"/>
    <cellStyle name="40% - Accent2 5 2 2 3 2 3 3" xfId="31541" xr:uid="{00000000-0005-0000-0000-00006B620000}"/>
    <cellStyle name="40% - Accent2 5 2 2 3 2 4" xfId="14590" xr:uid="{00000000-0005-0000-0000-00006C620000}"/>
    <cellStyle name="40% - Accent2 5 2 2 3 2 4 2" xfId="37192" xr:uid="{00000000-0005-0000-0000-00006D620000}"/>
    <cellStyle name="40% - Accent2 5 2 2 3 2 5" xfId="25891" xr:uid="{00000000-0005-0000-0000-00006E620000}"/>
    <cellStyle name="40% - Accent2 5 2 2 3 3" xfId="4887" xr:uid="{00000000-0005-0000-0000-00006F620000}"/>
    <cellStyle name="40% - Accent2 5 2 2 3 3 2" xfId="10537" xr:uid="{00000000-0005-0000-0000-000070620000}"/>
    <cellStyle name="40% - Accent2 5 2 2 3 3 2 2" xfId="21838" xr:uid="{00000000-0005-0000-0000-000071620000}"/>
    <cellStyle name="40% - Accent2 5 2 2 3 3 2 2 2" xfId="44440" xr:uid="{00000000-0005-0000-0000-000072620000}"/>
    <cellStyle name="40% - Accent2 5 2 2 3 3 2 3" xfId="33139" xr:uid="{00000000-0005-0000-0000-000073620000}"/>
    <cellStyle name="40% - Accent2 5 2 2 3 3 3" xfId="16188" xr:uid="{00000000-0005-0000-0000-000074620000}"/>
    <cellStyle name="40% - Accent2 5 2 2 3 3 3 2" xfId="38790" xr:uid="{00000000-0005-0000-0000-000075620000}"/>
    <cellStyle name="40% - Accent2 5 2 2 3 3 4" xfId="27489" xr:uid="{00000000-0005-0000-0000-000076620000}"/>
    <cellStyle name="40% - Accent2 5 2 2 3 4" xfId="7074" xr:uid="{00000000-0005-0000-0000-000077620000}"/>
    <cellStyle name="40% - Accent2 5 2 2 3 4 2" xfId="18375" xr:uid="{00000000-0005-0000-0000-000078620000}"/>
    <cellStyle name="40% - Accent2 5 2 2 3 4 2 2" xfId="40977" xr:uid="{00000000-0005-0000-0000-000079620000}"/>
    <cellStyle name="40% - Accent2 5 2 2 3 4 3" xfId="29676" xr:uid="{00000000-0005-0000-0000-00007A620000}"/>
    <cellStyle name="40% - Accent2 5 2 2 3 5" xfId="12725" xr:uid="{00000000-0005-0000-0000-00007B620000}"/>
    <cellStyle name="40% - Accent2 5 2 2 3 5 2" xfId="35327" xr:uid="{00000000-0005-0000-0000-00007C620000}"/>
    <cellStyle name="40% - Accent2 5 2 2 3 6" xfId="24026" xr:uid="{00000000-0005-0000-0000-00007D620000}"/>
    <cellStyle name="40% - Accent2 5 2 2 4" xfId="1884" xr:uid="{00000000-0005-0000-0000-00007E620000}"/>
    <cellStyle name="40% - Accent2 5 2 2 4 2" xfId="3742" xr:uid="{00000000-0005-0000-0000-00007F620000}"/>
    <cellStyle name="40% - Accent2 5 2 2 4 2 2" xfId="9452" xr:uid="{00000000-0005-0000-0000-000080620000}"/>
    <cellStyle name="40% - Accent2 5 2 2 4 2 2 2" xfId="20753" xr:uid="{00000000-0005-0000-0000-000081620000}"/>
    <cellStyle name="40% - Accent2 5 2 2 4 2 2 2 2" xfId="43355" xr:uid="{00000000-0005-0000-0000-000082620000}"/>
    <cellStyle name="40% - Accent2 5 2 2 4 2 2 3" xfId="32054" xr:uid="{00000000-0005-0000-0000-000083620000}"/>
    <cellStyle name="40% - Accent2 5 2 2 4 2 3" xfId="15103" xr:uid="{00000000-0005-0000-0000-000084620000}"/>
    <cellStyle name="40% - Accent2 5 2 2 4 2 3 2" xfId="37705" xr:uid="{00000000-0005-0000-0000-000085620000}"/>
    <cellStyle name="40% - Accent2 5 2 2 4 2 4" xfId="26404" xr:uid="{00000000-0005-0000-0000-000086620000}"/>
    <cellStyle name="40% - Accent2 5 2 2 4 3" xfId="5497" xr:uid="{00000000-0005-0000-0000-000087620000}"/>
    <cellStyle name="40% - Accent2 5 2 2 4 3 2" xfId="11147" xr:uid="{00000000-0005-0000-0000-000088620000}"/>
    <cellStyle name="40% - Accent2 5 2 2 4 3 2 2" xfId="22448" xr:uid="{00000000-0005-0000-0000-000089620000}"/>
    <cellStyle name="40% - Accent2 5 2 2 4 3 2 2 2" xfId="45050" xr:uid="{00000000-0005-0000-0000-00008A620000}"/>
    <cellStyle name="40% - Accent2 5 2 2 4 3 2 3" xfId="33749" xr:uid="{00000000-0005-0000-0000-00008B620000}"/>
    <cellStyle name="40% - Accent2 5 2 2 4 3 3" xfId="16798" xr:uid="{00000000-0005-0000-0000-00008C620000}"/>
    <cellStyle name="40% - Accent2 5 2 2 4 3 3 2" xfId="39400" xr:uid="{00000000-0005-0000-0000-00008D620000}"/>
    <cellStyle name="40% - Accent2 5 2 2 4 3 4" xfId="28099" xr:uid="{00000000-0005-0000-0000-00008E620000}"/>
    <cellStyle name="40% - Accent2 5 2 2 4 4" xfId="7740" xr:uid="{00000000-0005-0000-0000-00008F620000}"/>
    <cellStyle name="40% - Accent2 5 2 2 4 4 2" xfId="19041" xr:uid="{00000000-0005-0000-0000-000090620000}"/>
    <cellStyle name="40% - Accent2 5 2 2 4 4 2 2" xfId="41643" xr:uid="{00000000-0005-0000-0000-000091620000}"/>
    <cellStyle name="40% - Accent2 5 2 2 4 4 3" xfId="30342" xr:uid="{00000000-0005-0000-0000-000092620000}"/>
    <cellStyle name="40% - Accent2 5 2 2 4 5" xfId="13391" xr:uid="{00000000-0005-0000-0000-000093620000}"/>
    <cellStyle name="40% - Accent2 5 2 2 4 5 2" xfId="35993" xr:uid="{00000000-0005-0000-0000-000094620000}"/>
    <cellStyle name="40% - Accent2 5 2 2 4 6" xfId="24692" xr:uid="{00000000-0005-0000-0000-000095620000}"/>
    <cellStyle name="40% - Accent2 5 2 2 5" xfId="2478" xr:uid="{00000000-0005-0000-0000-000096620000}"/>
    <cellStyle name="40% - Accent2 5 2 2 5 2" xfId="8314" xr:uid="{00000000-0005-0000-0000-000097620000}"/>
    <cellStyle name="40% - Accent2 5 2 2 5 2 2" xfId="19615" xr:uid="{00000000-0005-0000-0000-000098620000}"/>
    <cellStyle name="40% - Accent2 5 2 2 5 2 2 2" xfId="42217" xr:uid="{00000000-0005-0000-0000-000099620000}"/>
    <cellStyle name="40% - Accent2 5 2 2 5 2 3" xfId="30916" xr:uid="{00000000-0005-0000-0000-00009A620000}"/>
    <cellStyle name="40% - Accent2 5 2 2 5 3" xfId="13965" xr:uid="{00000000-0005-0000-0000-00009B620000}"/>
    <cellStyle name="40% - Accent2 5 2 2 5 3 2" xfId="36567" xr:uid="{00000000-0005-0000-0000-00009C620000}"/>
    <cellStyle name="40% - Accent2 5 2 2 5 4" xfId="25266" xr:uid="{00000000-0005-0000-0000-00009D620000}"/>
    <cellStyle name="40% - Accent2 5 2 2 6" xfId="4263" xr:uid="{00000000-0005-0000-0000-00009E620000}"/>
    <cellStyle name="40% - Accent2 5 2 2 6 2" xfId="9913" xr:uid="{00000000-0005-0000-0000-00009F620000}"/>
    <cellStyle name="40% - Accent2 5 2 2 6 2 2" xfId="21214" xr:uid="{00000000-0005-0000-0000-0000A0620000}"/>
    <cellStyle name="40% - Accent2 5 2 2 6 2 2 2" xfId="43816" xr:uid="{00000000-0005-0000-0000-0000A1620000}"/>
    <cellStyle name="40% - Accent2 5 2 2 6 2 3" xfId="32515" xr:uid="{00000000-0005-0000-0000-0000A2620000}"/>
    <cellStyle name="40% - Accent2 5 2 2 6 3" xfId="15564" xr:uid="{00000000-0005-0000-0000-0000A3620000}"/>
    <cellStyle name="40% - Accent2 5 2 2 6 3 2" xfId="38166" xr:uid="{00000000-0005-0000-0000-0000A4620000}"/>
    <cellStyle name="40% - Accent2 5 2 2 6 4" xfId="26865" xr:uid="{00000000-0005-0000-0000-0000A5620000}"/>
    <cellStyle name="40% - Accent2 5 2 2 7" xfId="6743" xr:uid="{00000000-0005-0000-0000-0000A6620000}"/>
    <cellStyle name="40% - Accent2 5 2 2 7 2" xfId="18044" xr:uid="{00000000-0005-0000-0000-0000A7620000}"/>
    <cellStyle name="40% - Accent2 5 2 2 7 2 2" xfId="40646" xr:uid="{00000000-0005-0000-0000-0000A8620000}"/>
    <cellStyle name="40% - Accent2 5 2 2 7 3" xfId="29345" xr:uid="{00000000-0005-0000-0000-0000A9620000}"/>
    <cellStyle name="40% - Accent2 5 2 2 8" xfId="12394" xr:uid="{00000000-0005-0000-0000-0000AA620000}"/>
    <cellStyle name="40% - Accent2 5 2 2 8 2" xfId="34996" xr:uid="{00000000-0005-0000-0000-0000AB620000}"/>
    <cellStyle name="40% - Accent2 5 2 2 9" xfId="23695" xr:uid="{00000000-0005-0000-0000-0000AC620000}"/>
    <cellStyle name="40% - Accent2 5 2 3" xfId="1250" xr:uid="{00000000-0005-0000-0000-0000AD620000}"/>
    <cellStyle name="40% - Accent2 5 2 3 2" xfId="1886" xr:uid="{00000000-0005-0000-0000-0000AE620000}"/>
    <cellStyle name="40% - Accent2 5 2 3 2 2" xfId="3318" xr:uid="{00000000-0005-0000-0000-0000AF620000}"/>
    <cellStyle name="40% - Accent2 5 2 3 2 2 2" xfId="6290" xr:uid="{00000000-0005-0000-0000-0000B0620000}"/>
    <cellStyle name="40% - Accent2 5 2 3 2 2 2 2" xfId="11940" xr:uid="{00000000-0005-0000-0000-0000B1620000}"/>
    <cellStyle name="40% - Accent2 5 2 3 2 2 2 2 2" xfId="23241" xr:uid="{00000000-0005-0000-0000-0000B2620000}"/>
    <cellStyle name="40% - Accent2 5 2 3 2 2 2 2 2 2" xfId="45843" xr:uid="{00000000-0005-0000-0000-0000B3620000}"/>
    <cellStyle name="40% - Accent2 5 2 3 2 2 2 2 3" xfId="34542" xr:uid="{00000000-0005-0000-0000-0000B4620000}"/>
    <cellStyle name="40% - Accent2 5 2 3 2 2 2 3" xfId="17591" xr:uid="{00000000-0005-0000-0000-0000B5620000}"/>
    <cellStyle name="40% - Accent2 5 2 3 2 2 2 3 2" xfId="40193" xr:uid="{00000000-0005-0000-0000-0000B6620000}"/>
    <cellStyle name="40% - Accent2 5 2 3 2 2 2 4" xfId="28892" xr:uid="{00000000-0005-0000-0000-0000B7620000}"/>
    <cellStyle name="40% - Accent2 5 2 3 2 2 3" xfId="9108" xr:uid="{00000000-0005-0000-0000-0000B8620000}"/>
    <cellStyle name="40% - Accent2 5 2 3 2 2 3 2" xfId="20409" xr:uid="{00000000-0005-0000-0000-0000B9620000}"/>
    <cellStyle name="40% - Accent2 5 2 3 2 2 3 2 2" xfId="43011" xr:uid="{00000000-0005-0000-0000-0000BA620000}"/>
    <cellStyle name="40% - Accent2 5 2 3 2 2 3 3" xfId="31710" xr:uid="{00000000-0005-0000-0000-0000BB620000}"/>
    <cellStyle name="40% - Accent2 5 2 3 2 2 4" xfId="14759" xr:uid="{00000000-0005-0000-0000-0000BC620000}"/>
    <cellStyle name="40% - Accent2 5 2 3 2 2 4 2" xfId="37361" xr:uid="{00000000-0005-0000-0000-0000BD620000}"/>
    <cellStyle name="40% - Accent2 5 2 3 2 2 5" xfId="26060" xr:uid="{00000000-0005-0000-0000-0000BE620000}"/>
    <cellStyle name="40% - Accent2 5 2 3 2 3" xfId="5056" xr:uid="{00000000-0005-0000-0000-0000BF620000}"/>
    <cellStyle name="40% - Accent2 5 2 3 2 3 2" xfId="10706" xr:uid="{00000000-0005-0000-0000-0000C0620000}"/>
    <cellStyle name="40% - Accent2 5 2 3 2 3 2 2" xfId="22007" xr:uid="{00000000-0005-0000-0000-0000C1620000}"/>
    <cellStyle name="40% - Accent2 5 2 3 2 3 2 2 2" xfId="44609" xr:uid="{00000000-0005-0000-0000-0000C2620000}"/>
    <cellStyle name="40% - Accent2 5 2 3 2 3 2 3" xfId="33308" xr:uid="{00000000-0005-0000-0000-0000C3620000}"/>
    <cellStyle name="40% - Accent2 5 2 3 2 3 3" xfId="16357" xr:uid="{00000000-0005-0000-0000-0000C4620000}"/>
    <cellStyle name="40% - Accent2 5 2 3 2 3 3 2" xfId="38959" xr:uid="{00000000-0005-0000-0000-0000C5620000}"/>
    <cellStyle name="40% - Accent2 5 2 3 2 3 4" xfId="27658" xr:uid="{00000000-0005-0000-0000-0000C6620000}"/>
    <cellStyle name="40% - Accent2 5 2 3 2 4" xfId="7742" xr:uid="{00000000-0005-0000-0000-0000C7620000}"/>
    <cellStyle name="40% - Accent2 5 2 3 2 4 2" xfId="19043" xr:uid="{00000000-0005-0000-0000-0000C8620000}"/>
    <cellStyle name="40% - Accent2 5 2 3 2 4 2 2" xfId="41645" xr:uid="{00000000-0005-0000-0000-0000C9620000}"/>
    <cellStyle name="40% - Accent2 5 2 3 2 4 3" xfId="30344" xr:uid="{00000000-0005-0000-0000-0000CA620000}"/>
    <cellStyle name="40% - Accent2 5 2 3 2 5" xfId="13393" xr:uid="{00000000-0005-0000-0000-0000CB620000}"/>
    <cellStyle name="40% - Accent2 5 2 3 2 5 2" xfId="35995" xr:uid="{00000000-0005-0000-0000-0000CC620000}"/>
    <cellStyle name="40% - Accent2 5 2 3 2 6" xfId="24694" xr:uid="{00000000-0005-0000-0000-0000CD620000}"/>
    <cellStyle name="40% - Accent2 5 2 3 3" xfId="2647" xr:uid="{00000000-0005-0000-0000-0000CE620000}"/>
    <cellStyle name="40% - Accent2 5 2 3 3 2" xfId="5666" xr:uid="{00000000-0005-0000-0000-0000CF620000}"/>
    <cellStyle name="40% - Accent2 5 2 3 3 2 2" xfId="11316" xr:uid="{00000000-0005-0000-0000-0000D0620000}"/>
    <cellStyle name="40% - Accent2 5 2 3 3 2 2 2" xfId="22617" xr:uid="{00000000-0005-0000-0000-0000D1620000}"/>
    <cellStyle name="40% - Accent2 5 2 3 3 2 2 2 2" xfId="45219" xr:uid="{00000000-0005-0000-0000-0000D2620000}"/>
    <cellStyle name="40% - Accent2 5 2 3 3 2 2 3" xfId="33918" xr:uid="{00000000-0005-0000-0000-0000D3620000}"/>
    <cellStyle name="40% - Accent2 5 2 3 3 2 3" xfId="16967" xr:uid="{00000000-0005-0000-0000-0000D4620000}"/>
    <cellStyle name="40% - Accent2 5 2 3 3 2 3 2" xfId="39569" xr:uid="{00000000-0005-0000-0000-0000D5620000}"/>
    <cellStyle name="40% - Accent2 5 2 3 3 2 4" xfId="28268" xr:uid="{00000000-0005-0000-0000-0000D6620000}"/>
    <cellStyle name="40% - Accent2 5 2 3 3 3" xfId="8483" xr:uid="{00000000-0005-0000-0000-0000D7620000}"/>
    <cellStyle name="40% - Accent2 5 2 3 3 3 2" xfId="19784" xr:uid="{00000000-0005-0000-0000-0000D8620000}"/>
    <cellStyle name="40% - Accent2 5 2 3 3 3 2 2" xfId="42386" xr:uid="{00000000-0005-0000-0000-0000D9620000}"/>
    <cellStyle name="40% - Accent2 5 2 3 3 3 3" xfId="31085" xr:uid="{00000000-0005-0000-0000-0000DA620000}"/>
    <cellStyle name="40% - Accent2 5 2 3 3 4" xfId="14134" xr:uid="{00000000-0005-0000-0000-0000DB620000}"/>
    <cellStyle name="40% - Accent2 5 2 3 3 4 2" xfId="36736" xr:uid="{00000000-0005-0000-0000-0000DC620000}"/>
    <cellStyle name="40% - Accent2 5 2 3 3 5" xfId="25435" xr:uid="{00000000-0005-0000-0000-0000DD620000}"/>
    <cellStyle name="40% - Accent2 5 2 3 4" xfId="4432" xr:uid="{00000000-0005-0000-0000-0000DE620000}"/>
    <cellStyle name="40% - Accent2 5 2 3 4 2" xfId="10082" xr:uid="{00000000-0005-0000-0000-0000DF620000}"/>
    <cellStyle name="40% - Accent2 5 2 3 4 2 2" xfId="21383" xr:uid="{00000000-0005-0000-0000-0000E0620000}"/>
    <cellStyle name="40% - Accent2 5 2 3 4 2 2 2" xfId="43985" xr:uid="{00000000-0005-0000-0000-0000E1620000}"/>
    <cellStyle name="40% - Accent2 5 2 3 4 2 3" xfId="32684" xr:uid="{00000000-0005-0000-0000-0000E2620000}"/>
    <cellStyle name="40% - Accent2 5 2 3 4 3" xfId="15733" xr:uid="{00000000-0005-0000-0000-0000E3620000}"/>
    <cellStyle name="40% - Accent2 5 2 3 4 3 2" xfId="38335" xr:uid="{00000000-0005-0000-0000-0000E4620000}"/>
    <cellStyle name="40% - Accent2 5 2 3 4 4" xfId="27034" xr:uid="{00000000-0005-0000-0000-0000E5620000}"/>
    <cellStyle name="40% - Accent2 5 2 3 5" xfId="7229" xr:uid="{00000000-0005-0000-0000-0000E6620000}"/>
    <cellStyle name="40% - Accent2 5 2 3 5 2" xfId="18530" xr:uid="{00000000-0005-0000-0000-0000E7620000}"/>
    <cellStyle name="40% - Accent2 5 2 3 5 2 2" xfId="41132" xr:uid="{00000000-0005-0000-0000-0000E8620000}"/>
    <cellStyle name="40% - Accent2 5 2 3 5 3" xfId="29831" xr:uid="{00000000-0005-0000-0000-0000E9620000}"/>
    <cellStyle name="40% - Accent2 5 2 3 6" xfId="12880" xr:uid="{00000000-0005-0000-0000-0000EA620000}"/>
    <cellStyle name="40% - Accent2 5 2 3 6 2" xfId="35482" xr:uid="{00000000-0005-0000-0000-0000EB620000}"/>
    <cellStyle name="40% - Accent2 5 2 3 7" xfId="24181" xr:uid="{00000000-0005-0000-0000-0000EC620000}"/>
    <cellStyle name="40% - Accent2 5 2 4" xfId="941" xr:uid="{00000000-0005-0000-0000-0000ED620000}"/>
    <cellStyle name="40% - Accent2 5 2 4 2" xfId="3011" xr:uid="{00000000-0005-0000-0000-0000EE620000}"/>
    <cellStyle name="40% - Accent2 5 2 4 2 2" xfId="5983" xr:uid="{00000000-0005-0000-0000-0000EF620000}"/>
    <cellStyle name="40% - Accent2 5 2 4 2 2 2" xfId="11633" xr:uid="{00000000-0005-0000-0000-0000F0620000}"/>
    <cellStyle name="40% - Accent2 5 2 4 2 2 2 2" xfId="22934" xr:uid="{00000000-0005-0000-0000-0000F1620000}"/>
    <cellStyle name="40% - Accent2 5 2 4 2 2 2 2 2" xfId="45536" xr:uid="{00000000-0005-0000-0000-0000F2620000}"/>
    <cellStyle name="40% - Accent2 5 2 4 2 2 2 3" xfId="34235" xr:uid="{00000000-0005-0000-0000-0000F3620000}"/>
    <cellStyle name="40% - Accent2 5 2 4 2 2 3" xfId="17284" xr:uid="{00000000-0005-0000-0000-0000F4620000}"/>
    <cellStyle name="40% - Accent2 5 2 4 2 2 3 2" xfId="39886" xr:uid="{00000000-0005-0000-0000-0000F5620000}"/>
    <cellStyle name="40% - Accent2 5 2 4 2 2 4" xfId="28585" xr:uid="{00000000-0005-0000-0000-0000F6620000}"/>
    <cellStyle name="40% - Accent2 5 2 4 2 3" xfId="8801" xr:uid="{00000000-0005-0000-0000-0000F7620000}"/>
    <cellStyle name="40% - Accent2 5 2 4 2 3 2" xfId="20102" xr:uid="{00000000-0005-0000-0000-0000F8620000}"/>
    <cellStyle name="40% - Accent2 5 2 4 2 3 2 2" xfId="42704" xr:uid="{00000000-0005-0000-0000-0000F9620000}"/>
    <cellStyle name="40% - Accent2 5 2 4 2 3 3" xfId="31403" xr:uid="{00000000-0005-0000-0000-0000FA620000}"/>
    <cellStyle name="40% - Accent2 5 2 4 2 4" xfId="14452" xr:uid="{00000000-0005-0000-0000-0000FB620000}"/>
    <cellStyle name="40% - Accent2 5 2 4 2 4 2" xfId="37054" xr:uid="{00000000-0005-0000-0000-0000FC620000}"/>
    <cellStyle name="40% - Accent2 5 2 4 2 5" xfId="25753" xr:uid="{00000000-0005-0000-0000-0000FD620000}"/>
    <cellStyle name="40% - Accent2 5 2 4 3" xfId="4749" xr:uid="{00000000-0005-0000-0000-0000FE620000}"/>
    <cellStyle name="40% - Accent2 5 2 4 3 2" xfId="10399" xr:uid="{00000000-0005-0000-0000-0000FF620000}"/>
    <cellStyle name="40% - Accent2 5 2 4 3 2 2" xfId="21700" xr:uid="{00000000-0005-0000-0000-000000630000}"/>
    <cellStyle name="40% - Accent2 5 2 4 3 2 2 2" xfId="44302" xr:uid="{00000000-0005-0000-0000-000001630000}"/>
    <cellStyle name="40% - Accent2 5 2 4 3 2 3" xfId="33001" xr:uid="{00000000-0005-0000-0000-000002630000}"/>
    <cellStyle name="40% - Accent2 5 2 4 3 3" xfId="16050" xr:uid="{00000000-0005-0000-0000-000003630000}"/>
    <cellStyle name="40% - Accent2 5 2 4 3 3 2" xfId="38652" xr:uid="{00000000-0005-0000-0000-000004630000}"/>
    <cellStyle name="40% - Accent2 5 2 4 3 4" xfId="27351" xr:uid="{00000000-0005-0000-0000-000005630000}"/>
    <cellStyle name="40% - Accent2 5 2 4 4" xfId="6936" xr:uid="{00000000-0005-0000-0000-000006630000}"/>
    <cellStyle name="40% - Accent2 5 2 4 4 2" xfId="18237" xr:uid="{00000000-0005-0000-0000-000007630000}"/>
    <cellStyle name="40% - Accent2 5 2 4 4 2 2" xfId="40839" xr:uid="{00000000-0005-0000-0000-000008630000}"/>
    <cellStyle name="40% - Accent2 5 2 4 4 3" xfId="29538" xr:uid="{00000000-0005-0000-0000-000009630000}"/>
    <cellStyle name="40% - Accent2 5 2 4 5" xfId="12587" xr:uid="{00000000-0005-0000-0000-00000A630000}"/>
    <cellStyle name="40% - Accent2 5 2 4 5 2" xfId="35189" xr:uid="{00000000-0005-0000-0000-00000B630000}"/>
    <cellStyle name="40% - Accent2 5 2 4 6" xfId="23888" xr:uid="{00000000-0005-0000-0000-00000C630000}"/>
    <cellStyle name="40% - Accent2 5 2 5" xfId="1883" xr:uid="{00000000-0005-0000-0000-00000D630000}"/>
    <cellStyle name="40% - Accent2 5 2 5 2" xfId="3741" xr:uid="{00000000-0005-0000-0000-00000E630000}"/>
    <cellStyle name="40% - Accent2 5 2 5 2 2" xfId="9451" xr:uid="{00000000-0005-0000-0000-00000F630000}"/>
    <cellStyle name="40% - Accent2 5 2 5 2 2 2" xfId="20752" xr:uid="{00000000-0005-0000-0000-000010630000}"/>
    <cellStyle name="40% - Accent2 5 2 5 2 2 2 2" xfId="43354" xr:uid="{00000000-0005-0000-0000-000011630000}"/>
    <cellStyle name="40% - Accent2 5 2 5 2 2 3" xfId="32053" xr:uid="{00000000-0005-0000-0000-000012630000}"/>
    <cellStyle name="40% - Accent2 5 2 5 2 3" xfId="15102" xr:uid="{00000000-0005-0000-0000-000013630000}"/>
    <cellStyle name="40% - Accent2 5 2 5 2 3 2" xfId="37704" xr:uid="{00000000-0005-0000-0000-000014630000}"/>
    <cellStyle name="40% - Accent2 5 2 5 2 4" xfId="26403" xr:uid="{00000000-0005-0000-0000-000015630000}"/>
    <cellStyle name="40% - Accent2 5 2 5 3" xfId="5359" xr:uid="{00000000-0005-0000-0000-000016630000}"/>
    <cellStyle name="40% - Accent2 5 2 5 3 2" xfId="11009" xr:uid="{00000000-0005-0000-0000-000017630000}"/>
    <cellStyle name="40% - Accent2 5 2 5 3 2 2" xfId="22310" xr:uid="{00000000-0005-0000-0000-000018630000}"/>
    <cellStyle name="40% - Accent2 5 2 5 3 2 2 2" xfId="44912" xr:uid="{00000000-0005-0000-0000-000019630000}"/>
    <cellStyle name="40% - Accent2 5 2 5 3 2 3" xfId="33611" xr:uid="{00000000-0005-0000-0000-00001A630000}"/>
    <cellStyle name="40% - Accent2 5 2 5 3 3" xfId="16660" xr:uid="{00000000-0005-0000-0000-00001B630000}"/>
    <cellStyle name="40% - Accent2 5 2 5 3 3 2" xfId="39262" xr:uid="{00000000-0005-0000-0000-00001C630000}"/>
    <cellStyle name="40% - Accent2 5 2 5 3 4" xfId="27961" xr:uid="{00000000-0005-0000-0000-00001D630000}"/>
    <cellStyle name="40% - Accent2 5 2 5 4" xfId="7739" xr:uid="{00000000-0005-0000-0000-00001E630000}"/>
    <cellStyle name="40% - Accent2 5 2 5 4 2" xfId="19040" xr:uid="{00000000-0005-0000-0000-00001F630000}"/>
    <cellStyle name="40% - Accent2 5 2 5 4 2 2" xfId="41642" xr:uid="{00000000-0005-0000-0000-000020630000}"/>
    <cellStyle name="40% - Accent2 5 2 5 4 3" xfId="30341" xr:uid="{00000000-0005-0000-0000-000021630000}"/>
    <cellStyle name="40% - Accent2 5 2 5 5" xfId="13390" xr:uid="{00000000-0005-0000-0000-000022630000}"/>
    <cellStyle name="40% - Accent2 5 2 5 5 2" xfId="35992" xr:uid="{00000000-0005-0000-0000-000023630000}"/>
    <cellStyle name="40% - Accent2 5 2 5 6" xfId="24691" xr:uid="{00000000-0005-0000-0000-000024630000}"/>
    <cellStyle name="40% - Accent2 5 2 6" xfId="2338" xr:uid="{00000000-0005-0000-0000-000025630000}"/>
    <cellStyle name="40% - Accent2 5 2 6 2" xfId="8174" xr:uid="{00000000-0005-0000-0000-000026630000}"/>
    <cellStyle name="40% - Accent2 5 2 6 2 2" xfId="19475" xr:uid="{00000000-0005-0000-0000-000027630000}"/>
    <cellStyle name="40% - Accent2 5 2 6 2 2 2" xfId="42077" xr:uid="{00000000-0005-0000-0000-000028630000}"/>
    <cellStyle name="40% - Accent2 5 2 6 2 3" xfId="30776" xr:uid="{00000000-0005-0000-0000-000029630000}"/>
    <cellStyle name="40% - Accent2 5 2 6 3" xfId="13825" xr:uid="{00000000-0005-0000-0000-00002A630000}"/>
    <cellStyle name="40% - Accent2 5 2 6 3 2" xfId="36427" xr:uid="{00000000-0005-0000-0000-00002B630000}"/>
    <cellStyle name="40% - Accent2 5 2 6 4" xfId="25126" xr:uid="{00000000-0005-0000-0000-00002C630000}"/>
    <cellStyle name="40% - Accent2 5 2 7" xfId="4125" xr:uid="{00000000-0005-0000-0000-00002D630000}"/>
    <cellStyle name="40% - Accent2 5 2 7 2" xfId="9775" xr:uid="{00000000-0005-0000-0000-00002E630000}"/>
    <cellStyle name="40% - Accent2 5 2 7 2 2" xfId="21076" xr:uid="{00000000-0005-0000-0000-00002F630000}"/>
    <cellStyle name="40% - Accent2 5 2 7 2 2 2" xfId="43678" xr:uid="{00000000-0005-0000-0000-000030630000}"/>
    <cellStyle name="40% - Accent2 5 2 7 2 3" xfId="32377" xr:uid="{00000000-0005-0000-0000-000031630000}"/>
    <cellStyle name="40% - Accent2 5 2 7 3" xfId="15426" xr:uid="{00000000-0005-0000-0000-000032630000}"/>
    <cellStyle name="40% - Accent2 5 2 7 3 2" xfId="38028" xr:uid="{00000000-0005-0000-0000-000033630000}"/>
    <cellStyle name="40% - Accent2 5 2 7 4" xfId="26727" xr:uid="{00000000-0005-0000-0000-000034630000}"/>
    <cellStyle name="40% - Accent2 5 2 8" xfId="6576" xr:uid="{00000000-0005-0000-0000-000035630000}"/>
    <cellStyle name="40% - Accent2 5 2 8 2" xfId="17877" xr:uid="{00000000-0005-0000-0000-000036630000}"/>
    <cellStyle name="40% - Accent2 5 2 8 2 2" xfId="40479" xr:uid="{00000000-0005-0000-0000-000037630000}"/>
    <cellStyle name="40% - Accent2 5 2 8 3" xfId="29178" xr:uid="{00000000-0005-0000-0000-000038630000}"/>
    <cellStyle name="40% - Accent2 5 2 9" xfId="12227" xr:uid="{00000000-0005-0000-0000-000039630000}"/>
    <cellStyle name="40% - Accent2 5 2 9 2" xfId="34829" xr:uid="{00000000-0005-0000-0000-00003A630000}"/>
    <cellStyle name="40% - Accent2 5 3" xfId="581" xr:uid="{00000000-0005-0000-0000-00003B630000}"/>
    <cellStyle name="40% - Accent2 5 3 2" xfId="1294" xr:uid="{00000000-0005-0000-0000-00003C630000}"/>
    <cellStyle name="40% - Accent2 5 3 2 2" xfId="1888" xr:uid="{00000000-0005-0000-0000-00003D630000}"/>
    <cellStyle name="40% - Accent2 5 3 2 2 2" xfId="3363" xr:uid="{00000000-0005-0000-0000-00003E630000}"/>
    <cellStyle name="40% - Accent2 5 3 2 2 2 2" xfId="6335" xr:uid="{00000000-0005-0000-0000-00003F630000}"/>
    <cellStyle name="40% - Accent2 5 3 2 2 2 2 2" xfId="11985" xr:uid="{00000000-0005-0000-0000-000040630000}"/>
    <cellStyle name="40% - Accent2 5 3 2 2 2 2 2 2" xfId="23286" xr:uid="{00000000-0005-0000-0000-000041630000}"/>
    <cellStyle name="40% - Accent2 5 3 2 2 2 2 2 2 2" xfId="45888" xr:uid="{00000000-0005-0000-0000-000042630000}"/>
    <cellStyle name="40% - Accent2 5 3 2 2 2 2 2 3" xfId="34587" xr:uid="{00000000-0005-0000-0000-000043630000}"/>
    <cellStyle name="40% - Accent2 5 3 2 2 2 2 3" xfId="17636" xr:uid="{00000000-0005-0000-0000-000044630000}"/>
    <cellStyle name="40% - Accent2 5 3 2 2 2 2 3 2" xfId="40238" xr:uid="{00000000-0005-0000-0000-000045630000}"/>
    <cellStyle name="40% - Accent2 5 3 2 2 2 2 4" xfId="28937" xr:uid="{00000000-0005-0000-0000-000046630000}"/>
    <cellStyle name="40% - Accent2 5 3 2 2 2 3" xfId="9153" xr:uid="{00000000-0005-0000-0000-000047630000}"/>
    <cellStyle name="40% - Accent2 5 3 2 2 2 3 2" xfId="20454" xr:uid="{00000000-0005-0000-0000-000048630000}"/>
    <cellStyle name="40% - Accent2 5 3 2 2 2 3 2 2" xfId="43056" xr:uid="{00000000-0005-0000-0000-000049630000}"/>
    <cellStyle name="40% - Accent2 5 3 2 2 2 3 3" xfId="31755" xr:uid="{00000000-0005-0000-0000-00004A630000}"/>
    <cellStyle name="40% - Accent2 5 3 2 2 2 4" xfId="14804" xr:uid="{00000000-0005-0000-0000-00004B630000}"/>
    <cellStyle name="40% - Accent2 5 3 2 2 2 4 2" xfId="37406" xr:uid="{00000000-0005-0000-0000-00004C630000}"/>
    <cellStyle name="40% - Accent2 5 3 2 2 2 5" xfId="26105" xr:uid="{00000000-0005-0000-0000-00004D630000}"/>
    <cellStyle name="40% - Accent2 5 3 2 2 3" xfId="5101" xr:uid="{00000000-0005-0000-0000-00004E630000}"/>
    <cellStyle name="40% - Accent2 5 3 2 2 3 2" xfId="10751" xr:uid="{00000000-0005-0000-0000-00004F630000}"/>
    <cellStyle name="40% - Accent2 5 3 2 2 3 2 2" xfId="22052" xr:uid="{00000000-0005-0000-0000-000050630000}"/>
    <cellStyle name="40% - Accent2 5 3 2 2 3 2 2 2" xfId="44654" xr:uid="{00000000-0005-0000-0000-000051630000}"/>
    <cellStyle name="40% - Accent2 5 3 2 2 3 2 3" xfId="33353" xr:uid="{00000000-0005-0000-0000-000052630000}"/>
    <cellStyle name="40% - Accent2 5 3 2 2 3 3" xfId="16402" xr:uid="{00000000-0005-0000-0000-000053630000}"/>
    <cellStyle name="40% - Accent2 5 3 2 2 3 3 2" xfId="39004" xr:uid="{00000000-0005-0000-0000-000054630000}"/>
    <cellStyle name="40% - Accent2 5 3 2 2 3 4" xfId="27703" xr:uid="{00000000-0005-0000-0000-000055630000}"/>
    <cellStyle name="40% - Accent2 5 3 2 2 4" xfId="7744" xr:uid="{00000000-0005-0000-0000-000056630000}"/>
    <cellStyle name="40% - Accent2 5 3 2 2 4 2" xfId="19045" xr:uid="{00000000-0005-0000-0000-000057630000}"/>
    <cellStyle name="40% - Accent2 5 3 2 2 4 2 2" xfId="41647" xr:uid="{00000000-0005-0000-0000-000058630000}"/>
    <cellStyle name="40% - Accent2 5 3 2 2 4 3" xfId="30346" xr:uid="{00000000-0005-0000-0000-000059630000}"/>
    <cellStyle name="40% - Accent2 5 3 2 2 5" xfId="13395" xr:uid="{00000000-0005-0000-0000-00005A630000}"/>
    <cellStyle name="40% - Accent2 5 3 2 2 5 2" xfId="35997" xr:uid="{00000000-0005-0000-0000-00005B630000}"/>
    <cellStyle name="40% - Accent2 5 3 2 2 6" xfId="24696" xr:uid="{00000000-0005-0000-0000-00005C630000}"/>
    <cellStyle name="40% - Accent2 5 3 2 3" xfId="2692" xr:uid="{00000000-0005-0000-0000-00005D630000}"/>
    <cellStyle name="40% - Accent2 5 3 2 3 2" xfId="5711" xr:uid="{00000000-0005-0000-0000-00005E630000}"/>
    <cellStyle name="40% - Accent2 5 3 2 3 2 2" xfId="11361" xr:uid="{00000000-0005-0000-0000-00005F630000}"/>
    <cellStyle name="40% - Accent2 5 3 2 3 2 2 2" xfId="22662" xr:uid="{00000000-0005-0000-0000-000060630000}"/>
    <cellStyle name="40% - Accent2 5 3 2 3 2 2 2 2" xfId="45264" xr:uid="{00000000-0005-0000-0000-000061630000}"/>
    <cellStyle name="40% - Accent2 5 3 2 3 2 2 3" xfId="33963" xr:uid="{00000000-0005-0000-0000-000062630000}"/>
    <cellStyle name="40% - Accent2 5 3 2 3 2 3" xfId="17012" xr:uid="{00000000-0005-0000-0000-000063630000}"/>
    <cellStyle name="40% - Accent2 5 3 2 3 2 3 2" xfId="39614" xr:uid="{00000000-0005-0000-0000-000064630000}"/>
    <cellStyle name="40% - Accent2 5 3 2 3 2 4" xfId="28313" xr:uid="{00000000-0005-0000-0000-000065630000}"/>
    <cellStyle name="40% - Accent2 5 3 2 3 3" xfId="8528" xr:uid="{00000000-0005-0000-0000-000066630000}"/>
    <cellStyle name="40% - Accent2 5 3 2 3 3 2" xfId="19829" xr:uid="{00000000-0005-0000-0000-000067630000}"/>
    <cellStyle name="40% - Accent2 5 3 2 3 3 2 2" xfId="42431" xr:uid="{00000000-0005-0000-0000-000068630000}"/>
    <cellStyle name="40% - Accent2 5 3 2 3 3 3" xfId="31130" xr:uid="{00000000-0005-0000-0000-000069630000}"/>
    <cellStyle name="40% - Accent2 5 3 2 3 4" xfId="14179" xr:uid="{00000000-0005-0000-0000-00006A630000}"/>
    <cellStyle name="40% - Accent2 5 3 2 3 4 2" xfId="36781" xr:uid="{00000000-0005-0000-0000-00006B630000}"/>
    <cellStyle name="40% - Accent2 5 3 2 3 5" xfId="25480" xr:uid="{00000000-0005-0000-0000-00006C630000}"/>
    <cellStyle name="40% - Accent2 5 3 2 4" xfId="4477" xr:uid="{00000000-0005-0000-0000-00006D630000}"/>
    <cellStyle name="40% - Accent2 5 3 2 4 2" xfId="10127" xr:uid="{00000000-0005-0000-0000-00006E630000}"/>
    <cellStyle name="40% - Accent2 5 3 2 4 2 2" xfId="21428" xr:uid="{00000000-0005-0000-0000-00006F630000}"/>
    <cellStyle name="40% - Accent2 5 3 2 4 2 2 2" xfId="44030" xr:uid="{00000000-0005-0000-0000-000070630000}"/>
    <cellStyle name="40% - Accent2 5 3 2 4 2 3" xfId="32729" xr:uid="{00000000-0005-0000-0000-000071630000}"/>
    <cellStyle name="40% - Accent2 5 3 2 4 3" xfId="15778" xr:uid="{00000000-0005-0000-0000-000072630000}"/>
    <cellStyle name="40% - Accent2 5 3 2 4 3 2" xfId="38380" xr:uid="{00000000-0005-0000-0000-000073630000}"/>
    <cellStyle name="40% - Accent2 5 3 2 4 4" xfId="27079" xr:uid="{00000000-0005-0000-0000-000074630000}"/>
    <cellStyle name="40% - Accent2 5 3 2 5" xfId="7273" xr:uid="{00000000-0005-0000-0000-000075630000}"/>
    <cellStyle name="40% - Accent2 5 3 2 5 2" xfId="18574" xr:uid="{00000000-0005-0000-0000-000076630000}"/>
    <cellStyle name="40% - Accent2 5 3 2 5 2 2" xfId="41176" xr:uid="{00000000-0005-0000-0000-000077630000}"/>
    <cellStyle name="40% - Accent2 5 3 2 5 3" xfId="29875" xr:uid="{00000000-0005-0000-0000-000078630000}"/>
    <cellStyle name="40% - Accent2 5 3 2 6" xfId="12924" xr:uid="{00000000-0005-0000-0000-000079630000}"/>
    <cellStyle name="40% - Accent2 5 3 2 6 2" xfId="35526" xr:uid="{00000000-0005-0000-0000-00007A630000}"/>
    <cellStyle name="40% - Accent2 5 3 2 7" xfId="24225" xr:uid="{00000000-0005-0000-0000-00007B630000}"/>
    <cellStyle name="40% - Accent2 5 3 3" xfId="992" xr:uid="{00000000-0005-0000-0000-00007C630000}"/>
    <cellStyle name="40% - Accent2 5 3 3 2" xfId="3055" xr:uid="{00000000-0005-0000-0000-00007D630000}"/>
    <cellStyle name="40% - Accent2 5 3 3 2 2" xfId="6027" xr:uid="{00000000-0005-0000-0000-00007E630000}"/>
    <cellStyle name="40% - Accent2 5 3 3 2 2 2" xfId="11677" xr:uid="{00000000-0005-0000-0000-00007F630000}"/>
    <cellStyle name="40% - Accent2 5 3 3 2 2 2 2" xfId="22978" xr:uid="{00000000-0005-0000-0000-000080630000}"/>
    <cellStyle name="40% - Accent2 5 3 3 2 2 2 2 2" xfId="45580" xr:uid="{00000000-0005-0000-0000-000081630000}"/>
    <cellStyle name="40% - Accent2 5 3 3 2 2 2 3" xfId="34279" xr:uid="{00000000-0005-0000-0000-000082630000}"/>
    <cellStyle name="40% - Accent2 5 3 3 2 2 3" xfId="17328" xr:uid="{00000000-0005-0000-0000-000083630000}"/>
    <cellStyle name="40% - Accent2 5 3 3 2 2 3 2" xfId="39930" xr:uid="{00000000-0005-0000-0000-000084630000}"/>
    <cellStyle name="40% - Accent2 5 3 3 2 2 4" xfId="28629" xr:uid="{00000000-0005-0000-0000-000085630000}"/>
    <cellStyle name="40% - Accent2 5 3 3 2 3" xfId="8845" xr:uid="{00000000-0005-0000-0000-000086630000}"/>
    <cellStyle name="40% - Accent2 5 3 3 2 3 2" xfId="20146" xr:uid="{00000000-0005-0000-0000-000087630000}"/>
    <cellStyle name="40% - Accent2 5 3 3 2 3 2 2" xfId="42748" xr:uid="{00000000-0005-0000-0000-000088630000}"/>
    <cellStyle name="40% - Accent2 5 3 3 2 3 3" xfId="31447" xr:uid="{00000000-0005-0000-0000-000089630000}"/>
    <cellStyle name="40% - Accent2 5 3 3 2 4" xfId="14496" xr:uid="{00000000-0005-0000-0000-00008A630000}"/>
    <cellStyle name="40% - Accent2 5 3 3 2 4 2" xfId="37098" xr:uid="{00000000-0005-0000-0000-00008B630000}"/>
    <cellStyle name="40% - Accent2 5 3 3 2 5" xfId="25797" xr:uid="{00000000-0005-0000-0000-00008C630000}"/>
    <cellStyle name="40% - Accent2 5 3 3 3" xfId="4793" xr:uid="{00000000-0005-0000-0000-00008D630000}"/>
    <cellStyle name="40% - Accent2 5 3 3 3 2" xfId="10443" xr:uid="{00000000-0005-0000-0000-00008E630000}"/>
    <cellStyle name="40% - Accent2 5 3 3 3 2 2" xfId="21744" xr:uid="{00000000-0005-0000-0000-00008F630000}"/>
    <cellStyle name="40% - Accent2 5 3 3 3 2 2 2" xfId="44346" xr:uid="{00000000-0005-0000-0000-000090630000}"/>
    <cellStyle name="40% - Accent2 5 3 3 3 2 3" xfId="33045" xr:uid="{00000000-0005-0000-0000-000091630000}"/>
    <cellStyle name="40% - Accent2 5 3 3 3 3" xfId="16094" xr:uid="{00000000-0005-0000-0000-000092630000}"/>
    <cellStyle name="40% - Accent2 5 3 3 3 3 2" xfId="38696" xr:uid="{00000000-0005-0000-0000-000093630000}"/>
    <cellStyle name="40% - Accent2 5 3 3 3 4" xfId="27395" xr:uid="{00000000-0005-0000-0000-000094630000}"/>
    <cellStyle name="40% - Accent2 5 3 3 4" xfId="6980" xr:uid="{00000000-0005-0000-0000-000095630000}"/>
    <cellStyle name="40% - Accent2 5 3 3 4 2" xfId="18281" xr:uid="{00000000-0005-0000-0000-000096630000}"/>
    <cellStyle name="40% - Accent2 5 3 3 4 2 2" xfId="40883" xr:uid="{00000000-0005-0000-0000-000097630000}"/>
    <cellStyle name="40% - Accent2 5 3 3 4 3" xfId="29582" xr:uid="{00000000-0005-0000-0000-000098630000}"/>
    <cellStyle name="40% - Accent2 5 3 3 5" xfId="12631" xr:uid="{00000000-0005-0000-0000-000099630000}"/>
    <cellStyle name="40% - Accent2 5 3 3 5 2" xfId="35233" xr:uid="{00000000-0005-0000-0000-00009A630000}"/>
    <cellStyle name="40% - Accent2 5 3 3 6" xfId="23932" xr:uid="{00000000-0005-0000-0000-00009B630000}"/>
    <cellStyle name="40% - Accent2 5 3 4" xfId="1887" xr:uid="{00000000-0005-0000-0000-00009C630000}"/>
    <cellStyle name="40% - Accent2 5 3 4 2" xfId="3743" xr:uid="{00000000-0005-0000-0000-00009D630000}"/>
    <cellStyle name="40% - Accent2 5 3 4 2 2" xfId="9453" xr:uid="{00000000-0005-0000-0000-00009E630000}"/>
    <cellStyle name="40% - Accent2 5 3 4 2 2 2" xfId="20754" xr:uid="{00000000-0005-0000-0000-00009F630000}"/>
    <cellStyle name="40% - Accent2 5 3 4 2 2 2 2" xfId="43356" xr:uid="{00000000-0005-0000-0000-0000A0630000}"/>
    <cellStyle name="40% - Accent2 5 3 4 2 2 3" xfId="32055" xr:uid="{00000000-0005-0000-0000-0000A1630000}"/>
    <cellStyle name="40% - Accent2 5 3 4 2 3" xfId="15104" xr:uid="{00000000-0005-0000-0000-0000A2630000}"/>
    <cellStyle name="40% - Accent2 5 3 4 2 3 2" xfId="37706" xr:uid="{00000000-0005-0000-0000-0000A3630000}"/>
    <cellStyle name="40% - Accent2 5 3 4 2 4" xfId="26405" xr:uid="{00000000-0005-0000-0000-0000A4630000}"/>
    <cellStyle name="40% - Accent2 5 3 4 3" xfId="5403" xr:uid="{00000000-0005-0000-0000-0000A5630000}"/>
    <cellStyle name="40% - Accent2 5 3 4 3 2" xfId="11053" xr:uid="{00000000-0005-0000-0000-0000A6630000}"/>
    <cellStyle name="40% - Accent2 5 3 4 3 2 2" xfId="22354" xr:uid="{00000000-0005-0000-0000-0000A7630000}"/>
    <cellStyle name="40% - Accent2 5 3 4 3 2 2 2" xfId="44956" xr:uid="{00000000-0005-0000-0000-0000A8630000}"/>
    <cellStyle name="40% - Accent2 5 3 4 3 2 3" xfId="33655" xr:uid="{00000000-0005-0000-0000-0000A9630000}"/>
    <cellStyle name="40% - Accent2 5 3 4 3 3" xfId="16704" xr:uid="{00000000-0005-0000-0000-0000AA630000}"/>
    <cellStyle name="40% - Accent2 5 3 4 3 3 2" xfId="39306" xr:uid="{00000000-0005-0000-0000-0000AB630000}"/>
    <cellStyle name="40% - Accent2 5 3 4 3 4" xfId="28005" xr:uid="{00000000-0005-0000-0000-0000AC630000}"/>
    <cellStyle name="40% - Accent2 5 3 4 4" xfId="7743" xr:uid="{00000000-0005-0000-0000-0000AD630000}"/>
    <cellStyle name="40% - Accent2 5 3 4 4 2" xfId="19044" xr:uid="{00000000-0005-0000-0000-0000AE630000}"/>
    <cellStyle name="40% - Accent2 5 3 4 4 2 2" xfId="41646" xr:uid="{00000000-0005-0000-0000-0000AF630000}"/>
    <cellStyle name="40% - Accent2 5 3 4 4 3" xfId="30345" xr:uid="{00000000-0005-0000-0000-0000B0630000}"/>
    <cellStyle name="40% - Accent2 5 3 4 5" xfId="13394" xr:uid="{00000000-0005-0000-0000-0000B1630000}"/>
    <cellStyle name="40% - Accent2 5 3 4 5 2" xfId="35996" xr:uid="{00000000-0005-0000-0000-0000B2630000}"/>
    <cellStyle name="40% - Accent2 5 3 4 6" xfId="24695" xr:uid="{00000000-0005-0000-0000-0000B3630000}"/>
    <cellStyle name="40% - Accent2 5 3 5" xfId="2384" xr:uid="{00000000-0005-0000-0000-0000B4630000}"/>
    <cellStyle name="40% - Accent2 5 3 5 2" xfId="8220" xr:uid="{00000000-0005-0000-0000-0000B5630000}"/>
    <cellStyle name="40% - Accent2 5 3 5 2 2" xfId="19521" xr:uid="{00000000-0005-0000-0000-0000B6630000}"/>
    <cellStyle name="40% - Accent2 5 3 5 2 2 2" xfId="42123" xr:uid="{00000000-0005-0000-0000-0000B7630000}"/>
    <cellStyle name="40% - Accent2 5 3 5 2 3" xfId="30822" xr:uid="{00000000-0005-0000-0000-0000B8630000}"/>
    <cellStyle name="40% - Accent2 5 3 5 3" xfId="13871" xr:uid="{00000000-0005-0000-0000-0000B9630000}"/>
    <cellStyle name="40% - Accent2 5 3 5 3 2" xfId="36473" xr:uid="{00000000-0005-0000-0000-0000BA630000}"/>
    <cellStyle name="40% - Accent2 5 3 5 4" xfId="25172" xr:uid="{00000000-0005-0000-0000-0000BB630000}"/>
    <cellStyle name="40% - Accent2 5 3 6" xfId="4169" xr:uid="{00000000-0005-0000-0000-0000BC630000}"/>
    <cellStyle name="40% - Accent2 5 3 6 2" xfId="9819" xr:uid="{00000000-0005-0000-0000-0000BD630000}"/>
    <cellStyle name="40% - Accent2 5 3 6 2 2" xfId="21120" xr:uid="{00000000-0005-0000-0000-0000BE630000}"/>
    <cellStyle name="40% - Accent2 5 3 6 2 2 2" xfId="43722" xr:uid="{00000000-0005-0000-0000-0000BF630000}"/>
    <cellStyle name="40% - Accent2 5 3 6 2 3" xfId="32421" xr:uid="{00000000-0005-0000-0000-0000C0630000}"/>
    <cellStyle name="40% - Accent2 5 3 6 3" xfId="15470" xr:uid="{00000000-0005-0000-0000-0000C1630000}"/>
    <cellStyle name="40% - Accent2 5 3 6 3 2" xfId="38072" xr:uid="{00000000-0005-0000-0000-0000C2630000}"/>
    <cellStyle name="40% - Accent2 5 3 6 4" xfId="26771" xr:uid="{00000000-0005-0000-0000-0000C3630000}"/>
    <cellStyle name="40% - Accent2 5 3 7" xfId="6647" xr:uid="{00000000-0005-0000-0000-0000C4630000}"/>
    <cellStyle name="40% - Accent2 5 3 7 2" xfId="17948" xr:uid="{00000000-0005-0000-0000-0000C5630000}"/>
    <cellStyle name="40% - Accent2 5 3 7 2 2" xfId="40550" xr:uid="{00000000-0005-0000-0000-0000C6630000}"/>
    <cellStyle name="40% - Accent2 5 3 7 3" xfId="29249" xr:uid="{00000000-0005-0000-0000-0000C7630000}"/>
    <cellStyle name="40% - Accent2 5 3 8" xfId="12298" xr:uid="{00000000-0005-0000-0000-0000C8630000}"/>
    <cellStyle name="40% - Accent2 5 3 8 2" xfId="34900" xr:uid="{00000000-0005-0000-0000-0000C9630000}"/>
    <cellStyle name="40% - Accent2 5 3 9" xfId="23599" xr:uid="{00000000-0005-0000-0000-0000CA630000}"/>
    <cellStyle name="40% - Accent2 5 4" xfId="1154" xr:uid="{00000000-0005-0000-0000-0000CB630000}"/>
    <cellStyle name="40% - Accent2 5 4 2" xfId="1889" xr:uid="{00000000-0005-0000-0000-0000CC630000}"/>
    <cellStyle name="40% - Accent2 5 4 2 2" xfId="3222" xr:uid="{00000000-0005-0000-0000-0000CD630000}"/>
    <cellStyle name="40% - Accent2 5 4 2 2 2" xfId="6194" xr:uid="{00000000-0005-0000-0000-0000CE630000}"/>
    <cellStyle name="40% - Accent2 5 4 2 2 2 2" xfId="11844" xr:uid="{00000000-0005-0000-0000-0000CF630000}"/>
    <cellStyle name="40% - Accent2 5 4 2 2 2 2 2" xfId="23145" xr:uid="{00000000-0005-0000-0000-0000D0630000}"/>
    <cellStyle name="40% - Accent2 5 4 2 2 2 2 2 2" xfId="45747" xr:uid="{00000000-0005-0000-0000-0000D1630000}"/>
    <cellStyle name="40% - Accent2 5 4 2 2 2 2 3" xfId="34446" xr:uid="{00000000-0005-0000-0000-0000D2630000}"/>
    <cellStyle name="40% - Accent2 5 4 2 2 2 3" xfId="17495" xr:uid="{00000000-0005-0000-0000-0000D3630000}"/>
    <cellStyle name="40% - Accent2 5 4 2 2 2 3 2" xfId="40097" xr:uid="{00000000-0005-0000-0000-0000D4630000}"/>
    <cellStyle name="40% - Accent2 5 4 2 2 2 4" xfId="28796" xr:uid="{00000000-0005-0000-0000-0000D5630000}"/>
    <cellStyle name="40% - Accent2 5 4 2 2 3" xfId="9012" xr:uid="{00000000-0005-0000-0000-0000D6630000}"/>
    <cellStyle name="40% - Accent2 5 4 2 2 3 2" xfId="20313" xr:uid="{00000000-0005-0000-0000-0000D7630000}"/>
    <cellStyle name="40% - Accent2 5 4 2 2 3 2 2" xfId="42915" xr:uid="{00000000-0005-0000-0000-0000D8630000}"/>
    <cellStyle name="40% - Accent2 5 4 2 2 3 3" xfId="31614" xr:uid="{00000000-0005-0000-0000-0000D9630000}"/>
    <cellStyle name="40% - Accent2 5 4 2 2 4" xfId="14663" xr:uid="{00000000-0005-0000-0000-0000DA630000}"/>
    <cellStyle name="40% - Accent2 5 4 2 2 4 2" xfId="37265" xr:uid="{00000000-0005-0000-0000-0000DB630000}"/>
    <cellStyle name="40% - Accent2 5 4 2 2 5" xfId="25964" xr:uid="{00000000-0005-0000-0000-0000DC630000}"/>
    <cellStyle name="40% - Accent2 5 4 2 3" xfId="4960" xr:uid="{00000000-0005-0000-0000-0000DD630000}"/>
    <cellStyle name="40% - Accent2 5 4 2 3 2" xfId="10610" xr:uid="{00000000-0005-0000-0000-0000DE630000}"/>
    <cellStyle name="40% - Accent2 5 4 2 3 2 2" xfId="21911" xr:uid="{00000000-0005-0000-0000-0000DF630000}"/>
    <cellStyle name="40% - Accent2 5 4 2 3 2 2 2" xfId="44513" xr:uid="{00000000-0005-0000-0000-0000E0630000}"/>
    <cellStyle name="40% - Accent2 5 4 2 3 2 3" xfId="33212" xr:uid="{00000000-0005-0000-0000-0000E1630000}"/>
    <cellStyle name="40% - Accent2 5 4 2 3 3" xfId="16261" xr:uid="{00000000-0005-0000-0000-0000E2630000}"/>
    <cellStyle name="40% - Accent2 5 4 2 3 3 2" xfId="38863" xr:uid="{00000000-0005-0000-0000-0000E3630000}"/>
    <cellStyle name="40% - Accent2 5 4 2 3 4" xfId="27562" xr:uid="{00000000-0005-0000-0000-0000E4630000}"/>
    <cellStyle name="40% - Accent2 5 4 2 4" xfId="7745" xr:uid="{00000000-0005-0000-0000-0000E5630000}"/>
    <cellStyle name="40% - Accent2 5 4 2 4 2" xfId="19046" xr:uid="{00000000-0005-0000-0000-0000E6630000}"/>
    <cellStyle name="40% - Accent2 5 4 2 4 2 2" xfId="41648" xr:uid="{00000000-0005-0000-0000-0000E7630000}"/>
    <cellStyle name="40% - Accent2 5 4 2 4 3" xfId="30347" xr:uid="{00000000-0005-0000-0000-0000E8630000}"/>
    <cellStyle name="40% - Accent2 5 4 2 5" xfId="13396" xr:uid="{00000000-0005-0000-0000-0000E9630000}"/>
    <cellStyle name="40% - Accent2 5 4 2 5 2" xfId="35998" xr:uid="{00000000-0005-0000-0000-0000EA630000}"/>
    <cellStyle name="40% - Accent2 5 4 2 6" xfId="24697" xr:uid="{00000000-0005-0000-0000-0000EB630000}"/>
    <cellStyle name="40% - Accent2 5 4 3" xfId="2551" xr:uid="{00000000-0005-0000-0000-0000EC630000}"/>
    <cellStyle name="40% - Accent2 5 4 3 2" xfId="5570" xr:uid="{00000000-0005-0000-0000-0000ED630000}"/>
    <cellStyle name="40% - Accent2 5 4 3 2 2" xfId="11220" xr:uid="{00000000-0005-0000-0000-0000EE630000}"/>
    <cellStyle name="40% - Accent2 5 4 3 2 2 2" xfId="22521" xr:uid="{00000000-0005-0000-0000-0000EF630000}"/>
    <cellStyle name="40% - Accent2 5 4 3 2 2 2 2" xfId="45123" xr:uid="{00000000-0005-0000-0000-0000F0630000}"/>
    <cellStyle name="40% - Accent2 5 4 3 2 2 3" xfId="33822" xr:uid="{00000000-0005-0000-0000-0000F1630000}"/>
    <cellStyle name="40% - Accent2 5 4 3 2 3" xfId="16871" xr:uid="{00000000-0005-0000-0000-0000F2630000}"/>
    <cellStyle name="40% - Accent2 5 4 3 2 3 2" xfId="39473" xr:uid="{00000000-0005-0000-0000-0000F3630000}"/>
    <cellStyle name="40% - Accent2 5 4 3 2 4" xfId="28172" xr:uid="{00000000-0005-0000-0000-0000F4630000}"/>
    <cellStyle name="40% - Accent2 5 4 3 3" xfId="8387" xr:uid="{00000000-0005-0000-0000-0000F5630000}"/>
    <cellStyle name="40% - Accent2 5 4 3 3 2" xfId="19688" xr:uid="{00000000-0005-0000-0000-0000F6630000}"/>
    <cellStyle name="40% - Accent2 5 4 3 3 2 2" xfId="42290" xr:uid="{00000000-0005-0000-0000-0000F7630000}"/>
    <cellStyle name="40% - Accent2 5 4 3 3 3" xfId="30989" xr:uid="{00000000-0005-0000-0000-0000F8630000}"/>
    <cellStyle name="40% - Accent2 5 4 3 4" xfId="14038" xr:uid="{00000000-0005-0000-0000-0000F9630000}"/>
    <cellStyle name="40% - Accent2 5 4 3 4 2" xfId="36640" xr:uid="{00000000-0005-0000-0000-0000FA630000}"/>
    <cellStyle name="40% - Accent2 5 4 3 5" xfId="25339" xr:uid="{00000000-0005-0000-0000-0000FB630000}"/>
    <cellStyle name="40% - Accent2 5 4 4" xfId="4336" xr:uid="{00000000-0005-0000-0000-0000FC630000}"/>
    <cellStyle name="40% - Accent2 5 4 4 2" xfId="9986" xr:uid="{00000000-0005-0000-0000-0000FD630000}"/>
    <cellStyle name="40% - Accent2 5 4 4 2 2" xfId="21287" xr:uid="{00000000-0005-0000-0000-0000FE630000}"/>
    <cellStyle name="40% - Accent2 5 4 4 2 2 2" xfId="43889" xr:uid="{00000000-0005-0000-0000-0000FF630000}"/>
    <cellStyle name="40% - Accent2 5 4 4 2 3" xfId="32588" xr:uid="{00000000-0005-0000-0000-000000640000}"/>
    <cellStyle name="40% - Accent2 5 4 4 3" xfId="15637" xr:uid="{00000000-0005-0000-0000-000001640000}"/>
    <cellStyle name="40% - Accent2 5 4 4 3 2" xfId="38239" xr:uid="{00000000-0005-0000-0000-000002640000}"/>
    <cellStyle name="40% - Accent2 5 4 4 4" xfId="26938" xr:uid="{00000000-0005-0000-0000-000003640000}"/>
    <cellStyle name="40% - Accent2 5 4 5" xfId="7133" xr:uid="{00000000-0005-0000-0000-000004640000}"/>
    <cellStyle name="40% - Accent2 5 4 5 2" xfId="18434" xr:uid="{00000000-0005-0000-0000-000005640000}"/>
    <cellStyle name="40% - Accent2 5 4 5 2 2" xfId="41036" xr:uid="{00000000-0005-0000-0000-000006640000}"/>
    <cellStyle name="40% - Accent2 5 4 5 3" xfId="29735" xr:uid="{00000000-0005-0000-0000-000007640000}"/>
    <cellStyle name="40% - Accent2 5 4 6" xfId="12784" xr:uid="{00000000-0005-0000-0000-000008640000}"/>
    <cellStyle name="40% - Accent2 5 4 6 2" xfId="35386" xr:uid="{00000000-0005-0000-0000-000009640000}"/>
    <cellStyle name="40% - Accent2 5 4 7" xfId="24085" xr:uid="{00000000-0005-0000-0000-00000A640000}"/>
    <cellStyle name="40% - Accent2 5 5" xfId="833" xr:uid="{00000000-0005-0000-0000-00000B640000}"/>
    <cellStyle name="40% - Accent2 5 5 2" xfId="2915" xr:uid="{00000000-0005-0000-0000-00000C640000}"/>
    <cellStyle name="40% - Accent2 5 5 2 2" xfId="5887" xr:uid="{00000000-0005-0000-0000-00000D640000}"/>
    <cellStyle name="40% - Accent2 5 5 2 2 2" xfId="11537" xr:uid="{00000000-0005-0000-0000-00000E640000}"/>
    <cellStyle name="40% - Accent2 5 5 2 2 2 2" xfId="22838" xr:uid="{00000000-0005-0000-0000-00000F640000}"/>
    <cellStyle name="40% - Accent2 5 5 2 2 2 2 2" xfId="45440" xr:uid="{00000000-0005-0000-0000-000010640000}"/>
    <cellStyle name="40% - Accent2 5 5 2 2 2 3" xfId="34139" xr:uid="{00000000-0005-0000-0000-000011640000}"/>
    <cellStyle name="40% - Accent2 5 5 2 2 3" xfId="17188" xr:uid="{00000000-0005-0000-0000-000012640000}"/>
    <cellStyle name="40% - Accent2 5 5 2 2 3 2" xfId="39790" xr:uid="{00000000-0005-0000-0000-000013640000}"/>
    <cellStyle name="40% - Accent2 5 5 2 2 4" xfId="28489" xr:uid="{00000000-0005-0000-0000-000014640000}"/>
    <cellStyle name="40% - Accent2 5 5 2 3" xfId="8705" xr:uid="{00000000-0005-0000-0000-000015640000}"/>
    <cellStyle name="40% - Accent2 5 5 2 3 2" xfId="20006" xr:uid="{00000000-0005-0000-0000-000016640000}"/>
    <cellStyle name="40% - Accent2 5 5 2 3 2 2" xfId="42608" xr:uid="{00000000-0005-0000-0000-000017640000}"/>
    <cellStyle name="40% - Accent2 5 5 2 3 3" xfId="31307" xr:uid="{00000000-0005-0000-0000-000018640000}"/>
    <cellStyle name="40% - Accent2 5 5 2 4" xfId="14356" xr:uid="{00000000-0005-0000-0000-000019640000}"/>
    <cellStyle name="40% - Accent2 5 5 2 4 2" xfId="36958" xr:uid="{00000000-0005-0000-0000-00001A640000}"/>
    <cellStyle name="40% - Accent2 5 5 2 5" xfId="25657" xr:uid="{00000000-0005-0000-0000-00001B640000}"/>
    <cellStyle name="40% - Accent2 5 5 3" xfId="4653" xr:uid="{00000000-0005-0000-0000-00001C640000}"/>
    <cellStyle name="40% - Accent2 5 5 3 2" xfId="10303" xr:uid="{00000000-0005-0000-0000-00001D640000}"/>
    <cellStyle name="40% - Accent2 5 5 3 2 2" xfId="21604" xr:uid="{00000000-0005-0000-0000-00001E640000}"/>
    <cellStyle name="40% - Accent2 5 5 3 2 2 2" xfId="44206" xr:uid="{00000000-0005-0000-0000-00001F640000}"/>
    <cellStyle name="40% - Accent2 5 5 3 2 3" xfId="32905" xr:uid="{00000000-0005-0000-0000-000020640000}"/>
    <cellStyle name="40% - Accent2 5 5 3 3" xfId="15954" xr:uid="{00000000-0005-0000-0000-000021640000}"/>
    <cellStyle name="40% - Accent2 5 5 3 3 2" xfId="38556" xr:uid="{00000000-0005-0000-0000-000022640000}"/>
    <cellStyle name="40% - Accent2 5 5 3 4" xfId="27255" xr:uid="{00000000-0005-0000-0000-000023640000}"/>
    <cellStyle name="40% - Accent2 5 5 4" xfId="6838" xr:uid="{00000000-0005-0000-0000-000024640000}"/>
    <cellStyle name="40% - Accent2 5 5 4 2" xfId="18139" xr:uid="{00000000-0005-0000-0000-000025640000}"/>
    <cellStyle name="40% - Accent2 5 5 4 2 2" xfId="40741" xr:uid="{00000000-0005-0000-0000-000026640000}"/>
    <cellStyle name="40% - Accent2 5 5 4 3" xfId="29440" xr:uid="{00000000-0005-0000-0000-000027640000}"/>
    <cellStyle name="40% - Accent2 5 5 5" xfId="12489" xr:uid="{00000000-0005-0000-0000-000028640000}"/>
    <cellStyle name="40% - Accent2 5 5 5 2" xfId="35091" xr:uid="{00000000-0005-0000-0000-000029640000}"/>
    <cellStyle name="40% - Accent2 5 5 6" xfId="23790" xr:uid="{00000000-0005-0000-0000-00002A640000}"/>
    <cellStyle name="40% - Accent2 5 6" xfId="1882" xr:uid="{00000000-0005-0000-0000-00002B640000}"/>
    <cellStyle name="40% - Accent2 5 6 2" xfId="3740" xr:uid="{00000000-0005-0000-0000-00002C640000}"/>
    <cellStyle name="40% - Accent2 5 6 2 2" xfId="9450" xr:uid="{00000000-0005-0000-0000-00002D640000}"/>
    <cellStyle name="40% - Accent2 5 6 2 2 2" xfId="20751" xr:uid="{00000000-0005-0000-0000-00002E640000}"/>
    <cellStyle name="40% - Accent2 5 6 2 2 2 2" xfId="43353" xr:uid="{00000000-0005-0000-0000-00002F640000}"/>
    <cellStyle name="40% - Accent2 5 6 2 2 3" xfId="32052" xr:uid="{00000000-0005-0000-0000-000030640000}"/>
    <cellStyle name="40% - Accent2 5 6 2 3" xfId="15101" xr:uid="{00000000-0005-0000-0000-000031640000}"/>
    <cellStyle name="40% - Accent2 5 6 2 3 2" xfId="37703" xr:uid="{00000000-0005-0000-0000-000032640000}"/>
    <cellStyle name="40% - Accent2 5 6 2 4" xfId="26402" xr:uid="{00000000-0005-0000-0000-000033640000}"/>
    <cellStyle name="40% - Accent2 5 6 3" xfId="5263" xr:uid="{00000000-0005-0000-0000-000034640000}"/>
    <cellStyle name="40% - Accent2 5 6 3 2" xfId="10913" xr:uid="{00000000-0005-0000-0000-000035640000}"/>
    <cellStyle name="40% - Accent2 5 6 3 2 2" xfId="22214" xr:uid="{00000000-0005-0000-0000-000036640000}"/>
    <cellStyle name="40% - Accent2 5 6 3 2 2 2" xfId="44816" xr:uid="{00000000-0005-0000-0000-000037640000}"/>
    <cellStyle name="40% - Accent2 5 6 3 2 3" xfId="33515" xr:uid="{00000000-0005-0000-0000-000038640000}"/>
    <cellStyle name="40% - Accent2 5 6 3 3" xfId="16564" xr:uid="{00000000-0005-0000-0000-000039640000}"/>
    <cellStyle name="40% - Accent2 5 6 3 3 2" xfId="39166" xr:uid="{00000000-0005-0000-0000-00003A640000}"/>
    <cellStyle name="40% - Accent2 5 6 3 4" xfId="27865" xr:uid="{00000000-0005-0000-0000-00003B640000}"/>
    <cellStyle name="40% - Accent2 5 6 4" xfId="7738" xr:uid="{00000000-0005-0000-0000-00003C640000}"/>
    <cellStyle name="40% - Accent2 5 6 4 2" xfId="19039" xr:uid="{00000000-0005-0000-0000-00003D640000}"/>
    <cellStyle name="40% - Accent2 5 6 4 2 2" xfId="41641" xr:uid="{00000000-0005-0000-0000-00003E640000}"/>
    <cellStyle name="40% - Accent2 5 6 4 3" xfId="30340" xr:uid="{00000000-0005-0000-0000-00003F640000}"/>
    <cellStyle name="40% - Accent2 5 6 5" xfId="13389" xr:uid="{00000000-0005-0000-0000-000040640000}"/>
    <cellStyle name="40% - Accent2 5 6 5 2" xfId="35991" xr:uid="{00000000-0005-0000-0000-000041640000}"/>
    <cellStyle name="40% - Accent2 5 6 6" xfId="24690" xr:uid="{00000000-0005-0000-0000-000042640000}"/>
    <cellStyle name="40% - Accent2 5 7" xfId="2236" xr:uid="{00000000-0005-0000-0000-000043640000}"/>
    <cellStyle name="40% - Accent2 5 7 2" xfId="8077" xr:uid="{00000000-0005-0000-0000-000044640000}"/>
    <cellStyle name="40% - Accent2 5 7 2 2" xfId="19378" xr:uid="{00000000-0005-0000-0000-000045640000}"/>
    <cellStyle name="40% - Accent2 5 7 2 2 2" xfId="41980" xr:uid="{00000000-0005-0000-0000-000046640000}"/>
    <cellStyle name="40% - Accent2 5 7 2 3" xfId="30679" xr:uid="{00000000-0005-0000-0000-000047640000}"/>
    <cellStyle name="40% - Accent2 5 7 3" xfId="13728" xr:uid="{00000000-0005-0000-0000-000048640000}"/>
    <cellStyle name="40% - Accent2 5 7 3 2" xfId="36330" xr:uid="{00000000-0005-0000-0000-000049640000}"/>
    <cellStyle name="40% - Accent2 5 7 4" xfId="25029" xr:uid="{00000000-0005-0000-0000-00004A640000}"/>
    <cellStyle name="40% - Accent2 5 8" xfId="4029" xr:uid="{00000000-0005-0000-0000-00004B640000}"/>
    <cellStyle name="40% - Accent2 5 8 2" xfId="9679" xr:uid="{00000000-0005-0000-0000-00004C640000}"/>
    <cellStyle name="40% - Accent2 5 8 2 2" xfId="20980" xr:uid="{00000000-0005-0000-0000-00004D640000}"/>
    <cellStyle name="40% - Accent2 5 8 2 2 2" xfId="43582" xr:uid="{00000000-0005-0000-0000-00004E640000}"/>
    <cellStyle name="40% - Accent2 5 8 2 3" xfId="32281" xr:uid="{00000000-0005-0000-0000-00004F640000}"/>
    <cellStyle name="40% - Accent2 5 8 3" xfId="15330" xr:uid="{00000000-0005-0000-0000-000050640000}"/>
    <cellStyle name="40% - Accent2 5 8 3 2" xfId="37932" xr:uid="{00000000-0005-0000-0000-000051640000}"/>
    <cellStyle name="40% - Accent2 5 8 4" xfId="26631" xr:uid="{00000000-0005-0000-0000-000052640000}"/>
    <cellStyle name="40% - Accent2 5 9" xfId="6480" xr:uid="{00000000-0005-0000-0000-000053640000}"/>
    <cellStyle name="40% - Accent2 5 9 2" xfId="17781" xr:uid="{00000000-0005-0000-0000-000054640000}"/>
    <cellStyle name="40% - Accent2 5 9 2 2" xfId="40383" xr:uid="{00000000-0005-0000-0000-000055640000}"/>
    <cellStyle name="40% - Accent2 5 9 3" xfId="29082" xr:uid="{00000000-0005-0000-0000-000056640000}"/>
    <cellStyle name="40% - Accent2 6" xfId="292" xr:uid="{00000000-0005-0000-0000-000057640000}"/>
    <cellStyle name="40% - Accent2 7" xfId="391" xr:uid="{00000000-0005-0000-0000-000058640000}"/>
    <cellStyle name="40% - Accent2 7 10" xfId="23486" xr:uid="{00000000-0005-0000-0000-000059640000}"/>
    <cellStyle name="40% - Accent2 7 2" xfId="636" xr:uid="{00000000-0005-0000-0000-00005A640000}"/>
    <cellStyle name="40% - Accent2 7 2 2" xfId="1346" xr:uid="{00000000-0005-0000-0000-00005B640000}"/>
    <cellStyle name="40% - Accent2 7 2 2 2" xfId="1892" xr:uid="{00000000-0005-0000-0000-00005C640000}"/>
    <cellStyle name="40% - Accent2 7 2 2 2 2" xfId="3415" xr:uid="{00000000-0005-0000-0000-00005D640000}"/>
    <cellStyle name="40% - Accent2 7 2 2 2 2 2" xfId="6387" xr:uid="{00000000-0005-0000-0000-00005E640000}"/>
    <cellStyle name="40% - Accent2 7 2 2 2 2 2 2" xfId="12037" xr:uid="{00000000-0005-0000-0000-00005F640000}"/>
    <cellStyle name="40% - Accent2 7 2 2 2 2 2 2 2" xfId="23338" xr:uid="{00000000-0005-0000-0000-000060640000}"/>
    <cellStyle name="40% - Accent2 7 2 2 2 2 2 2 2 2" xfId="45940" xr:uid="{00000000-0005-0000-0000-000061640000}"/>
    <cellStyle name="40% - Accent2 7 2 2 2 2 2 2 3" xfId="34639" xr:uid="{00000000-0005-0000-0000-000062640000}"/>
    <cellStyle name="40% - Accent2 7 2 2 2 2 2 3" xfId="17688" xr:uid="{00000000-0005-0000-0000-000063640000}"/>
    <cellStyle name="40% - Accent2 7 2 2 2 2 2 3 2" xfId="40290" xr:uid="{00000000-0005-0000-0000-000064640000}"/>
    <cellStyle name="40% - Accent2 7 2 2 2 2 2 4" xfId="28989" xr:uid="{00000000-0005-0000-0000-000065640000}"/>
    <cellStyle name="40% - Accent2 7 2 2 2 2 3" xfId="9205" xr:uid="{00000000-0005-0000-0000-000066640000}"/>
    <cellStyle name="40% - Accent2 7 2 2 2 2 3 2" xfId="20506" xr:uid="{00000000-0005-0000-0000-000067640000}"/>
    <cellStyle name="40% - Accent2 7 2 2 2 2 3 2 2" xfId="43108" xr:uid="{00000000-0005-0000-0000-000068640000}"/>
    <cellStyle name="40% - Accent2 7 2 2 2 2 3 3" xfId="31807" xr:uid="{00000000-0005-0000-0000-000069640000}"/>
    <cellStyle name="40% - Accent2 7 2 2 2 2 4" xfId="14856" xr:uid="{00000000-0005-0000-0000-00006A640000}"/>
    <cellStyle name="40% - Accent2 7 2 2 2 2 4 2" xfId="37458" xr:uid="{00000000-0005-0000-0000-00006B640000}"/>
    <cellStyle name="40% - Accent2 7 2 2 2 2 5" xfId="26157" xr:uid="{00000000-0005-0000-0000-00006C640000}"/>
    <cellStyle name="40% - Accent2 7 2 2 2 3" xfId="5153" xr:uid="{00000000-0005-0000-0000-00006D640000}"/>
    <cellStyle name="40% - Accent2 7 2 2 2 3 2" xfId="10803" xr:uid="{00000000-0005-0000-0000-00006E640000}"/>
    <cellStyle name="40% - Accent2 7 2 2 2 3 2 2" xfId="22104" xr:uid="{00000000-0005-0000-0000-00006F640000}"/>
    <cellStyle name="40% - Accent2 7 2 2 2 3 2 2 2" xfId="44706" xr:uid="{00000000-0005-0000-0000-000070640000}"/>
    <cellStyle name="40% - Accent2 7 2 2 2 3 2 3" xfId="33405" xr:uid="{00000000-0005-0000-0000-000071640000}"/>
    <cellStyle name="40% - Accent2 7 2 2 2 3 3" xfId="16454" xr:uid="{00000000-0005-0000-0000-000072640000}"/>
    <cellStyle name="40% - Accent2 7 2 2 2 3 3 2" xfId="39056" xr:uid="{00000000-0005-0000-0000-000073640000}"/>
    <cellStyle name="40% - Accent2 7 2 2 2 3 4" xfId="27755" xr:uid="{00000000-0005-0000-0000-000074640000}"/>
    <cellStyle name="40% - Accent2 7 2 2 2 4" xfId="7748" xr:uid="{00000000-0005-0000-0000-000075640000}"/>
    <cellStyle name="40% - Accent2 7 2 2 2 4 2" xfId="19049" xr:uid="{00000000-0005-0000-0000-000076640000}"/>
    <cellStyle name="40% - Accent2 7 2 2 2 4 2 2" xfId="41651" xr:uid="{00000000-0005-0000-0000-000077640000}"/>
    <cellStyle name="40% - Accent2 7 2 2 2 4 3" xfId="30350" xr:uid="{00000000-0005-0000-0000-000078640000}"/>
    <cellStyle name="40% - Accent2 7 2 2 2 5" xfId="13399" xr:uid="{00000000-0005-0000-0000-000079640000}"/>
    <cellStyle name="40% - Accent2 7 2 2 2 5 2" xfId="36001" xr:uid="{00000000-0005-0000-0000-00007A640000}"/>
    <cellStyle name="40% - Accent2 7 2 2 2 6" xfId="24700" xr:uid="{00000000-0005-0000-0000-00007B640000}"/>
    <cellStyle name="40% - Accent2 7 2 2 3" xfId="2744" xr:uid="{00000000-0005-0000-0000-00007C640000}"/>
    <cellStyle name="40% - Accent2 7 2 2 3 2" xfId="5763" xr:uid="{00000000-0005-0000-0000-00007D640000}"/>
    <cellStyle name="40% - Accent2 7 2 2 3 2 2" xfId="11413" xr:uid="{00000000-0005-0000-0000-00007E640000}"/>
    <cellStyle name="40% - Accent2 7 2 2 3 2 2 2" xfId="22714" xr:uid="{00000000-0005-0000-0000-00007F640000}"/>
    <cellStyle name="40% - Accent2 7 2 2 3 2 2 2 2" xfId="45316" xr:uid="{00000000-0005-0000-0000-000080640000}"/>
    <cellStyle name="40% - Accent2 7 2 2 3 2 2 3" xfId="34015" xr:uid="{00000000-0005-0000-0000-000081640000}"/>
    <cellStyle name="40% - Accent2 7 2 2 3 2 3" xfId="17064" xr:uid="{00000000-0005-0000-0000-000082640000}"/>
    <cellStyle name="40% - Accent2 7 2 2 3 2 3 2" xfId="39666" xr:uid="{00000000-0005-0000-0000-000083640000}"/>
    <cellStyle name="40% - Accent2 7 2 2 3 2 4" xfId="28365" xr:uid="{00000000-0005-0000-0000-000084640000}"/>
    <cellStyle name="40% - Accent2 7 2 2 3 3" xfId="8580" xr:uid="{00000000-0005-0000-0000-000085640000}"/>
    <cellStyle name="40% - Accent2 7 2 2 3 3 2" xfId="19881" xr:uid="{00000000-0005-0000-0000-000086640000}"/>
    <cellStyle name="40% - Accent2 7 2 2 3 3 2 2" xfId="42483" xr:uid="{00000000-0005-0000-0000-000087640000}"/>
    <cellStyle name="40% - Accent2 7 2 2 3 3 3" xfId="31182" xr:uid="{00000000-0005-0000-0000-000088640000}"/>
    <cellStyle name="40% - Accent2 7 2 2 3 4" xfId="14231" xr:uid="{00000000-0005-0000-0000-000089640000}"/>
    <cellStyle name="40% - Accent2 7 2 2 3 4 2" xfId="36833" xr:uid="{00000000-0005-0000-0000-00008A640000}"/>
    <cellStyle name="40% - Accent2 7 2 2 3 5" xfId="25532" xr:uid="{00000000-0005-0000-0000-00008B640000}"/>
    <cellStyle name="40% - Accent2 7 2 2 4" xfId="4529" xr:uid="{00000000-0005-0000-0000-00008C640000}"/>
    <cellStyle name="40% - Accent2 7 2 2 4 2" xfId="10179" xr:uid="{00000000-0005-0000-0000-00008D640000}"/>
    <cellStyle name="40% - Accent2 7 2 2 4 2 2" xfId="21480" xr:uid="{00000000-0005-0000-0000-00008E640000}"/>
    <cellStyle name="40% - Accent2 7 2 2 4 2 2 2" xfId="44082" xr:uid="{00000000-0005-0000-0000-00008F640000}"/>
    <cellStyle name="40% - Accent2 7 2 2 4 2 3" xfId="32781" xr:uid="{00000000-0005-0000-0000-000090640000}"/>
    <cellStyle name="40% - Accent2 7 2 2 4 3" xfId="15830" xr:uid="{00000000-0005-0000-0000-000091640000}"/>
    <cellStyle name="40% - Accent2 7 2 2 4 3 2" xfId="38432" xr:uid="{00000000-0005-0000-0000-000092640000}"/>
    <cellStyle name="40% - Accent2 7 2 2 4 4" xfId="27131" xr:uid="{00000000-0005-0000-0000-000093640000}"/>
    <cellStyle name="40% - Accent2 7 2 2 5" xfId="7325" xr:uid="{00000000-0005-0000-0000-000094640000}"/>
    <cellStyle name="40% - Accent2 7 2 2 5 2" xfId="18626" xr:uid="{00000000-0005-0000-0000-000095640000}"/>
    <cellStyle name="40% - Accent2 7 2 2 5 2 2" xfId="41228" xr:uid="{00000000-0005-0000-0000-000096640000}"/>
    <cellStyle name="40% - Accent2 7 2 2 5 3" xfId="29927" xr:uid="{00000000-0005-0000-0000-000097640000}"/>
    <cellStyle name="40% - Accent2 7 2 2 6" xfId="12976" xr:uid="{00000000-0005-0000-0000-000098640000}"/>
    <cellStyle name="40% - Accent2 7 2 2 6 2" xfId="35578" xr:uid="{00000000-0005-0000-0000-000099640000}"/>
    <cellStyle name="40% - Accent2 7 2 2 7" xfId="24277" xr:uid="{00000000-0005-0000-0000-00009A640000}"/>
    <cellStyle name="40% - Accent2 7 2 3" xfId="1044" xr:uid="{00000000-0005-0000-0000-00009B640000}"/>
    <cellStyle name="40% - Accent2 7 2 3 2" xfId="3107" xr:uid="{00000000-0005-0000-0000-00009C640000}"/>
    <cellStyle name="40% - Accent2 7 2 3 2 2" xfId="6079" xr:uid="{00000000-0005-0000-0000-00009D640000}"/>
    <cellStyle name="40% - Accent2 7 2 3 2 2 2" xfId="11729" xr:uid="{00000000-0005-0000-0000-00009E640000}"/>
    <cellStyle name="40% - Accent2 7 2 3 2 2 2 2" xfId="23030" xr:uid="{00000000-0005-0000-0000-00009F640000}"/>
    <cellStyle name="40% - Accent2 7 2 3 2 2 2 2 2" xfId="45632" xr:uid="{00000000-0005-0000-0000-0000A0640000}"/>
    <cellStyle name="40% - Accent2 7 2 3 2 2 2 3" xfId="34331" xr:uid="{00000000-0005-0000-0000-0000A1640000}"/>
    <cellStyle name="40% - Accent2 7 2 3 2 2 3" xfId="17380" xr:uid="{00000000-0005-0000-0000-0000A2640000}"/>
    <cellStyle name="40% - Accent2 7 2 3 2 2 3 2" xfId="39982" xr:uid="{00000000-0005-0000-0000-0000A3640000}"/>
    <cellStyle name="40% - Accent2 7 2 3 2 2 4" xfId="28681" xr:uid="{00000000-0005-0000-0000-0000A4640000}"/>
    <cellStyle name="40% - Accent2 7 2 3 2 3" xfId="8897" xr:uid="{00000000-0005-0000-0000-0000A5640000}"/>
    <cellStyle name="40% - Accent2 7 2 3 2 3 2" xfId="20198" xr:uid="{00000000-0005-0000-0000-0000A6640000}"/>
    <cellStyle name="40% - Accent2 7 2 3 2 3 2 2" xfId="42800" xr:uid="{00000000-0005-0000-0000-0000A7640000}"/>
    <cellStyle name="40% - Accent2 7 2 3 2 3 3" xfId="31499" xr:uid="{00000000-0005-0000-0000-0000A8640000}"/>
    <cellStyle name="40% - Accent2 7 2 3 2 4" xfId="14548" xr:uid="{00000000-0005-0000-0000-0000A9640000}"/>
    <cellStyle name="40% - Accent2 7 2 3 2 4 2" xfId="37150" xr:uid="{00000000-0005-0000-0000-0000AA640000}"/>
    <cellStyle name="40% - Accent2 7 2 3 2 5" xfId="25849" xr:uid="{00000000-0005-0000-0000-0000AB640000}"/>
    <cellStyle name="40% - Accent2 7 2 3 3" xfId="4845" xr:uid="{00000000-0005-0000-0000-0000AC640000}"/>
    <cellStyle name="40% - Accent2 7 2 3 3 2" xfId="10495" xr:uid="{00000000-0005-0000-0000-0000AD640000}"/>
    <cellStyle name="40% - Accent2 7 2 3 3 2 2" xfId="21796" xr:uid="{00000000-0005-0000-0000-0000AE640000}"/>
    <cellStyle name="40% - Accent2 7 2 3 3 2 2 2" xfId="44398" xr:uid="{00000000-0005-0000-0000-0000AF640000}"/>
    <cellStyle name="40% - Accent2 7 2 3 3 2 3" xfId="33097" xr:uid="{00000000-0005-0000-0000-0000B0640000}"/>
    <cellStyle name="40% - Accent2 7 2 3 3 3" xfId="16146" xr:uid="{00000000-0005-0000-0000-0000B1640000}"/>
    <cellStyle name="40% - Accent2 7 2 3 3 3 2" xfId="38748" xr:uid="{00000000-0005-0000-0000-0000B2640000}"/>
    <cellStyle name="40% - Accent2 7 2 3 3 4" xfId="27447" xr:uid="{00000000-0005-0000-0000-0000B3640000}"/>
    <cellStyle name="40% - Accent2 7 2 3 4" xfId="7032" xr:uid="{00000000-0005-0000-0000-0000B4640000}"/>
    <cellStyle name="40% - Accent2 7 2 3 4 2" xfId="18333" xr:uid="{00000000-0005-0000-0000-0000B5640000}"/>
    <cellStyle name="40% - Accent2 7 2 3 4 2 2" xfId="40935" xr:uid="{00000000-0005-0000-0000-0000B6640000}"/>
    <cellStyle name="40% - Accent2 7 2 3 4 3" xfId="29634" xr:uid="{00000000-0005-0000-0000-0000B7640000}"/>
    <cellStyle name="40% - Accent2 7 2 3 5" xfId="12683" xr:uid="{00000000-0005-0000-0000-0000B8640000}"/>
    <cellStyle name="40% - Accent2 7 2 3 5 2" xfId="35285" xr:uid="{00000000-0005-0000-0000-0000B9640000}"/>
    <cellStyle name="40% - Accent2 7 2 3 6" xfId="23984" xr:uid="{00000000-0005-0000-0000-0000BA640000}"/>
    <cellStyle name="40% - Accent2 7 2 4" xfId="1891" xr:uid="{00000000-0005-0000-0000-0000BB640000}"/>
    <cellStyle name="40% - Accent2 7 2 4 2" xfId="3745" xr:uid="{00000000-0005-0000-0000-0000BC640000}"/>
    <cellStyle name="40% - Accent2 7 2 4 2 2" xfId="9455" xr:uid="{00000000-0005-0000-0000-0000BD640000}"/>
    <cellStyle name="40% - Accent2 7 2 4 2 2 2" xfId="20756" xr:uid="{00000000-0005-0000-0000-0000BE640000}"/>
    <cellStyle name="40% - Accent2 7 2 4 2 2 2 2" xfId="43358" xr:uid="{00000000-0005-0000-0000-0000BF640000}"/>
    <cellStyle name="40% - Accent2 7 2 4 2 2 3" xfId="32057" xr:uid="{00000000-0005-0000-0000-0000C0640000}"/>
    <cellStyle name="40% - Accent2 7 2 4 2 3" xfId="15106" xr:uid="{00000000-0005-0000-0000-0000C1640000}"/>
    <cellStyle name="40% - Accent2 7 2 4 2 3 2" xfId="37708" xr:uid="{00000000-0005-0000-0000-0000C2640000}"/>
    <cellStyle name="40% - Accent2 7 2 4 2 4" xfId="26407" xr:uid="{00000000-0005-0000-0000-0000C3640000}"/>
    <cellStyle name="40% - Accent2 7 2 4 3" xfId="5455" xr:uid="{00000000-0005-0000-0000-0000C4640000}"/>
    <cellStyle name="40% - Accent2 7 2 4 3 2" xfId="11105" xr:uid="{00000000-0005-0000-0000-0000C5640000}"/>
    <cellStyle name="40% - Accent2 7 2 4 3 2 2" xfId="22406" xr:uid="{00000000-0005-0000-0000-0000C6640000}"/>
    <cellStyle name="40% - Accent2 7 2 4 3 2 2 2" xfId="45008" xr:uid="{00000000-0005-0000-0000-0000C7640000}"/>
    <cellStyle name="40% - Accent2 7 2 4 3 2 3" xfId="33707" xr:uid="{00000000-0005-0000-0000-0000C8640000}"/>
    <cellStyle name="40% - Accent2 7 2 4 3 3" xfId="16756" xr:uid="{00000000-0005-0000-0000-0000C9640000}"/>
    <cellStyle name="40% - Accent2 7 2 4 3 3 2" xfId="39358" xr:uid="{00000000-0005-0000-0000-0000CA640000}"/>
    <cellStyle name="40% - Accent2 7 2 4 3 4" xfId="28057" xr:uid="{00000000-0005-0000-0000-0000CB640000}"/>
    <cellStyle name="40% - Accent2 7 2 4 4" xfId="7747" xr:uid="{00000000-0005-0000-0000-0000CC640000}"/>
    <cellStyle name="40% - Accent2 7 2 4 4 2" xfId="19048" xr:uid="{00000000-0005-0000-0000-0000CD640000}"/>
    <cellStyle name="40% - Accent2 7 2 4 4 2 2" xfId="41650" xr:uid="{00000000-0005-0000-0000-0000CE640000}"/>
    <cellStyle name="40% - Accent2 7 2 4 4 3" xfId="30349" xr:uid="{00000000-0005-0000-0000-0000CF640000}"/>
    <cellStyle name="40% - Accent2 7 2 4 5" xfId="13398" xr:uid="{00000000-0005-0000-0000-0000D0640000}"/>
    <cellStyle name="40% - Accent2 7 2 4 5 2" xfId="36000" xr:uid="{00000000-0005-0000-0000-0000D1640000}"/>
    <cellStyle name="40% - Accent2 7 2 4 6" xfId="24699" xr:uid="{00000000-0005-0000-0000-0000D2640000}"/>
    <cellStyle name="40% - Accent2 7 2 5" xfId="2436" xr:uid="{00000000-0005-0000-0000-0000D3640000}"/>
    <cellStyle name="40% - Accent2 7 2 5 2" xfId="8272" xr:uid="{00000000-0005-0000-0000-0000D4640000}"/>
    <cellStyle name="40% - Accent2 7 2 5 2 2" xfId="19573" xr:uid="{00000000-0005-0000-0000-0000D5640000}"/>
    <cellStyle name="40% - Accent2 7 2 5 2 2 2" xfId="42175" xr:uid="{00000000-0005-0000-0000-0000D6640000}"/>
    <cellStyle name="40% - Accent2 7 2 5 2 3" xfId="30874" xr:uid="{00000000-0005-0000-0000-0000D7640000}"/>
    <cellStyle name="40% - Accent2 7 2 5 3" xfId="13923" xr:uid="{00000000-0005-0000-0000-0000D8640000}"/>
    <cellStyle name="40% - Accent2 7 2 5 3 2" xfId="36525" xr:uid="{00000000-0005-0000-0000-0000D9640000}"/>
    <cellStyle name="40% - Accent2 7 2 5 4" xfId="25224" xr:uid="{00000000-0005-0000-0000-0000DA640000}"/>
    <cellStyle name="40% - Accent2 7 2 6" xfId="4221" xr:uid="{00000000-0005-0000-0000-0000DB640000}"/>
    <cellStyle name="40% - Accent2 7 2 6 2" xfId="9871" xr:uid="{00000000-0005-0000-0000-0000DC640000}"/>
    <cellStyle name="40% - Accent2 7 2 6 2 2" xfId="21172" xr:uid="{00000000-0005-0000-0000-0000DD640000}"/>
    <cellStyle name="40% - Accent2 7 2 6 2 2 2" xfId="43774" xr:uid="{00000000-0005-0000-0000-0000DE640000}"/>
    <cellStyle name="40% - Accent2 7 2 6 2 3" xfId="32473" xr:uid="{00000000-0005-0000-0000-0000DF640000}"/>
    <cellStyle name="40% - Accent2 7 2 6 3" xfId="15522" xr:uid="{00000000-0005-0000-0000-0000E0640000}"/>
    <cellStyle name="40% - Accent2 7 2 6 3 2" xfId="38124" xr:uid="{00000000-0005-0000-0000-0000E1640000}"/>
    <cellStyle name="40% - Accent2 7 2 6 4" xfId="26823" xr:uid="{00000000-0005-0000-0000-0000E2640000}"/>
    <cellStyle name="40% - Accent2 7 2 7" xfId="6701" xr:uid="{00000000-0005-0000-0000-0000E3640000}"/>
    <cellStyle name="40% - Accent2 7 2 7 2" xfId="18002" xr:uid="{00000000-0005-0000-0000-0000E4640000}"/>
    <cellStyle name="40% - Accent2 7 2 7 2 2" xfId="40604" xr:uid="{00000000-0005-0000-0000-0000E5640000}"/>
    <cellStyle name="40% - Accent2 7 2 7 3" xfId="29303" xr:uid="{00000000-0005-0000-0000-0000E6640000}"/>
    <cellStyle name="40% - Accent2 7 2 8" xfId="12352" xr:uid="{00000000-0005-0000-0000-0000E7640000}"/>
    <cellStyle name="40% - Accent2 7 2 8 2" xfId="34954" xr:uid="{00000000-0005-0000-0000-0000E8640000}"/>
    <cellStyle name="40% - Accent2 7 2 9" xfId="23653" xr:uid="{00000000-0005-0000-0000-0000E9640000}"/>
    <cellStyle name="40% - Accent2 7 3" xfId="1208" xr:uid="{00000000-0005-0000-0000-0000EA640000}"/>
    <cellStyle name="40% - Accent2 7 3 2" xfId="1893" xr:uid="{00000000-0005-0000-0000-0000EB640000}"/>
    <cellStyle name="40% - Accent2 7 3 2 2" xfId="3276" xr:uid="{00000000-0005-0000-0000-0000EC640000}"/>
    <cellStyle name="40% - Accent2 7 3 2 2 2" xfId="6248" xr:uid="{00000000-0005-0000-0000-0000ED640000}"/>
    <cellStyle name="40% - Accent2 7 3 2 2 2 2" xfId="11898" xr:uid="{00000000-0005-0000-0000-0000EE640000}"/>
    <cellStyle name="40% - Accent2 7 3 2 2 2 2 2" xfId="23199" xr:uid="{00000000-0005-0000-0000-0000EF640000}"/>
    <cellStyle name="40% - Accent2 7 3 2 2 2 2 2 2" xfId="45801" xr:uid="{00000000-0005-0000-0000-0000F0640000}"/>
    <cellStyle name="40% - Accent2 7 3 2 2 2 2 3" xfId="34500" xr:uid="{00000000-0005-0000-0000-0000F1640000}"/>
    <cellStyle name="40% - Accent2 7 3 2 2 2 3" xfId="17549" xr:uid="{00000000-0005-0000-0000-0000F2640000}"/>
    <cellStyle name="40% - Accent2 7 3 2 2 2 3 2" xfId="40151" xr:uid="{00000000-0005-0000-0000-0000F3640000}"/>
    <cellStyle name="40% - Accent2 7 3 2 2 2 4" xfId="28850" xr:uid="{00000000-0005-0000-0000-0000F4640000}"/>
    <cellStyle name="40% - Accent2 7 3 2 2 3" xfId="9066" xr:uid="{00000000-0005-0000-0000-0000F5640000}"/>
    <cellStyle name="40% - Accent2 7 3 2 2 3 2" xfId="20367" xr:uid="{00000000-0005-0000-0000-0000F6640000}"/>
    <cellStyle name="40% - Accent2 7 3 2 2 3 2 2" xfId="42969" xr:uid="{00000000-0005-0000-0000-0000F7640000}"/>
    <cellStyle name="40% - Accent2 7 3 2 2 3 3" xfId="31668" xr:uid="{00000000-0005-0000-0000-0000F8640000}"/>
    <cellStyle name="40% - Accent2 7 3 2 2 4" xfId="14717" xr:uid="{00000000-0005-0000-0000-0000F9640000}"/>
    <cellStyle name="40% - Accent2 7 3 2 2 4 2" xfId="37319" xr:uid="{00000000-0005-0000-0000-0000FA640000}"/>
    <cellStyle name="40% - Accent2 7 3 2 2 5" xfId="26018" xr:uid="{00000000-0005-0000-0000-0000FB640000}"/>
    <cellStyle name="40% - Accent2 7 3 2 3" xfId="5014" xr:uid="{00000000-0005-0000-0000-0000FC640000}"/>
    <cellStyle name="40% - Accent2 7 3 2 3 2" xfId="10664" xr:uid="{00000000-0005-0000-0000-0000FD640000}"/>
    <cellStyle name="40% - Accent2 7 3 2 3 2 2" xfId="21965" xr:uid="{00000000-0005-0000-0000-0000FE640000}"/>
    <cellStyle name="40% - Accent2 7 3 2 3 2 2 2" xfId="44567" xr:uid="{00000000-0005-0000-0000-0000FF640000}"/>
    <cellStyle name="40% - Accent2 7 3 2 3 2 3" xfId="33266" xr:uid="{00000000-0005-0000-0000-000000650000}"/>
    <cellStyle name="40% - Accent2 7 3 2 3 3" xfId="16315" xr:uid="{00000000-0005-0000-0000-000001650000}"/>
    <cellStyle name="40% - Accent2 7 3 2 3 3 2" xfId="38917" xr:uid="{00000000-0005-0000-0000-000002650000}"/>
    <cellStyle name="40% - Accent2 7 3 2 3 4" xfId="27616" xr:uid="{00000000-0005-0000-0000-000003650000}"/>
    <cellStyle name="40% - Accent2 7 3 2 4" xfId="7749" xr:uid="{00000000-0005-0000-0000-000004650000}"/>
    <cellStyle name="40% - Accent2 7 3 2 4 2" xfId="19050" xr:uid="{00000000-0005-0000-0000-000005650000}"/>
    <cellStyle name="40% - Accent2 7 3 2 4 2 2" xfId="41652" xr:uid="{00000000-0005-0000-0000-000006650000}"/>
    <cellStyle name="40% - Accent2 7 3 2 4 3" xfId="30351" xr:uid="{00000000-0005-0000-0000-000007650000}"/>
    <cellStyle name="40% - Accent2 7 3 2 5" xfId="13400" xr:uid="{00000000-0005-0000-0000-000008650000}"/>
    <cellStyle name="40% - Accent2 7 3 2 5 2" xfId="36002" xr:uid="{00000000-0005-0000-0000-000009650000}"/>
    <cellStyle name="40% - Accent2 7 3 2 6" xfId="24701" xr:uid="{00000000-0005-0000-0000-00000A650000}"/>
    <cellStyle name="40% - Accent2 7 3 3" xfId="2605" xr:uid="{00000000-0005-0000-0000-00000B650000}"/>
    <cellStyle name="40% - Accent2 7 3 3 2" xfId="5624" xr:uid="{00000000-0005-0000-0000-00000C650000}"/>
    <cellStyle name="40% - Accent2 7 3 3 2 2" xfId="11274" xr:uid="{00000000-0005-0000-0000-00000D650000}"/>
    <cellStyle name="40% - Accent2 7 3 3 2 2 2" xfId="22575" xr:uid="{00000000-0005-0000-0000-00000E650000}"/>
    <cellStyle name="40% - Accent2 7 3 3 2 2 2 2" xfId="45177" xr:uid="{00000000-0005-0000-0000-00000F650000}"/>
    <cellStyle name="40% - Accent2 7 3 3 2 2 3" xfId="33876" xr:uid="{00000000-0005-0000-0000-000010650000}"/>
    <cellStyle name="40% - Accent2 7 3 3 2 3" xfId="16925" xr:uid="{00000000-0005-0000-0000-000011650000}"/>
    <cellStyle name="40% - Accent2 7 3 3 2 3 2" xfId="39527" xr:uid="{00000000-0005-0000-0000-000012650000}"/>
    <cellStyle name="40% - Accent2 7 3 3 2 4" xfId="28226" xr:uid="{00000000-0005-0000-0000-000013650000}"/>
    <cellStyle name="40% - Accent2 7 3 3 3" xfId="8441" xr:uid="{00000000-0005-0000-0000-000014650000}"/>
    <cellStyle name="40% - Accent2 7 3 3 3 2" xfId="19742" xr:uid="{00000000-0005-0000-0000-000015650000}"/>
    <cellStyle name="40% - Accent2 7 3 3 3 2 2" xfId="42344" xr:uid="{00000000-0005-0000-0000-000016650000}"/>
    <cellStyle name="40% - Accent2 7 3 3 3 3" xfId="31043" xr:uid="{00000000-0005-0000-0000-000017650000}"/>
    <cellStyle name="40% - Accent2 7 3 3 4" xfId="14092" xr:uid="{00000000-0005-0000-0000-000018650000}"/>
    <cellStyle name="40% - Accent2 7 3 3 4 2" xfId="36694" xr:uid="{00000000-0005-0000-0000-000019650000}"/>
    <cellStyle name="40% - Accent2 7 3 3 5" xfId="25393" xr:uid="{00000000-0005-0000-0000-00001A650000}"/>
    <cellStyle name="40% - Accent2 7 3 4" xfId="4390" xr:uid="{00000000-0005-0000-0000-00001B650000}"/>
    <cellStyle name="40% - Accent2 7 3 4 2" xfId="10040" xr:uid="{00000000-0005-0000-0000-00001C650000}"/>
    <cellStyle name="40% - Accent2 7 3 4 2 2" xfId="21341" xr:uid="{00000000-0005-0000-0000-00001D650000}"/>
    <cellStyle name="40% - Accent2 7 3 4 2 2 2" xfId="43943" xr:uid="{00000000-0005-0000-0000-00001E650000}"/>
    <cellStyle name="40% - Accent2 7 3 4 2 3" xfId="32642" xr:uid="{00000000-0005-0000-0000-00001F650000}"/>
    <cellStyle name="40% - Accent2 7 3 4 3" xfId="15691" xr:uid="{00000000-0005-0000-0000-000020650000}"/>
    <cellStyle name="40% - Accent2 7 3 4 3 2" xfId="38293" xr:uid="{00000000-0005-0000-0000-000021650000}"/>
    <cellStyle name="40% - Accent2 7 3 4 4" xfId="26992" xr:uid="{00000000-0005-0000-0000-000022650000}"/>
    <cellStyle name="40% - Accent2 7 3 5" xfId="7187" xr:uid="{00000000-0005-0000-0000-000023650000}"/>
    <cellStyle name="40% - Accent2 7 3 5 2" xfId="18488" xr:uid="{00000000-0005-0000-0000-000024650000}"/>
    <cellStyle name="40% - Accent2 7 3 5 2 2" xfId="41090" xr:uid="{00000000-0005-0000-0000-000025650000}"/>
    <cellStyle name="40% - Accent2 7 3 5 3" xfId="29789" xr:uid="{00000000-0005-0000-0000-000026650000}"/>
    <cellStyle name="40% - Accent2 7 3 6" xfId="12838" xr:uid="{00000000-0005-0000-0000-000027650000}"/>
    <cellStyle name="40% - Accent2 7 3 6 2" xfId="35440" xr:uid="{00000000-0005-0000-0000-000028650000}"/>
    <cellStyle name="40% - Accent2 7 3 7" xfId="24139" xr:uid="{00000000-0005-0000-0000-000029650000}"/>
    <cellStyle name="40% - Accent2 7 4" xfId="899" xr:uid="{00000000-0005-0000-0000-00002A650000}"/>
    <cellStyle name="40% - Accent2 7 4 2" xfId="2969" xr:uid="{00000000-0005-0000-0000-00002B650000}"/>
    <cellStyle name="40% - Accent2 7 4 2 2" xfId="5941" xr:uid="{00000000-0005-0000-0000-00002C650000}"/>
    <cellStyle name="40% - Accent2 7 4 2 2 2" xfId="11591" xr:uid="{00000000-0005-0000-0000-00002D650000}"/>
    <cellStyle name="40% - Accent2 7 4 2 2 2 2" xfId="22892" xr:uid="{00000000-0005-0000-0000-00002E650000}"/>
    <cellStyle name="40% - Accent2 7 4 2 2 2 2 2" xfId="45494" xr:uid="{00000000-0005-0000-0000-00002F650000}"/>
    <cellStyle name="40% - Accent2 7 4 2 2 2 3" xfId="34193" xr:uid="{00000000-0005-0000-0000-000030650000}"/>
    <cellStyle name="40% - Accent2 7 4 2 2 3" xfId="17242" xr:uid="{00000000-0005-0000-0000-000031650000}"/>
    <cellStyle name="40% - Accent2 7 4 2 2 3 2" xfId="39844" xr:uid="{00000000-0005-0000-0000-000032650000}"/>
    <cellStyle name="40% - Accent2 7 4 2 2 4" xfId="28543" xr:uid="{00000000-0005-0000-0000-000033650000}"/>
    <cellStyle name="40% - Accent2 7 4 2 3" xfId="8759" xr:uid="{00000000-0005-0000-0000-000034650000}"/>
    <cellStyle name="40% - Accent2 7 4 2 3 2" xfId="20060" xr:uid="{00000000-0005-0000-0000-000035650000}"/>
    <cellStyle name="40% - Accent2 7 4 2 3 2 2" xfId="42662" xr:uid="{00000000-0005-0000-0000-000036650000}"/>
    <cellStyle name="40% - Accent2 7 4 2 3 3" xfId="31361" xr:uid="{00000000-0005-0000-0000-000037650000}"/>
    <cellStyle name="40% - Accent2 7 4 2 4" xfId="14410" xr:uid="{00000000-0005-0000-0000-000038650000}"/>
    <cellStyle name="40% - Accent2 7 4 2 4 2" xfId="37012" xr:uid="{00000000-0005-0000-0000-000039650000}"/>
    <cellStyle name="40% - Accent2 7 4 2 5" xfId="25711" xr:uid="{00000000-0005-0000-0000-00003A650000}"/>
    <cellStyle name="40% - Accent2 7 4 3" xfId="4707" xr:uid="{00000000-0005-0000-0000-00003B650000}"/>
    <cellStyle name="40% - Accent2 7 4 3 2" xfId="10357" xr:uid="{00000000-0005-0000-0000-00003C650000}"/>
    <cellStyle name="40% - Accent2 7 4 3 2 2" xfId="21658" xr:uid="{00000000-0005-0000-0000-00003D650000}"/>
    <cellStyle name="40% - Accent2 7 4 3 2 2 2" xfId="44260" xr:uid="{00000000-0005-0000-0000-00003E650000}"/>
    <cellStyle name="40% - Accent2 7 4 3 2 3" xfId="32959" xr:uid="{00000000-0005-0000-0000-00003F650000}"/>
    <cellStyle name="40% - Accent2 7 4 3 3" xfId="16008" xr:uid="{00000000-0005-0000-0000-000040650000}"/>
    <cellStyle name="40% - Accent2 7 4 3 3 2" xfId="38610" xr:uid="{00000000-0005-0000-0000-000041650000}"/>
    <cellStyle name="40% - Accent2 7 4 3 4" xfId="27309" xr:uid="{00000000-0005-0000-0000-000042650000}"/>
    <cellStyle name="40% - Accent2 7 4 4" xfId="6894" xr:uid="{00000000-0005-0000-0000-000043650000}"/>
    <cellStyle name="40% - Accent2 7 4 4 2" xfId="18195" xr:uid="{00000000-0005-0000-0000-000044650000}"/>
    <cellStyle name="40% - Accent2 7 4 4 2 2" xfId="40797" xr:uid="{00000000-0005-0000-0000-000045650000}"/>
    <cellStyle name="40% - Accent2 7 4 4 3" xfId="29496" xr:uid="{00000000-0005-0000-0000-000046650000}"/>
    <cellStyle name="40% - Accent2 7 4 5" xfId="12545" xr:uid="{00000000-0005-0000-0000-000047650000}"/>
    <cellStyle name="40% - Accent2 7 4 5 2" xfId="35147" xr:uid="{00000000-0005-0000-0000-000048650000}"/>
    <cellStyle name="40% - Accent2 7 4 6" xfId="23846" xr:uid="{00000000-0005-0000-0000-000049650000}"/>
    <cellStyle name="40% - Accent2 7 5" xfId="1890" xr:uid="{00000000-0005-0000-0000-00004A650000}"/>
    <cellStyle name="40% - Accent2 7 5 2" xfId="3744" xr:uid="{00000000-0005-0000-0000-00004B650000}"/>
    <cellStyle name="40% - Accent2 7 5 2 2" xfId="9454" xr:uid="{00000000-0005-0000-0000-00004C650000}"/>
    <cellStyle name="40% - Accent2 7 5 2 2 2" xfId="20755" xr:uid="{00000000-0005-0000-0000-00004D650000}"/>
    <cellStyle name="40% - Accent2 7 5 2 2 2 2" xfId="43357" xr:uid="{00000000-0005-0000-0000-00004E650000}"/>
    <cellStyle name="40% - Accent2 7 5 2 2 3" xfId="32056" xr:uid="{00000000-0005-0000-0000-00004F650000}"/>
    <cellStyle name="40% - Accent2 7 5 2 3" xfId="15105" xr:uid="{00000000-0005-0000-0000-000050650000}"/>
    <cellStyle name="40% - Accent2 7 5 2 3 2" xfId="37707" xr:uid="{00000000-0005-0000-0000-000051650000}"/>
    <cellStyle name="40% - Accent2 7 5 2 4" xfId="26406" xr:uid="{00000000-0005-0000-0000-000052650000}"/>
    <cellStyle name="40% - Accent2 7 5 3" xfId="5317" xr:uid="{00000000-0005-0000-0000-000053650000}"/>
    <cellStyle name="40% - Accent2 7 5 3 2" xfId="10967" xr:uid="{00000000-0005-0000-0000-000054650000}"/>
    <cellStyle name="40% - Accent2 7 5 3 2 2" xfId="22268" xr:uid="{00000000-0005-0000-0000-000055650000}"/>
    <cellStyle name="40% - Accent2 7 5 3 2 2 2" xfId="44870" xr:uid="{00000000-0005-0000-0000-000056650000}"/>
    <cellStyle name="40% - Accent2 7 5 3 2 3" xfId="33569" xr:uid="{00000000-0005-0000-0000-000057650000}"/>
    <cellStyle name="40% - Accent2 7 5 3 3" xfId="16618" xr:uid="{00000000-0005-0000-0000-000058650000}"/>
    <cellStyle name="40% - Accent2 7 5 3 3 2" xfId="39220" xr:uid="{00000000-0005-0000-0000-000059650000}"/>
    <cellStyle name="40% - Accent2 7 5 3 4" xfId="27919" xr:uid="{00000000-0005-0000-0000-00005A650000}"/>
    <cellStyle name="40% - Accent2 7 5 4" xfId="7746" xr:uid="{00000000-0005-0000-0000-00005B650000}"/>
    <cellStyle name="40% - Accent2 7 5 4 2" xfId="19047" xr:uid="{00000000-0005-0000-0000-00005C650000}"/>
    <cellStyle name="40% - Accent2 7 5 4 2 2" xfId="41649" xr:uid="{00000000-0005-0000-0000-00005D650000}"/>
    <cellStyle name="40% - Accent2 7 5 4 3" xfId="30348" xr:uid="{00000000-0005-0000-0000-00005E650000}"/>
    <cellStyle name="40% - Accent2 7 5 5" xfId="13397" xr:uid="{00000000-0005-0000-0000-00005F650000}"/>
    <cellStyle name="40% - Accent2 7 5 5 2" xfId="35999" xr:uid="{00000000-0005-0000-0000-000060650000}"/>
    <cellStyle name="40% - Accent2 7 5 6" xfId="24698" xr:uid="{00000000-0005-0000-0000-000061650000}"/>
    <cellStyle name="40% - Accent2 7 6" xfId="2296" xr:uid="{00000000-0005-0000-0000-000062650000}"/>
    <cellStyle name="40% - Accent2 7 6 2" xfId="8132" xr:uid="{00000000-0005-0000-0000-000063650000}"/>
    <cellStyle name="40% - Accent2 7 6 2 2" xfId="19433" xr:uid="{00000000-0005-0000-0000-000064650000}"/>
    <cellStyle name="40% - Accent2 7 6 2 2 2" xfId="42035" xr:uid="{00000000-0005-0000-0000-000065650000}"/>
    <cellStyle name="40% - Accent2 7 6 2 3" xfId="30734" xr:uid="{00000000-0005-0000-0000-000066650000}"/>
    <cellStyle name="40% - Accent2 7 6 3" xfId="13783" xr:uid="{00000000-0005-0000-0000-000067650000}"/>
    <cellStyle name="40% - Accent2 7 6 3 2" xfId="36385" xr:uid="{00000000-0005-0000-0000-000068650000}"/>
    <cellStyle name="40% - Accent2 7 6 4" xfId="25084" xr:uid="{00000000-0005-0000-0000-000069650000}"/>
    <cellStyle name="40% - Accent2 7 7" xfId="4083" xr:uid="{00000000-0005-0000-0000-00006A650000}"/>
    <cellStyle name="40% - Accent2 7 7 2" xfId="9733" xr:uid="{00000000-0005-0000-0000-00006B650000}"/>
    <cellStyle name="40% - Accent2 7 7 2 2" xfId="21034" xr:uid="{00000000-0005-0000-0000-00006C650000}"/>
    <cellStyle name="40% - Accent2 7 7 2 2 2" xfId="43636" xr:uid="{00000000-0005-0000-0000-00006D650000}"/>
    <cellStyle name="40% - Accent2 7 7 2 3" xfId="32335" xr:uid="{00000000-0005-0000-0000-00006E650000}"/>
    <cellStyle name="40% - Accent2 7 7 3" xfId="15384" xr:uid="{00000000-0005-0000-0000-00006F650000}"/>
    <cellStyle name="40% - Accent2 7 7 3 2" xfId="37986" xr:uid="{00000000-0005-0000-0000-000070650000}"/>
    <cellStyle name="40% - Accent2 7 7 4" xfId="26685" xr:uid="{00000000-0005-0000-0000-000071650000}"/>
    <cellStyle name="40% - Accent2 7 8" xfId="6534" xr:uid="{00000000-0005-0000-0000-000072650000}"/>
    <cellStyle name="40% - Accent2 7 8 2" xfId="17835" xr:uid="{00000000-0005-0000-0000-000073650000}"/>
    <cellStyle name="40% - Accent2 7 8 2 2" xfId="40437" xr:uid="{00000000-0005-0000-0000-000074650000}"/>
    <cellStyle name="40% - Accent2 7 8 3" xfId="29136" xr:uid="{00000000-0005-0000-0000-000075650000}"/>
    <cellStyle name="40% - Accent2 7 9" xfId="12185" xr:uid="{00000000-0005-0000-0000-000076650000}"/>
    <cellStyle name="40% - Accent2 7 9 2" xfId="34787" xr:uid="{00000000-0005-0000-0000-000077650000}"/>
    <cellStyle name="40% - Accent2 8" xfId="494" xr:uid="{00000000-0005-0000-0000-000078650000}"/>
    <cellStyle name="40% - Accent2 8 2" xfId="1265" xr:uid="{00000000-0005-0000-0000-000079650000}"/>
    <cellStyle name="40% - Accent2 8 2 2" xfId="1895" xr:uid="{00000000-0005-0000-0000-00007A650000}"/>
    <cellStyle name="40% - Accent2 8 2 2 2" xfId="3334" xr:uid="{00000000-0005-0000-0000-00007B650000}"/>
    <cellStyle name="40% - Accent2 8 2 2 2 2" xfId="6306" xr:uid="{00000000-0005-0000-0000-00007C650000}"/>
    <cellStyle name="40% - Accent2 8 2 2 2 2 2" xfId="11956" xr:uid="{00000000-0005-0000-0000-00007D650000}"/>
    <cellStyle name="40% - Accent2 8 2 2 2 2 2 2" xfId="23257" xr:uid="{00000000-0005-0000-0000-00007E650000}"/>
    <cellStyle name="40% - Accent2 8 2 2 2 2 2 2 2" xfId="45859" xr:uid="{00000000-0005-0000-0000-00007F650000}"/>
    <cellStyle name="40% - Accent2 8 2 2 2 2 2 3" xfId="34558" xr:uid="{00000000-0005-0000-0000-000080650000}"/>
    <cellStyle name="40% - Accent2 8 2 2 2 2 3" xfId="17607" xr:uid="{00000000-0005-0000-0000-000081650000}"/>
    <cellStyle name="40% - Accent2 8 2 2 2 2 3 2" xfId="40209" xr:uid="{00000000-0005-0000-0000-000082650000}"/>
    <cellStyle name="40% - Accent2 8 2 2 2 2 4" xfId="28908" xr:uid="{00000000-0005-0000-0000-000083650000}"/>
    <cellStyle name="40% - Accent2 8 2 2 2 3" xfId="9124" xr:uid="{00000000-0005-0000-0000-000084650000}"/>
    <cellStyle name="40% - Accent2 8 2 2 2 3 2" xfId="20425" xr:uid="{00000000-0005-0000-0000-000085650000}"/>
    <cellStyle name="40% - Accent2 8 2 2 2 3 2 2" xfId="43027" xr:uid="{00000000-0005-0000-0000-000086650000}"/>
    <cellStyle name="40% - Accent2 8 2 2 2 3 3" xfId="31726" xr:uid="{00000000-0005-0000-0000-000087650000}"/>
    <cellStyle name="40% - Accent2 8 2 2 2 4" xfId="14775" xr:uid="{00000000-0005-0000-0000-000088650000}"/>
    <cellStyle name="40% - Accent2 8 2 2 2 4 2" xfId="37377" xr:uid="{00000000-0005-0000-0000-000089650000}"/>
    <cellStyle name="40% - Accent2 8 2 2 2 5" xfId="26076" xr:uid="{00000000-0005-0000-0000-00008A650000}"/>
    <cellStyle name="40% - Accent2 8 2 2 3" xfId="5072" xr:uid="{00000000-0005-0000-0000-00008B650000}"/>
    <cellStyle name="40% - Accent2 8 2 2 3 2" xfId="10722" xr:uid="{00000000-0005-0000-0000-00008C650000}"/>
    <cellStyle name="40% - Accent2 8 2 2 3 2 2" xfId="22023" xr:uid="{00000000-0005-0000-0000-00008D650000}"/>
    <cellStyle name="40% - Accent2 8 2 2 3 2 2 2" xfId="44625" xr:uid="{00000000-0005-0000-0000-00008E650000}"/>
    <cellStyle name="40% - Accent2 8 2 2 3 2 3" xfId="33324" xr:uid="{00000000-0005-0000-0000-00008F650000}"/>
    <cellStyle name="40% - Accent2 8 2 2 3 3" xfId="16373" xr:uid="{00000000-0005-0000-0000-000090650000}"/>
    <cellStyle name="40% - Accent2 8 2 2 3 3 2" xfId="38975" xr:uid="{00000000-0005-0000-0000-000091650000}"/>
    <cellStyle name="40% - Accent2 8 2 2 3 4" xfId="27674" xr:uid="{00000000-0005-0000-0000-000092650000}"/>
    <cellStyle name="40% - Accent2 8 2 2 4" xfId="7751" xr:uid="{00000000-0005-0000-0000-000093650000}"/>
    <cellStyle name="40% - Accent2 8 2 2 4 2" xfId="19052" xr:uid="{00000000-0005-0000-0000-000094650000}"/>
    <cellStyle name="40% - Accent2 8 2 2 4 2 2" xfId="41654" xr:uid="{00000000-0005-0000-0000-000095650000}"/>
    <cellStyle name="40% - Accent2 8 2 2 4 3" xfId="30353" xr:uid="{00000000-0005-0000-0000-000096650000}"/>
    <cellStyle name="40% - Accent2 8 2 2 5" xfId="13402" xr:uid="{00000000-0005-0000-0000-000097650000}"/>
    <cellStyle name="40% - Accent2 8 2 2 5 2" xfId="36004" xr:uid="{00000000-0005-0000-0000-000098650000}"/>
    <cellStyle name="40% - Accent2 8 2 2 6" xfId="24703" xr:uid="{00000000-0005-0000-0000-000099650000}"/>
    <cellStyle name="40% - Accent2 8 2 3" xfId="2663" xr:uid="{00000000-0005-0000-0000-00009A650000}"/>
    <cellStyle name="40% - Accent2 8 2 3 2" xfId="5682" xr:uid="{00000000-0005-0000-0000-00009B650000}"/>
    <cellStyle name="40% - Accent2 8 2 3 2 2" xfId="11332" xr:uid="{00000000-0005-0000-0000-00009C650000}"/>
    <cellStyle name="40% - Accent2 8 2 3 2 2 2" xfId="22633" xr:uid="{00000000-0005-0000-0000-00009D650000}"/>
    <cellStyle name="40% - Accent2 8 2 3 2 2 2 2" xfId="45235" xr:uid="{00000000-0005-0000-0000-00009E650000}"/>
    <cellStyle name="40% - Accent2 8 2 3 2 2 3" xfId="33934" xr:uid="{00000000-0005-0000-0000-00009F650000}"/>
    <cellStyle name="40% - Accent2 8 2 3 2 3" xfId="16983" xr:uid="{00000000-0005-0000-0000-0000A0650000}"/>
    <cellStyle name="40% - Accent2 8 2 3 2 3 2" xfId="39585" xr:uid="{00000000-0005-0000-0000-0000A1650000}"/>
    <cellStyle name="40% - Accent2 8 2 3 2 4" xfId="28284" xr:uid="{00000000-0005-0000-0000-0000A2650000}"/>
    <cellStyle name="40% - Accent2 8 2 3 3" xfId="8499" xr:uid="{00000000-0005-0000-0000-0000A3650000}"/>
    <cellStyle name="40% - Accent2 8 2 3 3 2" xfId="19800" xr:uid="{00000000-0005-0000-0000-0000A4650000}"/>
    <cellStyle name="40% - Accent2 8 2 3 3 2 2" xfId="42402" xr:uid="{00000000-0005-0000-0000-0000A5650000}"/>
    <cellStyle name="40% - Accent2 8 2 3 3 3" xfId="31101" xr:uid="{00000000-0005-0000-0000-0000A6650000}"/>
    <cellStyle name="40% - Accent2 8 2 3 4" xfId="14150" xr:uid="{00000000-0005-0000-0000-0000A7650000}"/>
    <cellStyle name="40% - Accent2 8 2 3 4 2" xfId="36752" xr:uid="{00000000-0005-0000-0000-0000A8650000}"/>
    <cellStyle name="40% - Accent2 8 2 3 5" xfId="25451" xr:uid="{00000000-0005-0000-0000-0000A9650000}"/>
    <cellStyle name="40% - Accent2 8 2 4" xfId="4448" xr:uid="{00000000-0005-0000-0000-0000AA650000}"/>
    <cellStyle name="40% - Accent2 8 2 4 2" xfId="10098" xr:uid="{00000000-0005-0000-0000-0000AB650000}"/>
    <cellStyle name="40% - Accent2 8 2 4 2 2" xfId="21399" xr:uid="{00000000-0005-0000-0000-0000AC650000}"/>
    <cellStyle name="40% - Accent2 8 2 4 2 2 2" xfId="44001" xr:uid="{00000000-0005-0000-0000-0000AD650000}"/>
    <cellStyle name="40% - Accent2 8 2 4 2 3" xfId="32700" xr:uid="{00000000-0005-0000-0000-0000AE650000}"/>
    <cellStyle name="40% - Accent2 8 2 4 3" xfId="15749" xr:uid="{00000000-0005-0000-0000-0000AF650000}"/>
    <cellStyle name="40% - Accent2 8 2 4 3 2" xfId="38351" xr:uid="{00000000-0005-0000-0000-0000B0650000}"/>
    <cellStyle name="40% - Accent2 8 2 4 4" xfId="27050" xr:uid="{00000000-0005-0000-0000-0000B1650000}"/>
    <cellStyle name="40% - Accent2 8 2 5" xfId="7244" xr:uid="{00000000-0005-0000-0000-0000B2650000}"/>
    <cellStyle name="40% - Accent2 8 2 5 2" xfId="18545" xr:uid="{00000000-0005-0000-0000-0000B3650000}"/>
    <cellStyle name="40% - Accent2 8 2 5 2 2" xfId="41147" xr:uid="{00000000-0005-0000-0000-0000B4650000}"/>
    <cellStyle name="40% - Accent2 8 2 5 3" xfId="29846" xr:uid="{00000000-0005-0000-0000-0000B5650000}"/>
    <cellStyle name="40% - Accent2 8 2 6" xfId="12895" xr:uid="{00000000-0005-0000-0000-0000B6650000}"/>
    <cellStyle name="40% - Accent2 8 2 6 2" xfId="35497" xr:uid="{00000000-0005-0000-0000-0000B7650000}"/>
    <cellStyle name="40% - Accent2 8 2 7" xfId="24196" xr:uid="{00000000-0005-0000-0000-0000B8650000}"/>
    <cellStyle name="40% - Accent2 8 3" xfId="962" xr:uid="{00000000-0005-0000-0000-0000B9650000}"/>
    <cellStyle name="40% - Accent2 8 3 2" xfId="3026" xr:uid="{00000000-0005-0000-0000-0000BA650000}"/>
    <cellStyle name="40% - Accent2 8 3 2 2" xfId="5998" xr:uid="{00000000-0005-0000-0000-0000BB650000}"/>
    <cellStyle name="40% - Accent2 8 3 2 2 2" xfId="11648" xr:uid="{00000000-0005-0000-0000-0000BC650000}"/>
    <cellStyle name="40% - Accent2 8 3 2 2 2 2" xfId="22949" xr:uid="{00000000-0005-0000-0000-0000BD650000}"/>
    <cellStyle name="40% - Accent2 8 3 2 2 2 2 2" xfId="45551" xr:uid="{00000000-0005-0000-0000-0000BE650000}"/>
    <cellStyle name="40% - Accent2 8 3 2 2 2 3" xfId="34250" xr:uid="{00000000-0005-0000-0000-0000BF650000}"/>
    <cellStyle name="40% - Accent2 8 3 2 2 3" xfId="17299" xr:uid="{00000000-0005-0000-0000-0000C0650000}"/>
    <cellStyle name="40% - Accent2 8 3 2 2 3 2" xfId="39901" xr:uid="{00000000-0005-0000-0000-0000C1650000}"/>
    <cellStyle name="40% - Accent2 8 3 2 2 4" xfId="28600" xr:uid="{00000000-0005-0000-0000-0000C2650000}"/>
    <cellStyle name="40% - Accent2 8 3 2 3" xfId="8816" xr:uid="{00000000-0005-0000-0000-0000C3650000}"/>
    <cellStyle name="40% - Accent2 8 3 2 3 2" xfId="20117" xr:uid="{00000000-0005-0000-0000-0000C4650000}"/>
    <cellStyle name="40% - Accent2 8 3 2 3 2 2" xfId="42719" xr:uid="{00000000-0005-0000-0000-0000C5650000}"/>
    <cellStyle name="40% - Accent2 8 3 2 3 3" xfId="31418" xr:uid="{00000000-0005-0000-0000-0000C6650000}"/>
    <cellStyle name="40% - Accent2 8 3 2 4" xfId="14467" xr:uid="{00000000-0005-0000-0000-0000C7650000}"/>
    <cellStyle name="40% - Accent2 8 3 2 4 2" xfId="37069" xr:uid="{00000000-0005-0000-0000-0000C8650000}"/>
    <cellStyle name="40% - Accent2 8 3 2 5" xfId="25768" xr:uid="{00000000-0005-0000-0000-0000C9650000}"/>
    <cellStyle name="40% - Accent2 8 3 3" xfId="4764" xr:uid="{00000000-0005-0000-0000-0000CA650000}"/>
    <cellStyle name="40% - Accent2 8 3 3 2" xfId="10414" xr:uid="{00000000-0005-0000-0000-0000CB650000}"/>
    <cellStyle name="40% - Accent2 8 3 3 2 2" xfId="21715" xr:uid="{00000000-0005-0000-0000-0000CC650000}"/>
    <cellStyle name="40% - Accent2 8 3 3 2 2 2" xfId="44317" xr:uid="{00000000-0005-0000-0000-0000CD650000}"/>
    <cellStyle name="40% - Accent2 8 3 3 2 3" xfId="33016" xr:uid="{00000000-0005-0000-0000-0000CE650000}"/>
    <cellStyle name="40% - Accent2 8 3 3 3" xfId="16065" xr:uid="{00000000-0005-0000-0000-0000CF650000}"/>
    <cellStyle name="40% - Accent2 8 3 3 3 2" xfId="38667" xr:uid="{00000000-0005-0000-0000-0000D0650000}"/>
    <cellStyle name="40% - Accent2 8 3 3 4" xfId="27366" xr:uid="{00000000-0005-0000-0000-0000D1650000}"/>
    <cellStyle name="40% - Accent2 8 3 4" xfId="6951" xr:uid="{00000000-0005-0000-0000-0000D2650000}"/>
    <cellStyle name="40% - Accent2 8 3 4 2" xfId="18252" xr:uid="{00000000-0005-0000-0000-0000D3650000}"/>
    <cellStyle name="40% - Accent2 8 3 4 2 2" xfId="40854" xr:uid="{00000000-0005-0000-0000-0000D4650000}"/>
    <cellStyle name="40% - Accent2 8 3 4 3" xfId="29553" xr:uid="{00000000-0005-0000-0000-0000D5650000}"/>
    <cellStyle name="40% - Accent2 8 3 5" xfId="12602" xr:uid="{00000000-0005-0000-0000-0000D6650000}"/>
    <cellStyle name="40% - Accent2 8 3 5 2" xfId="35204" xr:uid="{00000000-0005-0000-0000-0000D7650000}"/>
    <cellStyle name="40% - Accent2 8 3 6" xfId="23903" xr:uid="{00000000-0005-0000-0000-0000D8650000}"/>
    <cellStyle name="40% - Accent2 8 4" xfId="1894" xr:uid="{00000000-0005-0000-0000-0000D9650000}"/>
    <cellStyle name="40% - Accent2 8 4 2" xfId="3746" xr:uid="{00000000-0005-0000-0000-0000DA650000}"/>
    <cellStyle name="40% - Accent2 8 4 2 2" xfId="9456" xr:uid="{00000000-0005-0000-0000-0000DB650000}"/>
    <cellStyle name="40% - Accent2 8 4 2 2 2" xfId="20757" xr:uid="{00000000-0005-0000-0000-0000DC650000}"/>
    <cellStyle name="40% - Accent2 8 4 2 2 2 2" xfId="43359" xr:uid="{00000000-0005-0000-0000-0000DD650000}"/>
    <cellStyle name="40% - Accent2 8 4 2 2 3" xfId="32058" xr:uid="{00000000-0005-0000-0000-0000DE650000}"/>
    <cellStyle name="40% - Accent2 8 4 2 3" xfId="15107" xr:uid="{00000000-0005-0000-0000-0000DF650000}"/>
    <cellStyle name="40% - Accent2 8 4 2 3 2" xfId="37709" xr:uid="{00000000-0005-0000-0000-0000E0650000}"/>
    <cellStyle name="40% - Accent2 8 4 2 4" xfId="26408" xr:uid="{00000000-0005-0000-0000-0000E1650000}"/>
    <cellStyle name="40% - Accent2 8 4 3" xfId="5374" xr:uid="{00000000-0005-0000-0000-0000E2650000}"/>
    <cellStyle name="40% - Accent2 8 4 3 2" xfId="11024" xr:uid="{00000000-0005-0000-0000-0000E3650000}"/>
    <cellStyle name="40% - Accent2 8 4 3 2 2" xfId="22325" xr:uid="{00000000-0005-0000-0000-0000E4650000}"/>
    <cellStyle name="40% - Accent2 8 4 3 2 2 2" xfId="44927" xr:uid="{00000000-0005-0000-0000-0000E5650000}"/>
    <cellStyle name="40% - Accent2 8 4 3 2 3" xfId="33626" xr:uid="{00000000-0005-0000-0000-0000E6650000}"/>
    <cellStyle name="40% - Accent2 8 4 3 3" xfId="16675" xr:uid="{00000000-0005-0000-0000-0000E7650000}"/>
    <cellStyle name="40% - Accent2 8 4 3 3 2" xfId="39277" xr:uid="{00000000-0005-0000-0000-0000E8650000}"/>
    <cellStyle name="40% - Accent2 8 4 3 4" xfId="27976" xr:uid="{00000000-0005-0000-0000-0000E9650000}"/>
    <cellStyle name="40% - Accent2 8 4 4" xfId="7750" xr:uid="{00000000-0005-0000-0000-0000EA650000}"/>
    <cellStyle name="40% - Accent2 8 4 4 2" xfId="19051" xr:uid="{00000000-0005-0000-0000-0000EB650000}"/>
    <cellStyle name="40% - Accent2 8 4 4 2 2" xfId="41653" xr:uid="{00000000-0005-0000-0000-0000EC650000}"/>
    <cellStyle name="40% - Accent2 8 4 4 3" xfId="30352" xr:uid="{00000000-0005-0000-0000-0000ED650000}"/>
    <cellStyle name="40% - Accent2 8 4 5" xfId="13401" xr:uid="{00000000-0005-0000-0000-0000EE650000}"/>
    <cellStyle name="40% - Accent2 8 4 5 2" xfId="36003" xr:uid="{00000000-0005-0000-0000-0000EF650000}"/>
    <cellStyle name="40% - Accent2 8 4 6" xfId="24702" xr:uid="{00000000-0005-0000-0000-0000F0650000}"/>
    <cellStyle name="40% - Accent2 8 5" xfId="2355" xr:uid="{00000000-0005-0000-0000-0000F1650000}"/>
    <cellStyle name="40% - Accent2 8 5 2" xfId="8191" xr:uid="{00000000-0005-0000-0000-0000F2650000}"/>
    <cellStyle name="40% - Accent2 8 5 2 2" xfId="19492" xr:uid="{00000000-0005-0000-0000-0000F3650000}"/>
    <cellStyle name="40% - Accent2 8 5 2 2 2" xfId="42094" xr:uid="{00000000-0005-0000-0000-0000F4650000}"/>
    <cellStyle name="40% - Accent2 8 5 2 3" xfId="30793" xr:uid="{00000000-0005-0000-0000-0000F5650000}"/>
    <cellStyle name="40% - Accent2 8 5 3" xfId="13842" xr:uid="{00000000-0005-0000-0000-0000F6650000}"/>
    <cellStyle name="40% - Accent2 8 5 3 2" xfId="36444" xr:uid="{00000000-0005-0000-0000-0000F7650000}"/>
    <cellStyle name="40% - Accent2 8 5 4" xfId="25143" xr:uid="{00000000-0005-0000-0000-0000F8650000}"/>
    <cellStyle name="40% - Accent2 8 6" xfId="4140" xr:uid="{00000000-0005-0000-0000-0000F9650000}"/>
    <cellStyle name="40% - Accent2 8 6 2" xfId="9790" xr:uid="{00000000-0005-0000-0000-0000FA650000}"/>
    <cellStyle name="40% - Accent2 8 6 2 2" xfId="21091" xr:uid="{00000000-0005-0000-0000-0000FB650000}"/>
    <cellStyle name="40% - Accent2 8 6 2 2 2" xfId="43693" xr:uid="{00000000-0005-0000-0000-0000FC650000}"/>
    <cellStyle name="40% - Accent2 8 6 2 3" xfId="32392" xr:uid="{00000000-0005-0000-0000-0000FD650000}"/>
    <cellStyle name="40% - Accent2 8 6 3" xfId="15441" xr:uid="{00000000-0005-0000-0000-0000FE650000}"/>
    <cellStyle name="40% - Accent2 8 6 3 2" xfId="38043" xr:uid="{00000000-0005-0000-0000-0000FF650000}"/>
    <cellStyle name="40% - Accent2 8 6 4" xfId="26742" xr:uid="{00000000-0005-0000-0000-000000660000}"/>
    <cellStyle name="40% - Accent2 8 7" xfId="6591" xr:uid="{00000000-0005-0000-0000-000001660000}"/>
    <cellStyle name="40% - Accent2 8 7 2" xfId="17892" xr:uid="{00000000-0005-0000-0000-000002660000}"/>
    <cellStyle name="40% - Accent2 8 7 2 2" xfId="40494" xr:uid="{00000000-0005-0000-0000-000003660000}"/>
    <cellStyle name="40% - Accent2 8 7 3" xfId="29193" xr:uid="{00000000-0005-0000-0000-000004660000}"/>
    <cellStyle name="40% - Accent2 8 8" xfId="12242" xr:uid="{00000000-0005-0000-0000-000005660000}"/>
    <cellStyle name="40% - Accent2 8 8 2" xfId="34844" xr:uid="{00000000-0005-0000-0000-000006660000}"/>
    <cellStyle name="40% - Accent2 8 9" xfId="23543" xr:uid="{00000000-0005-0000-0000-000007660000}"/>
    <cellStyle name="40% - Accent2 9" xfId="696" xr:uid="{00000000-0005-0000-0000-000008660000}"/>
    <cellStyle name="40% - Accent2 9 2" xfId="753" xr:uid="{00000000-0005-0000-0000-000009660000}"/>
    <cellStyle name="40% - Accent2 9 2 2" xfId="3166" xr:uid="{00000000-0005-0000-0000-00000A660000}"/>
    <cellStyle name="40% - Accent2 9 2 2 2" xfId="6138" xr:uid="{00000000-0005-0000-0000-00000B660000}"/>
    <cellStyle name="40% - Accent2 9 2 2 2 2" xfId="11788" xr:uid="{00000000-0005-0000-0000-00000C660000}"/>
    <cellStyle name="40% - Accent2 9 2 2 2 2 2" xfId="23089" xr:uid="{00000000-0005-0000-0000-00000D660000}"/>
    <cellStyle name="40% - Accent2 9 2 2 2 2 2 2" xfId="45691" xr:uid="{00000000-0005-0000-0000-00000E660000}"/>
    <cellStyle name="40% - Accent2 9 2 2 2 2 3" xfId="34390" xr:uid="{00000000-0005-0000-0000-00000F660000}"/>
    <cellStyle name="40% - Accent2 9 2 2 2 3" xfId="17439" xr:uid="{00000000-0005-0000-0000-000010660000}"/>
    <cellStyle name="40% - Accent2 9 2 2 2 3 2" xfId="40041" xr:uid="{00000000-0005-0000-0000-000011660000}"/>
    <cellStyle name="40% - Accent2 9 2 2 2 4" xfId="28740" xr:uid="{00000000-0005-0000-0000-000012660000}"/>
    <cellStyle name="40% - Accent2 9 2 2 3" xfId="8956" xr:uid="{00000000-0005-0000-0000-000013660000}"/>
    <cellStyle name="40% - Accent2 9 2 2 3 2" xfId="20257" xr:uid="{00000000-0005-0000-0000-000014660000}"/>
    <cellStyle name="40% - Accent2 9 2 2 3 2 2" xfId="42859" xr:uid="{00000000-0005-0000-0000-000015660000}"/>
    <cellStyle name="40% - Accent2 9 2 2 3 3" xfId="31558" xr:uid="{00000000-0005-0000-0000-000016660000}"/>
    <cellStyle name="40% - Accent2 9 2 2 4" xfId="14607" xr:uid="{00000000-0005-0000-0000-000017660000}"/>
    <cellStyle name="40% - Accent2 9 2 2 4 2" xfId="37209" xr:uid="{00000000-0005-0000-0000-000018660000}"/>
    <cellStyle name="40% - Accent2 9 2 2 5" xfId="25908" xr:uid="{00000000-0005-0000-0000-000019660000}"/>
    <cellStyle name="40% - Accent2 9 2 3" xfId="4904" xr:uid="{00000000-0005-0000-0000-00001A660000}"/>
    <cellStyle name="40% - Accent2 9 2 3 2" xfId="10554" xr:uid="{00000000-0005-0000-0000-00001B660000}"/>
    <cellStyle name="40% - Accent2 9 2 3 2 2" xfId="21855" xr:uid="{00000000-0005-0000-0000-00001C660000}"/>
    <cellStyle name="40% - Accent2 9 2 3 2 2 2" xfId="44457" xr:uid="{00000000-0005-0000-0000-00001D660000}"/>
    <cellStyle name="40% - Accent2 9 2 3 2 3" xfId="33156" xr:uid="{00000000-0005-0000-0000-00001E660000}"/>
    <cellStyle name="40% - Accent2 9 2 3 3" xfId="16205" xr:uid="{00000000-0005-0000-0000-00001F660000}"/>
    <cellStyle name="40% - Accent2 9 2 3 3 2" xfId="38807" xr:uid="{00000000-0005-0000-0000-000020660000}"/>
    <cellStyle name="40% - Accent2 9 2 3 4" xfId="27506" xr:uid="{00000000-0005-0000-0000-000021660000}"/>
    <cellStyle name="40% - Accent2 9 2 4" xfId="6780" xr:uid="{00000000-0005-0000-0000-000022660000}"/>
    <cellStyle name="40% - Accent2 9 2 4 2" xfId="18081" xr:uid="{00000000-0005-0000-0000-000023660000}"/>
    <cellStyle name="40% - Accent2 9 2 4 2 2" xfId="40683" xr:uid="{00000000-0005-0000-0000-000024660000}"/>
    <cellStyle name="40% - Accent2 9 2 4 3" xfId="29382" xr:uid="{00000000-0005-0000-0000-000025660000}"/>
    <cellStyle name="40% - Accent2 9 2 5" xfId="12431" xr:uid="{00000000-0005-0000-0000-000026660000}"/>
    <cellStyle name="40% - Accent2 9 2 5 2" xfId="35033" xr:uid="{00000000-0005-0000-0000-000027660000}"/>
    <cellStyle name="40% - Accent2 9 2 6" xfId="23732" xr:uid="{00000000-0005-0000-0000-000028660000}"/>
    <cellStyle name="40% - Accent2 9 3" xfId="1896" xr:uid="{00000000-0005-0000-0000-000029660000}"/>
    <cellStyle name="40% - Accent2 9 3 2" xfId="3747" xr:uid="{00000000-0005-0000-0000-00002A660000}"/>
    <cellStyle name="40% - Accent2 9 3 2 2" xfId="9457" xr:uid="{00000000-0005-0000-0000-00002B660000}"/>
    <cellStyle name="40% - Accent2 9 3 2 2 2" xfId="20758" xr:uid="{00000000-0005-0000-0000-00002C660000}"/>
    <cellStyle name="40% - Accent2 9 3 2 2 2 2" xfId="43360" xr:uid="{00000000-0005-0000-0000-00002D660000}"/>
    <cellStyle name="40% - Accent2 9 3 2 2 3" xfId="32059" xr:uid="{00000000-0005-0000-0000-00002E660000}"/>
    <cellStyle name="40% - Accent2 9 3 2 3" xfId="15108" xr:uid="{00000000-0005-0000-0000-00002F660000}"/>
    <cellStyle name="40% - Accent2 9 3 2 3 2" xfId="37710" xr:uid="{00000000-0005-0000-0000-000030660000}"/>
    <cellStyle name="40% - Accent2 9 3 2 4" xfId="26409" xr:uid="{00000000-0005-0000-0000-000031660000}"/>
    <cellStyle name="40% - Accent2 9 3 3" xfId="5514" xr:uid="{00000000-0005-0000-0000-000032660000}"/>
    <cellStyle name="40% - Accent2 9 3 3 2" xfId="11164" xr:uid="{00000000-0005-0000-0000-000033660000}"/>
    <cellStyle name="40% - Accent2 9 3 3 2 2" xfId="22465" xr:uid="{00000000-0005-0000-0000-000034660000}"/>
    <cellStyle name="40% - Accent2 9 3 3 2 2 2" xfId="45067" xr:uid="{00000000-0005-0000-0000-000035660000}"/>
    <cellStyle name="40% - Accent2 9 3 3 2 3" xfId="33766" xr:uid="{00000000-0005-0000-0000-000036660000}"/>
    <cellStyle name="40% - Accent2 9 3 3 3" xfId="16815" xr:uid="{00000000-0005-0000-0000-000037660000}"/>
    <cellStyle name="40% - Accent2 9 3 3 3 2" xfId="39417" xr:uid="{00000000-0005-0000-0000-000038660000}"/>
    <cellStyle name="40% - Accent2 9 3 3 4" xfId="28116" xr:uid="{00000000-0005-0000-0000-000039660000}"/>
    <cellStyle name="40% - Accent2 9 3 4" xfId="7752" xr:uid="{00000000-0005-0000-0000-00003A660000}"/>
    <cellStyle name="40% - Accent2 9 3 4 2" xfId="19053" xr:uid="{00000000-0005-0000-0000-00003B660000}"/>
    <cellStyle name="40% - Accent2 9 3 4 2 2" xfId="41655" xr:uid="{00000000-0005-0000-0000-00003C660000}"/>
    <cellStyle name="40% - Accent2 9 3 4 3" xfId="30354" xr:uid="{00000000-0005-0000-0000-00003D660000}"/>
    <cellStyle name="40% - Accent2 9 3 5" xfId="13403" xr:uid="{00000000-0005-0000-0000-00003E660000}"/>
    <cellStyle name="40% - Accent2 9 3 5 2" xfId="36005" xr:uid="{00000000-0005-0000-0000-00003F660000}"/>
    <cellStyle name="40% - Accent2 9 3 6" xfId="24704" xr:uid="{00000000-0005-0000-0000-000040660000}"/>
    <cellStyle name="40% - Accent2 9 4" xfId="2495" xr:uid="{00000000-0005-0000-0000-000041660000}"/>
    <cellStyle name="40% - Accent2 9 4 2" xfId="8331" xr:uid="{00000000-0005-0000-0000-000042660000}"/>
    <cellStyle name="40% - Accent2 9 4 2 2" xfId="19632" xr:uid="{00000000-0005-0000-0000-000043660000}"/>
    <cellStyle name="40% - Accent2 9 4 2 2 2" xfId="42234" xr:uid="{00000000-0005-0000-0000-000044660000}"/>
    <cellStyle name="40% - Accent2 9 4 2 3" xfId="30933" xr:uid="{00000000-0005-0000-0000-000045660000}"/>
    <cellStyle name="40% - Accent2 9 4 3" xfId="13982" xr:uid="{00000000-0005-0000-0000-000046660000}"/>
    <cellStyle name="40% - Accent2 9 4 3 2" xfId="36584" xr:uid="{00000000-0005-0000-0000-000047660000}"/>
    <cellStyle name="40% - Accent2 9 4 4" xfId="25283" xr:uid="{00000000-0005-0000-0000-000048660000}"/>
    <cellStyle name="40% - Accent2 9 5" xfId="4280" xr:uid="{00000000-0005-0000-0000-000049660000}"/>
    <cellStyle name="40% - Accent2 9 5 2" xfId="9930" xr:uid="{00000000-0005-0000-0000-00004A660000}"/>
    <cellStyle name="40% - Accent2 9 5 2 2" xfId="21231" xr:uid="{00000000-0005-0000-0000-00004B660000}"/>
    <cellStyle name="40% - Accent2 9 5 2 2 2" xfId="43833" xr:uid="{00000000-0005-0000-0000-00004C660000}"/>
    <cellStyle name="40% - Accent2 9 5 2 3" xfId="32532" xr:uid="{00000000-0005-0000-0000-00004D660000}"/>
    <cellStyle name="40% - Accent2 9 5 3" xfId="15581" xr:uid="{00000000-0005-0000-0000-00004E660000}"/>
    <cellStyle name="40% - Accent2 9 5 3 2" xfId="38183" xr:uid="{00000000-0005-0000-0000-00004F660000}"/>
    <cellStyle name="40% - Accent2 9 5 4" xfId="26882" xr:uid="{00000000-0005-0000-0000-000050660000}"/>
    <cellStyle name="40% - Accent2 9 6" xfId="6759" xr:uid="{00000000-0005-0000-0000-000051660000}"/>
    <cellStyle name="40% - Accent2 9 6 2" xfId="18060" xr:uid="{00000000-0005-0000-0000-000052660000}"/>
    <cellStyle name="40% - Accent2 9 6 2 2" xfId="40662" xr:uid="{00000000-0005-0000-0000-000053660000}"/>
    <cellStyle name="40% - Accent2 9 6 3" xfId="29361" xr:uid="{00000000-0005-0000-0000-000054660000}"/>
    <cellStyle name="40% - Accent2 9 7" xfId="12410" xr:uid="{00000000-0005-0000-0000-000055660000}"/>
    <cellStyle name="40% - Accent2 9 7 2" xfId="35012" xr:uid="{00000000-0005-0000-0000-000056660000}"/>
    <cellStyle name="40% - Accent2 9 8" xfId="23711" xr:uid="{00000000-0005-0000-0000-000057660000}"/>
    <cellStyle name="40% - Accent3" xfId="28" builtinId="39" customBuiltin="1"/>
    <cellStyle name="40% - Accent3 10" xfId="853" xr:uid="{00000000-0005-0000-0000-000059660000}"/>
    <cellStyle name="40% - Accent3 10 2" xfId="1897" xr:uid="{00000000-0005-0000-0000-00005A660000}"/>
    <cellStyle name="40% - Accent3 10 2 2" xfId="3161" xr:uid="{00000000-0005-0000-0000-00005B660000}"/>
    <cellStyle name="40% - Accent3 10 2 2 2" xfId="6133" xr:uid="{00000000-0005-0000-0000-00005C660000}"/>
    <cellStyle name="40% - Accent3 10 2 2 2 2" xfId="11783" xr:uid="{00000000-0005-0000-0000-00005D660000}"/>
    <cellStyle name="40% - Accent3 10 2 2 2 2 2" xfId="23084" xr:uid="{00000000-0005-0000-0000-00005E660000}"/>
    <cellStyle name="40% - Accent3 10 2 2 2 2 2 2" xfId="45686" xr:uid="{00000000-0005-0000-0000-00005F660000}"/>
    <cellStyle name="40% - Accent3 10 2 2 2 2 3" xfId="34385" xr:uid="{00000000-0005-0000-0000-000060660000}"/>
    <cellStyle name="40% - Accent3 10 2 2 2 3" xfId="17434" xr:uid="{00000000-0005-0000-0000-000061660000}"/>
    <cellStyle name="40% - Accent3 10 2 2 2 3 2" xfId="40036" xr:uid="{00000000-0005-0000-0000-000062660000}"/>
    <cellStyle name="40% - Accent3 10 2 2 2 4" xfId="28735" xr:uid="{00000000-0005-0000-0000-000063660000}"/>
    <cellStyle name="40% - Accent3 10 2 2 3" xfId="8951" xr:uid="{00000000-0005-0000-0000-000064660000}"/>
    <cellStyle name="40% - Accent3 10 2 2 3 2" xfId="20252" xr:uid="{00000000-0005-0000-0000-000065660000}"/>
    <cellStyle name="40% - Accent3 10 2 2 3 2 2" xfId="42854" xr:uid="{00000000-0005-0000-0000-000066660000}"/>
    <cellStyle name="40% - Accent3 10 2 2 3 3" xfId="31553" xr:uid="{00000000-0005-0000-0000-000067660000}"/>
    <cellStyle name="40% - Accent3 10 2 2 4" xfId="14602" xr:uid="{00000000-0005-0000-0000-000068660000}"/>
    <cellStyle name="40% - Accent3 10 2 2 4 2" xfId="37204" xr:uid="{00000000-0005-0000-0000-000069660000}"/>
    <cellStyle name="40% - Accent3 10 2 2 5" xfId="25903" xr:uid="{00000000-0005-0000-0000-00006A660000}"/>
    <cellStyle name="40% - Accent3 10 2 3" xfId="4899" xr:uid="{00000000-0005-0000-0000-00006B660000}"/>
    <cellStyle name="40% - Accent3 10 2 3 2" xfId="10549" xr:uid="{00000000-0005-0000-0000-00006C660000}"/>
    <cellStyle name="40% - Accent3 10 2 3 2 2" xfId="21850" xr:uid="{00000000-0005-0000-0000-00006D660000}"/>
    <cellStyle name="40% - Accent3 10 2 3 2 2 2" xfId="44452" xr:uid="{00000000-0005-0000-0000-00006E660000}"/>
    <cellStyle name="40% - Accent3 10 2 3 2 3" xfId="33151" xr:uid="{00000000-0005-0000-0000-00006F660000}"/>
    <cellStyle name="40% - Accent3 10 2 3 3" xfId="16200" xr:uid="{00000000-0005-0000-0000-000070660000}"/>
    <cellStyle name="40% - Accent3 10 2 3 3 2" xfId="38802" xr:uid="{00000000-0005-0000-0000-000071660000}"/>
    <cellStyle name="40% - Accent3 10 2 3 4" xfId="27501" xr:uid="{00000000-0005-0000-0000-000072660000}"/>
    <cellStyle name="40% - Accent3 10 2 4" xfId="7753" xr:uid="{00000000-0005-0000-0000-000073660000}"/>
    <cellStyle name="40% - Accent3 10 2 4 2" xfId="19054" xr:uid="{00000000-0005-0000-0000-000074660000}"/>
    <cellStyle name="40% - Accent3 10 2 4 2 2" xfId="41656" xr:uid="{00000000-0005-0000-0000-000075660000}"/>
    <cellStyle name="40% - Accent3 10 2 4 3" xfId="30355" xr:uid="{00000000-0005-0000-0000-000076660000}"/>
    <cellStyle name="40% - Accent3 10 2 5" xfId="13404" xr:uid="{00000000-0005-0000-0000-000077660000}"/>
    <cellStyle name="40% - Accent3 10 2 5 2" xfId="36006" xr:uid="{00000000-0005-0000-0000-000078660000}"/>
    <cellStyle name="40% - Accent3 10 2 6" xfId="24705" xr:uid="{00000000-0005-0000-0000-000079660000}"/>
    <cellStyle name="40% - Accent3 10 3" xfId="2490" xr:uid="{00000000-0005-0000-0000-00007A660000}"/>
    <cellStyle name="40% - Accent3 10 3 2" xfId="5509" xr:uid="{00000000-0005-0000-0000-00007B660000}"/>
    <cellStyle name="40% - Accent3 10 3 2 2" xfId="11159" xr:uid="{00000000-0005-0000-0000-00007C660000}"/>
    <cellStyle name="40% - Accent3 10 3 2 2 2" xfId="22460" xr:uid="{00000000-0005-0000-0000-00007D660000}"/>
    <cellStyle name="40% - Accent3 10 3 2 2 2 2" xfId="45062" xr:uid="{00000000-0005-0000-0000-00007E660000}"/>
    <cellStyle name="40% - Accent3 10 3 2 2 3" xfId="33761" xr:uid="{00000000-0005-0000-0000-00007F660000}"/>
    <cellStyle name="40% - Accent3 10 3 2 3" xfId="16810" xr:uid="{00000000-0005-0000-0000-000080660000}"/>
    <cellStyle name="40% - Accent3 10 3 2 3 2" xfId="39412" xr:uid="{00000000-0005-0000-0000-000081660000}"/>
    <cellStyle name="40% - Accent3 10 3 2 4" xfId="28111" xr:uid="{00000000-0005-0000-0000-000082660000}"/>
    <cellStyle name="40% - Accent3 10 3 3" xfId="8326" xr:uid="{00000000-0005-0000-0000-000083660000}"/>
    <cellStyle name="40% - Accent3 10 3 3 2" xfId="19627" xr:uid="{00000000-0005-0000-0000-000084660000}"/>
    <cellStyle name="40% - Accent3 10 3 3 2 2" xfId="42229" xr:uid="{00000000-0005-0000-0000-000085660000}"/>
    <cellStyle name="40% - Accent3 10 3 3 3" xfId="30928" xr:uid="{00000000-0005-0000-0000-000086660000}"/>
    <cellStyle name="40% - Accent3 10 3 4" xfId="13977" xr:uid="{00000000-0005-0000-0000-000087660000}"/>
    <cellStyle name="40% - Accent3 10 3 4 2" xfId="36579" xr:uid="{00000000-0005-0000-0000-000088660000}"/>
    <cellStyle name="40% - Accent3 10 3 5" xfId="25278" xr:uid="{00000000-0005-0000-0000-000089660000}"/>
    <cellStyle name="40% - Accent3 10 4" xfId="4275" xr:uid="{00000000-0005-0000-0000-00008A660000}"/>
    <cellStyle name="40% - Accent3 10 4 2" xfId="9925" xr:uid="{00000000-0005-0000-0000-00008B660000}"/>
    <cellStyle name="40% - Accent3 10 4 2 2" xfId="21226" xr:uid="{00000000-0005-0000-0000-00008C660000}"/>
    <cellStyle name="40% - Accent3 10 4 2 2 2" xfId="43828" xr:uid="{00000000-0005-0000-0000-00008D660000}"/>
    <cellStyle name="40% - Accent3 10 4 2 3" xfId="32527" xr:uid="{00000000-0005-0000-0000-00008E660000}"/>
    <cellStyle name="40% - Accent3 10 4 3" xfId="15576" xr:uid="{00000000-0005-0000-0000-00008F660000}"/>
    <cellStyle name="40% - Accent3 10 4 3 2" xfId="38178" xr:uid="{00000000-0005-0000-0000-000090660000}"/>
    <cellStyle name="40% - Accent3 10 4 4" xfId="26877" xr:uid="{00000000-0005-0000-0000-000091660000}"/>
    <cellStyle name="40% - Accent3 10 5" xfId="6853" xr:uid="{00000000-0005-0000-0000-000092660000}"/>
    <cellStyle name="40% - Accent3 10 5 2" xfId="18154" xr:uid="{00000000-0005-0000-0000-000093660000}"/>
    <cellStyle name="40% - Accent3 10 5 2 2" xfId="40756" xr:uid="{00000000-0005-0000-0000-000094660000}"/>
    <cellStyle name="40% - Accent3 10 5 3" xfId="29455" xr:uid="{00000000-0005-0000-0000-000095660000}"/>
    <cellStyle name="40% - Accent3 10 6" xfId="12504" xr:uid="{00000000-0005-0000-0000-000096660000}"/>
    <cellStyle name="40% - Accent3 10 6 2" xfId="35106" xr:uid="{00000000-0005-0000-0000-000097660000}"/>
    <cellStyle name="40% - Accent3 10 7" xfId="23805" xr:uid="{00000000-0005-0000-0000-000098660000}"/>
    <cellStyle name="40% - Accent3 11" xfId="728" xr:uid="{00000000-0005-0000-0000-000099660000}"/>
    <cellStyle name="40% - Accent3 11 2" xfId="1898" xr:uid="{00000000-0005-0000-0000-00009A660000}"/>
    <cellStyle name="40% - Accent3 11 2 2" xfId="3748" xr:uid="{00000000-0005-0000-0000-00009B660000}"/>
    <cellStyle name="40% - Accent3 11 2 2 2" xfId="9458" xr:uid="{00000000-0005-0000-0000-00009C660000}"/>
    <cellStyle name="40% - Accent3 11 2 2 2 2" xfId="20759" xr:uid="{00000000-0005-0000-0000-00009D660000}"/>
    <cellStyle name="40% - Accent3 11 2 2 2 2 2" xfId="43361" xr:uid="{00000000-0005-0000-0000-00009E660000}"/>
    <cellStyle name="40% - Accent3 11 2 2 2 3" xfId="32060" xr:uid="{00000000-0005-0000-0000-00009F660000}"/>
    <cellStyle name="40% - Accent3 11 2 2 3" xfId="15109" xr:uid="{00000000-0005-0000-0000-0000A0660000}"/>
    <cellStyle name="40% - Accent3 11 2 2 3 2" xfId="37711" xr:uid="{00000000-0005-0000-0000-0000A1660000}"/>
    <cellStyle name="40% - Accent3 11 2 2 4" xfId="26410" xr:uid="{00000000-0005-0000-0000-0000A2660000}"/>
    <cellStyle name="40% - Accent3 11 2 3" xfId="7754" xr:uid="{00000000-0005-0000-0000-0000A3660000}"/>
    <cellStyle name="40% - Accent3 11 2 3 2" xfId="19055" xr:uid="{00000000-0005-0000-0000-0000A4660000}"/>
    <cellStyle name="40% - Accent3 11 2 3 2 2" xfId="41657" xr:uid="{00000000-0005-0000-0000-0000A5660000}"/>
    <cellStyle name="40% - Accent3 11 2 3 3" xfId="30356" xr:uid="{00000000-0005-0000-0000-0000A6660000}"/>
    <cellStyle name="40% - Accent3 11 2 4" xfId="13405" xr:uid="{00000000-0005-0000-0000-0000A7660000}"/>
    <cellStyle name="40% - Accent3 11 2 4 2" xfId="36007" xr:uid="{00000000-0005-0000-0000-0000A8660000}"/>
    <cellStyle name="40% - Accent3 11 2 5" xfId="24706" xr:uid="{00000000-0005-0000-0000-0000A9660000}"/>
    <cellStyle name="40% - Accent3 11 3" xfId="2179" xr:uid="{00000000-0005-0000-0000-0000AA660000}"/>
    <cellStyle name="40% - Accent3 11 3 2" xfId="8023" xr:uid="{00000000-0005-0000-0000-0000AB660000}"/>
    <cellStyle name="40% - Accent3 11 3 2 2" xfId="19324" xr:uid="{00000000-0005-0000-0000-0000AC660000}"/>
    <cellStyle name="40% - Accent3 11 3 2 2 2" xfId="41926" xr:uid="{00000000-0005-0000-0000-0000AD660000}"/>
    <cellStyle name="40% - Accent3 11 3 2 3" xfId="30625" xr:uid="{00000000-0005-0000-0000-0000AE660000}"/>
    <cellStyle name="40% - Accent3 11 3 3" xfId="13674" xr:uid="{00000000-0005-0000-0000-0000AF660000}"/>
    <cellStyle name="40% - Accent3 11 3 3 2" xfId="36276" xr:uid="{00000000-0005-0000-0000-0000B0660000}"/>
    <cellStyle name="40% - Accent3 11 3 4" xfId="24975" xr:uid="{00000000-0005-0000-0000-0000B1660000}"/>
    <cellStyle name="40% - Accent3 11 4" xfId="3975" xr:uid="{00000000-0005-0000-0000-0000B2660000}"/>
    <cellStyle name="40% - Accent3 11 4 2" xfId="9625" xr:uid="{00000000-0005-0000-0000-0000B3660000}"/>
    <cellStyle name="40% - Accent3 11 4 2 2" xfId="20926" xr:uid="{00000000-0005-0000-0000-0000B4660000}"/>
    <cellStyle name="40% - Accent3 11 4 2 2 2" xfId="43528" xr:uid="{00000000-0005-0000-0000-0000B5660000}"/>
    <cellStyle name="40% - Accent3 11 4 2 3" xfId="32227" xr:uid="{00000000-0005-0000-0000-0000B6660000}"/>
    <cellStyle name="40% - Accent3 11 4 3" xfId="15276" xr:uid="{00000000-0005-0000-0000-0000B7660000}"/>
    <cellStyle name="40% - Accent3 11 4 3 2" xfId="37878" xr:uid="{00000000-0005-0000-0000-0000B8660000}"/>
    <cellStyle name="40% - Accent3 11 4 4" xfId="26577" xr:uid="{00000000-0005-0000-0000-0000B9660000}"/>
    <cellStyle name="40% - Accent3 11 5" xfId="6775" xr:uid="{00000000-0005-0000-0000-0000BA660000}"/>
    <cellStyle name="40% - Accent3 11 5 2" xfId="18076" xr:uid="{00000000-0005-0000-0000-0000BB660000}"/>
    <cellStyle name="40% - Accent3 11 5 2 2" xfId="40678" xr:uid="{00000000-0005-0000-0000-0000BC660000}"/>
    <cellStyle name="40% - Accent3 11 5 3" xfId="29377" xr:uid="{00000000-0005-0000-0000-0000BD660000}"/>
    <cellStyle name="40% - Accent3 11 6" xfId="12426" xr:uid="{00000000-0005-0000-0000-0000BE660000}"/>
    <cellStyle name="40% - Accent3 11 6 2" xfId="35028" xr:uid="{00000000-0005-0000-0000-0000BF660000}"/>
    <cellStyle name="40% - Accent3 11 7" xfId="23727" xr:uid="{00000000-0005-0000-0000-0000C0660000}"/>
    <cellStyle name="40% - Accent3 12" xfId="1519" xr:uid="{00000000-0005-0000-0000-0000C1660000}"/>
    <cellStyle name="40% - Accent3 12 2" xfId="3946" xr:uid="{00000000-0005-0000-0000-0000C2660000}"/>
    <cellStyle name="40% - Accent3 12 2 2" xfId="9615" xr:uid="{00000000-0005-0000-0000-0000C3660000}"/>
    <cellStyle name="40% - Accent3 12 2 2 2" xfId="20916" xr:uid="{00000000-0005-0000-0000-0000C4660000}"/>
    <cellStyle name="40% - Accent3 12 2 2 2 2" xfId="43518" xr:uid="{00000000-0005-0000-0000-0000C5660000}"/>
    <cellStyle name="40% - Accent3 12 2 2 3" xfId="32217" xr:uid="{00000000-0005-0000-0000-0000C6660000}"/>
    <cellStyle name="40% - Accent3 12 2 3" xfId="15266" xr:uid="{00000000-0005-0000-0000-0000C7660000}"/>
    <cellStyle name="40% - Accent3 12 2 3 2" xfId="37868" xr:uid="{00000000-0005-0000-0000-0000C8660000}"/>
    <cellStyle name="40% - Accent3 12 2 4" xfId="26567" xr:uid="{00000000-0005-0000-0000-0000C9660000}"/>
    <cellStyle name="40% - Accent3 13" xfId="2253" xr:uid="{00000000-0005-0000-0000-0000CA660000}"/>
    <cellStyle name="40% - Accent3 14" xfId="111" xr:uid="{00000000-0005-0000-0000-0000CB660000}"/>
    <cellStyle name="40% - Accent3 2" xfId="51" xr:uid="{00000000-0005-0000-0000-0000CC660000}"/>
    <cellStyle name="40% - Accent3 2 2" xfId="370" xr:uid="{00000000-0005-0000-0000-0000CD660000}"/>
    <cellStyle name="40% - Accent3 2 2 10" xfId="23477" xr:uid="{00000000-0005-0000-0000-0000CE660000}"/>
    <cellStyle name="40% - Accent3 2 2 2" xfId="627" xr:uid="{00000000-0005-0000-0000-0000CF660000}"/>
    <cellStyle name="40% - Accent3 2 2 2 2" xfId="1337" xr:uid="{00000000-0005-0000-0000-0000D0660000}"/>
    <cellStyle name="40% - Accent3 2 2 2 2 2" xfId="1901" xr:uid="{00000000-0005-0000-0000-0000D1660000}"/>
    <cellStyle name="40% - Accent3 2 2 2 2 2 2" xfId="3406" xr:uid="{00000000-0005-0000-0000-0000D2660000}"/>
    <cellStyle name="40% - Accent3 2 2 2 2 2 2 2" xfId="6378" xr:uid="{00000000-0005-0000-0000-0000D3660000}"/>
    <cellStyle name="40% - Accent3 2 2 2 2 2 2 2 2" xfId="12028" xr:uid="{00000000-0005-0000-0000-0000D4660000}"/>
    <cellStyle name="40% - Accent3 2 2 2 2 2 2 2 2 2" xfId="23329" xr:uid="{00000000-0005-0000-0000-0000D5660000}"/>
    <cellStyle name="40% - Accent3 2 2 2 2 2 2 2 2 2 2" xfId="45931" xr:uid="{00000000-0005-0000-0000-0000D6660000}"/>
    <cellStyle name="40% - Accent3 2 2 2 2 2 2 2 2 3" xfId="34630" xr:uid="{00000000-0005-0000-0000-0000D7660000}"/>
    <cellStyle name="40% - Accent3 2 2 2 2 2 2 2 3" xfId="17679" xr:uid="{00000000-0005-0000-0000-0000D8660000}"/>
    <cellStyle name="40% - Accent3 2 2 2 2 2 2 2 3 2" xfId="40281" xr:uid="{00000000-0005-0000-0000-0000D9660000}"/>
    <cellStyle name="40% - Accent3 2 2 2 2 2 2 2 4" xfId="28980" xr:uid="{00000000-0005-0000-0000-0000DA660000}"/>
    <cellStyle name="40% - Accent3 2 2 2 2 2 2 3" xfId="9196" xr:uid="{00000000-0005-0000-0000-0000DB660000}"/>
    <cellStyle name="40% - Accent3 2 2 2 2 2 2 3 2" xfId="20497" xr:uid="{00000000-0005-0000-0000-0000DC660000}"/>
    <cellStyle name="40% - Accent3 2 2 2 2 2 2 3 2 2" xfId="43099" xr:uid="{00000000-0005-0000-0000-0000DD660000}"/>
    <cellStyle name="40% - Accent3 2 2 2 2 2 2 3 3" xfId="31798" xr:uid="{00000000-0005-0000-0000-0000DE660000}"/>
    <cellStyle name="40% - Accent3 2 2 2 2 2 2 4" xfId="14847" xr:uid="{00000000-0005-0000-0000-0000DF660000}"/>
    <cellStyle name="40% - Accent3 2 2 2 2 2 2 4 2" xfId="37449" xr:uid="{00000000-0005-0000-0000-0000E0660000}"/>
    <cellStyle name="40% - Accent3 2 2 2 2 2 2 5" xfId="26148" xr:uid="{00000000-0005-0000-0000-0000E1660000}"/>
    <cellStyle name="40% - Accent3 2 2 2 2 2 3" xfId="5144" xr:uid="{00000000-0005-0000-0000-0000E2660000}"/>
    <cellStyle name="40% - Accent3 2 2 2 2 2 3 2" xfId="10794" xr:uid="{00000000-0005-0000-0000-0000E3660000}"/>
    <cellStyle name="40% - Accent3 2 2 2 2 2 3 2 2" xfId="22095" xr:uid="{00000000-0005-0000-0000-0000E4660000}"/>
    <cellStyle name="40% - Accent3 2 2 2 2 2 3 2 2 2" xfId="44697" xr:uid="{00000000-0005-0000-0000-0000E5660000}"/>
    <cellStyle name="40% - Accent3 2 2 2 2 2 3 2 3" xfId="33396" xr:uid="{00000000-0005-0000-0000-0000E6660000}"/>
    <cellStyle name="40% - Accent3 2 2 2 2 2 3 3" xfId="16445" xr:uid="{00000000-0005-0000-0000-0000E7660000}"/>
    <cellStyle name="40% - Accent3 2 2 2 2 2 3 3 2" xfId="39047" xr:uid="{00000000-0005-0000-0000-0000E8660000}"/>
    <cellStyle name="40% - Accent3 2 2 2 2 2 3 4" xfId="27746" xr:uid="{00000000-0005-0000-0000-0000E9660000}"/>
    <cellStyle name="40% - Accent3 2 2 2 2 2 4" xfId="7757" xr:uid="{00000000-0005-0000-0000-0000EA660000}"/>
    <cellStyle name="40% - Accent3 2 2 2 2 2 4 2" xfId="19058" xr:uid="{00000000-0005-0000-0000-0000EB660000}"/>
    <cellStyle name="40% - Accent3 2 2 2 2 2 4 2 2" xfId="41660" xr:uid="{00000000-0005-0000-0000-0000EC660000}"/>
    <cellStyle name="40% - Accent3 2 2 2 2 2 4 3" xfId="30359" xr:uid="{00000000-0005-0000-0000-0000ED660000}"/>
    <cellStyle name="40% - Accent3 2 2 2 2 2 5" xfId="13408" xr:uid="{00000000-0005-0000-0000-0000EE660000}"/>
    <cellStyle name="40% - Accent3 2 2 2 2 2 5 2" xfId="36010" xr:uid="{00000000-0005-0000-0000-0000EF660000}"/>
    <cellStyle name="40% - Accent3 2 2 2 2 2 6" xfId="24709" xr:uid="{00000000-0005-0000-0000-0000F0660000}"/>
    <cellStyle name="40% - Accent3 2 2 2 2 3" xfId="2735" xr:uid="{00000000-0005-0000-0000-0000F1660000}"/>
    <cellStyle name="40% - Accent3 2 2 2 2 3 2" xfId="5754" xr:uid="{00000000-0005-0000-0000-0000F2660000}"/>
    <cellStyle name="40% - Accent3 2 2 2 2 3 2 2" xfId="11404" xr:uid="{00000000-0005-0000-0000-0000F3660000}"/>
    <cellStyle name="40% - Accent3 2 2 2 2 3 2 2 2" xfId="22705" xr:uid="{00000000-0005-0000-0000-0000F4660000}"/>
    <cellStyle name="40% - Accent3 2 2 2 2 3 2 2 2 2" xfId="45307" xr:uid="{00000000-0005-0000-0000-0000F5660000}"/>
    <cellStyle name="40% - Accent3 2 2 2 2 3 2 2 3" xfId="34006" xr:uid="{00000000-0005-0000-0000-0000F6660000}"/>
    <cellStyle name="40% - Accent3 2 2 2 2 3 2 3" xfId="17055" xr:uid="{00000000-0005-0000-0000-0000F7660000}"/>
    <cellStyle name="40% - Accent3 2 2 2 2 3 2 3 2" xfId="39657" xr:uid="{00000000-0005-0000-0000-0000F8660000}"/>
    <cellStyle name="40% - Accent3 2 2 2 2 3 2 4" xfId="28356" xr:uid="{00000000-0005-0000-0000-0000F9660000}"/>
    <cellStyle name="40% - Accent3 2 2 2 2 3 3" xfId="8571" xr:uid="{00000000-0005-0000-0000-0000FA660000}"/>
    <cellStyle name="40% - Accent3 2 2 2 2 3 3 2" xfId="19872" xr:uid="{00000000-0005-0000-0000-0000FB660000}"/>
    <cellStyle name="40% - Accent3 2 2 2 2 3 3 2 2" xfId="42474" xr:uid="{00000000-0005-0000-0000-0000FC660000}"/>
    <cellStyle name="40% - Accent3 2 2 2 2 3 3 3" xfId="31173" xr:uid="{00000000-0005-0000-0000-0000FD660000}"/>
    <cellStyle name="40% - Accent3 2 2 2 2 3 4" xfId="14222" xr:uid="{00000000-0005-0000-0000-0000FE660000}"/>
    <cellStyle name="40% - Accent3 2 2 2 2 3 4 2" xfId="36824" xr:uid="{00000000-0005-0000-0000-0000FF660000}"/>
    <cellStyle name="40% - Accent3 2 2 2 2 3 5" xfId="25523" xr:uid="{00000000-0005-0000-0000-000000670000}"/>
    <cellStyle name="40% - Accent3 2 2 2 2 4" xfId="4520" xr:uid="{00000000-0005-0000-0000-000001670000}"/>
    <cellStyle name="40% - Accent3 2 2 2 2 4 2" xfId="10170" xr:uid="{00000000-0005-0000-0000-000002670000}"/>
    <cellStyle name="40% - Accent3 2 2 2 2 4 2 2" xfId="21471" xr:uid="{00000000-0005-0000-0000-000003670000}"/>
    <cellStyle name="40% - Accent3 2 2 2 2 4 2 2 2" xfId="44073" xr:uid="{00000000-0005-0000-0000-000004670000}"/>
    <cellStyle name="40% - Accent3 2 2 2 2 4 2 3" xfId="32772" xr:uid="{00000000-0005-0000-0000-000005670000}"/>
    <cellStyle name="40% - Accent3 2 2 2 2 4 3" xfId="15821" xr:uid="{00000000-0005-0000-0000-000006670000}"/>
    <cellStyle name="40% - Accent3 2 2 2 2 4 3 2" xfId="38423" xr:uid="{00000000-0005-0000-0000-000007670000}"/>
    <cellStyle name="40% - Accent3 2 2 2 2 4 4" xfId="27122" xr:uid="{00000000-0005-0000-0000-000008670000}"/>
    <cellStyle name="40% - Accent3 2 2 2 2 5" xfId="7316" xr:uid="{00000000-0005-0000-0000-000009670000}"/>
    <cellStyle name="40% - Accent3 2 2 2 2 5 2" xfId="18617" xr:uid="{00000000-0005-0000-0000-00000A670000}"/>
    <cellStyle name="40% - Accent3 2 2 2 2 5 2 2" xfId="41219" xr:uid="{00000000-0005-0000-0000-00000B670000}"/>
    <cellStyle name="40% - Accent3 2 2 2 2 5 3" xfId="29918" xr:uid="{00000000-0005-0000-0000-00000C670000}"/>
    <cellStyle name="40% - Accent3 2 2 2 2 6" xfId="12967" xr:uid="{00000000-0005-0000-0000-00000D670000}"/>
    <cellStyle name="40% - Accent3 2 2 2 2 6 2" xfId="35569" xr:uid="{00000000-0005-0000-0000-00000E670000}"/>
    <cellStyle name="40% - Accent3 2 2 2 2 7" xfId="24268" xr:uid="{00000000-0005-0000-0000-00000F670000}"/>
    <cellStyle name="40% - Accent3 2 2 2 3" xfId="1035" xr:uid="{00000000-0005-0000-0000-000010670000}"/>
    <cellStyle name="40% - Accent3 2 2 2 3 2" xfId="3098" xr:uid="{00000000-0005-0000-0000-000011670000}"/>
    <cellStyle name="40% - Accent3 2 2 2 3 2 2" xfId="6070" xr:uid="{00000000-0005-0000-0000-000012670000}"/>
    <cellStyle name="40% - Accent3 2 2 2 3 2 2 2" xfId="11720" xr:uid="{00000000-0005-0000-0000-000013670000}"/>
    <cellStyle name="40% - Accent3 2 2 2 3 2 2 2 2" xfId="23021" xr:uid="{00000000-0005-0000-0000-000014670000}"/>
    <cellStyle name="40% - Accent3 2 2 2 3 2 2 2 2 2" xfId="45623" xr:uid="{00000000-0005-0000-0000-000015670000}"/>
    <cellStyle name="40% - Accent3 2 2 2 3 2 2 2 3" xfId="34322" xr:uid="{00000000-0005-0000-0000-000016670000}"/>
    <cellStyle name="40% - Accent3 2 2 2 3 2 2 3" xfId="17371" xr:uid="{00000000-0005-0000-0000-000017670000}"/>
    <cellStyle name="40% - Accent3 2 2 2 3 2 2 3 2" xfId="39973" xr:uid="{00000000-0005-0000-0000-000018670000}"/>
    <cellStyle name="40% - Accent3 2 2 2 3 2 2 4" xfId="28672" xr:uid="{00000000-0005-0000-0000-000019670000}"/>
    <cellStyle name="40% - Accent3 2 2 2 3 2 3" xfId="8888" xr:uid="{00000000-0005-0000-0000-00001A670000}"/>
    <cellStyle name="40% - Accent3 2 2 2 3 2 3 2" xfId="20189" xr:uid="{00000000-0005-0000-0000-00001B670000}"/>
    <cellStyle name="40% - Accent3 2 2 2 3 2 3 2 2" xfId="42791" xr:uid="{00000000-0005-0000-0000-00001C670000}"/>
    <cellStyle name="40% - Accent3 2 2 2 3 2 3 3" xfId="31490" xr:uid="{00000000-0005-0000-0000-00001D670000}"/>
    <cellStyle name="40% - Accent3 2 2 2 3 2 4" xfId="14539" xr:uid="{00000000-0005-0000-0000-00001E670000}"/>
    <cellStyle name="40% - Accent3 2 2 2 3 2 4 2" xfId="37141" xr:uid="{00000000-0005-0000-0000-00001F670000}"/>
    <cellStyle name="40% - Accent3 2 2 2 3 2 5" xfId="25840" xr:uid="{00000000-0005-0000-0000-000020670000}"/>
    <cellStyle name="40% - Accent3 2 2 2 3 3" xfId="4836" xr:uid="{00000000-0005-0000-0000-000021670000}"/>
    <cellStyle name="40% - Accent3 2 2 2 3 3 2" xfId="10486" xr:uid="{00000000-0005-0000-0000-000022670000}"/>
    <cellStyle name="40% - Accent3 2 2 2 3 3 2 2" xfId="21787" xr:uid="{00000000-0005-0000-0000-000023670000}"/>
    <cellStyle name="40% - Accent3 2 2 2 3 3 2 2 2" xfId="44389" xr:uid="{00000000-0005-0000-0000-000024670000}"/>
    <cellStyle name="40% - Accent3 2 2 2 3 3 2 3" xfId="33088" xr:uid="{00000000-0005-0000-0000-000025670000}"/>
    <cellStyle name="40% - Accent3 2 2 2 3 3 3" xfId="16137" xr:uid="{00000000-0005-0000-0000-000026670000}"/>
    <cellStyle name="40% - Accent3 2 2 2 3 3 3 2" xfId="38739" xr:uid="{00000000-0005-0000-0000-000027670000}"/>
    <cellStyle name="40% - Accent3 2 2 2 3 3 4" xfId="27438" xr:uid="{00000000-0005-0000-0000-000028670000}"/>
    <cellStyle name="40% - Accent3 2 2 2 3 4" xfId="7023" xr:uid="{00000000-0005-0000-0000-000029670000}"/>
    <cellStyle name="40% - Accent3 2 2 2 3 4 2" xfId="18324" xr:uid="{00000000-0005-0000-0000-00002A670000}"/>
    <cellStyle name="40% - Accent3 2 2 2 3 4 2 2" xfId="40926" xr:uid="{00000000-0005-0000-0000-00002B670000}"/>
    <cellStyle name="40% - Accent3 2 2 2 3 4 3" xfId="29625" xr:uid="{00000000-0005-0000-0000-00002C670000}"/>
    <cellStyle name="40% - Accent3 2 2 2 3 5" xfId="12674" xr:uid="{00000000-0005-0000-0000-00002D670000}"/>
    <cellStyle name="40% - Accent3 2 2 2 3 5 2" xfId="35276" xr:uid="{00000000-0005-0000-0000-00002E670000}"/>
    <cellStyle name="40% - Accent3 2 2 2 3 6" xfId="23975" xr:uid="{00000000-0005-0000-0000-00002F670000}"/>
    <cellStyle name="40% - Accent3 2 2 2 4" xfId="1900" xr:uid="{00000000-0005-0000-0000-000030670000}"/>
    <cellStyle name="40% - Accent3 2 2 2 4 2" xfId="3750" xr:uid="{00000000-0005-0000-0000-000031670000}"/>
    <cellStyle name="40% - Accent3 2 2 2 4 2 2" xfId="9460" xr:uid="{00000000-0005-0000-0000-000032670000}"/>
    <cellStyle name="40% - Accent3 2 2 2 4 2 2 2" xfId="20761" xr:uid="{00000000-0005-0000-0000-000033670000}"/>
    <cellStyle name="40% - Accent3 2 2 2 4 2 2 2 2" xfId="43363" xr:uid="{00000000-0005-0000-0000-000034670000}"/>
    <cellStyle name="40% - Accent3 2 2 2 4 2 2 3" xfId="32062" xr:uid="{00000000-0005-0000-0000-000035670000}"/>
    <cellStyle name="40% - Accent3 2 2 2 4 2 3" xfId="15111" xr:uid="{00000000-0005-0000-0000-000036670000}"/>
    <cellStyle name="40% - Accent3 2 2 2 4 2 3 2" xfId="37713" xr:uid="{00000000-0005-0000-0000-000037670000}"/>
    <cellStyle name="40% - Accent3 2 2 2 4 2 4" xfId="26412" xr:uid="{00000000-0005-0000-0000-000038670000}"/>
    <cellStyle name="40% - Accent3 2 2 2 4 3" xfId="5446" xr:uid="{00000000-0005-0000-0000-000039670000}"/>
    <cellStyle name="40% - Accent3 2 2 2 4 3 2" xfId="11096" xr:uid="{00000000-0005-0000-0000-00003A670000}"/>
    <cellStyle name="40% - Accent3 2 2 2 4 3 2 2" xfId="22397" xr:uid="{00000000-0005-0000-0000-00003B670000}"/>
    <cellStyle name="40% - Accent3 2 2 2 4 3 2 2 2" xfId="44999" xr:uid="{00000000-0005-0000-0000-00003C670000}"/>
    <cellStyle name="40% - Accent3 2 2 2 4 3 2 3" xfId="33698" xr:uid="{00000000-0005-0000-0000-00003D670000}"/>
    <cellStyle name="40% - Accent3 2 2 2 4 3 3" xfId="16747" xr:uid="{00000000-0005-0000-0000-00003E670000}"/>
    <cellStyle name="40% - Accent3 2 2 2 4 3 3 2" xfId="39349" xr:uid="{00000000-0005-0000-0000-00003F670000}"/>
    <cellStyle name="40% - Accent3 2 2 2 4 3 4" xfId="28048" xr:uid="{00000000-0005-0000-0000-000040670000}"/>
    <cellStyle name="40% - Accent3 2 2 2 4 4" xfId="7756" xr:uid="{00000000-0005-0000-0000-000041670000}"/>
    <cellStyle name="40% - Accent3 2 2 2 4 4 2" xfId="19057" xr:uid="{00000000-0005-0000-0000-000042670000}"/>
    <cellStyle name="40% - Accent3 2 2 2 4 4 2 2" xfId="41659" xr:uid="{00000000-0005-0000-0000-000043670000}"/>
    <cellStyle name="40% - Accent3 2 2 2 4 4 3" xfId="30358" xr:uid="{00000000-0005-0000-0000-000044670000}"/>
    <cellStyle name="40% - Accent3 2 2 2 4 5" xfId="13407" xr:uid="{00000000-0005-0000-0000-000045670000}"/>
    <cellStyle name="40% - Accent3 2 2 2 4 5 2" xfId="36009" xr:uid="{00000000-0005-0000-0000-000046670000}"/>
    <cellStyle name="40% - Accent3 2 2 2 4 6" xfId="24708" xr:uid="{00000000-0005-0000-0000-000047670000}"/>
    <cellStyle name="40% - Accent3 2 2 2 5" xfId="2427" xr:uid="{00000000-0005-0000-0000-000048670000}"/>
    <cellStyle name="40% - Accent3 2 2 2 5 2" xfId="8263" xr:uid="{00000000-0005-0000-0000-000049670000}"/>
    <cellStyle name="40% - Accent3 2 2 2 5 2 2" xfId="19564" xr:uid="{00000000-0005-0000-0000-00004A670000}"/>
    <cellStyle name="40% - Accent3 2 2 2 5 2 2 2" xfId="42166" xr:uid="{00000000-0005-0000-0000-00004B670000}"/>
    <cellStyle name="40% - Accent3 2 2 2 5 2 3" xfId="30865" xr:uid="{00000000-0005-0000-0000-00004C670000}"/>
    <cellStyle name="40% - Accent3 2 2 2 5 3" xfId="13914" xr:uid="{00000000-0005-0000-0000-00004D670000}"/>
    <cellStyle name="40% - Accent3 2 2 2 5 3 2" xfId="36516" xr:uid="{00000000-0005-0000-0000-00004E670000}"/>
    <cellStyle name="40% - Accent3 2 2 2 5 4" xfId="25215" xr:uid="{00000000-0005-0000-0000-00004F670000}"/>
    <cellStyle name="40% - Accent3 2 2 2 6" xfId="4212" xr:uid="{00000000-0005-0000-0000-000050670000}"/>
    <cellStyle name="40% - Accent3 2 2 2 6 2" xfId="9862" xr:uid="{00000000-0005-0000-0000-000051670000}"/>
    <cellStyle name="40% - Accent3 2 2 2 6 2 2" xfId="21163" xr:uid="{00000000-0005-0000-0000-000052670000}"/>
    <cellStyle name="40% - Accent3 2 2 2 6 2 2 2" xfId="43765" xr:uid="{00000000-0005-0000-0000-000053670000}"/>
    <cellStyle name="40% - Accent3 2 2 2 6 2 3" xfId="32464" xr:uid="{00000000-0005-0000-0000-000054670000}"/>
    <cellStyle name="40% - Accent3 2 2 2 6 3" xfId="15513" xr:uid="{00000000-0005-0000-0000-000055670000}"/>
    <cellStyle name="40% - Accent3 2 2 2 6 3 2" xfId="38115" xr:uid="{00000000-0005-0000-0000-000056670000}"/>
    <cellStyle name="40% - Accent3 2 2 2 6 4" xfId="26814" xr:uid="{00000000-0005-0000-0000-000057670000}"/>
    <cellStyle name="40% - Accent3 2 2 2 7" xfId="6692" xr:uid="{00000000-0005-0000-0000-000058670000}"/>
    <cellStyle name="40% - Accent3 2 2 2 7 2" xfId="17993" xr:uid="{00000000-0005-0000-0000-000059670000}"/>
    <cellStyle name="40% - Accent3 2 2 2 7 2 2" xfId="40595" xr:uid="{00000000-0005-0000-0000-00005A670000}"/>
    <cellStyle name="40% - Accent3 2 2 2 7 3" xfId="29294" xr:uid="{00000000-0005-0000-0000-00005B670000}"/>
    <cellStyle name="40% - Accent3 2 2 2 8" xfId="12343" xr:uid="{00000000-0005-0000-0000-00005C670000}"/>
    <cellStyle name="40% - Accent3 2 2 2 8 2" xfId="34945" xr:uid="{00000000-0005-0000-0000-00005D670000}"/>
    <cellStyle name="40% - Accent3 2 2 2 9" xfId="23644" xr:uid="{00000000-0005-0000-0000-00005E670000}"/>
    <cellStyle name="40% - Accent3 2 2 3" xfId="1199" xr:uid="{00000000-0005-0000-0000-00005F670000}"/>
    <cellStyle name="40% - Accent3 2 2 3 2" xfId="1902" xr:uid="{00000000-0005-0000-0000-000060670000}"/>
    <cellStyle name="40% - Accent3 2 2 3 2 2" xfId="3267" xr:uid="{00000000-0005-0000-0000-000061670000}"/>
    <cellStyle name="40% - Accent3 2 2 3 2 2 2" xfId="6239" xr:uid="{00000000-0005-0000-0000-000062670000}"/>
    <cellStyle name="40% - Accent3 2 2 3 2 2 2 2" xfId="11889" xr:uid="{00000000-0005-0000-0000-000063670000}"/>
    <cellStyle name="40% - Accent3 2 2 3 2 2 2 2 2" xfId="23190" xr:uid="{00000000-0005-0000-0000-000064670000}"/>
    <cellStyle name="40% - Accent3 2 2 3 2 2 2 2 2 2" xfId="45792" xr:uid="{00000000-0005-0000-0000-000065670000}"/>
    <cellStyle name="40% - Accent3 2 2 3 2 2 2 2 3" xfId="34491" xr:uid="{00000000-0005-0000-0000-000066670000}"/>
    <cellStyle name="40% - Accent3 2 2 3 2 2 2 3" xfId="17540" xr:uid="{00000000-0005-0000-0000-000067670000}"/>
    <cellStyle name="40% - Accent3 2 2 3 2 2 2 3 2" xfId="40142" xr:uid="{00000000-0005-0000-0000-000068670000}"/>
    <cellStyle name="40% - Accent3 2 2 3 2 2 2 4" xfId="28841" xr:uid="{00000000-0005-0000-0000-000069670000}"/>
    <cellStyle name="40% - Accent3 2 2 3 2 2 3" xfId="9057" xr:uid="{00000000-0005-0000-0000-00006A670000}"/>
    <cellStyle name="40% - Accent3 2 2 3 2 2 3 2" xfId="20358" xr:uid="{00000000-0005-0000-0000-00006B670000}"/>
    <cellStyle name="40% - Accent3 2 2 3 2 2 3 2 2" xfId="42960" xr:uid="{00000000-0005-0000-0000-00006C670000}"/>
    <cellStyle name="40% - Accent3 2 2 3 2 2 3 3" xfId="31659" xr:uid="{00000000-0005-0000-0000-00006D670000}"/>
    <cellStyle name="40% - Accent3 2 2 3 2 2 4" xfId="14708" xr:uid="{00000000-0005-0000-0000-00006E670000}"/>
    <cellStyle name="40% - Accent3 2 2 3 2 2 4 2" xfId="37310" xr:uid="{00000000-0005-0000-0000-00006F670000}"/>
    <cellStyle name="40% - Accent3 2 2 3 2 2 5" xfId="26009" xr:uid="{00000000-0005-0000-0000-000070670000}"/>
    <cellStyle name="40% - Accent3 2 2 3 2 3" xfId="5005" xr:uid="{00000000-0005-0000-0000-000071670000}"/>
    <cellStyle name="40% - Accent3 2 2 3 2 3 2" xfId="10655" xr:uid="{00000000-0005-0000-0000-000072670000}"/>
    <cellStyle name="40% - Accent3 2 2 3 2 3 2 2" xfId="21956" xr:uid="{00000000-0005-0000-0000-000073670000}"/>
    <cellStyle name="40% - Accent3 2 2 3 2 3 2 2 2" xfId="44558" xr:uid="{00000000-0005-0000-0000-000074670000}"/>
    <cellStyle name="40% - Accent3 2 2 3 2 3 2 3" xfId="33257" xr:uid="{00000000-0005-0000-0000-000075670000}"/>
    <cellStyle name="40% - Accent3 2 2 3 2 3 3" xfId="16306" xr:uid="{00000000-0005-0000-0000-000076670000}"/>
    <cellStyle name="40% - Accent3 2 2 3 2 3 3 2" xfId="38908" xr:uid="{00000000-0005-0000-0000-000077670000}"/>
    <cellStyle name="40% - Accent3 2 2 3 2 3 4" xfId="27607" xr:uid="{00000000-0005-0000-0000-000078670000}"/>
    <cellStyle name="40% - Accent3 2 2 3 2 4" xfId="7758" xr:uid="{00000000-0005-0000-0000-000079670000}"/>
    <cellStyle name="40% - Accent3 2 2 3 2 4 2" xfId="19059" xr:uid="{00000000-0005-0000-0000-00007A670000}"/>
    <cellStyle name="40% - Accent3 2 2 3 2 4 2 2" xfId="41661" xr:uid="{00000000-0005-0000-0000-00007B670000}"/>
    <cellStyle name="40% - Accent3 2 2 3 2 4 3" xfId="30360" xr:uid="{00000000-0005-0000-0000-00007C670000}"/>
    <cellStyle name="40% - Accent3 2 2 3 2 5" xfId="13409" xr:uid="{00000000-0005-0000-0000-00007D670000}"/>
    <cellStyle name="40% - Accent3 2 2 3 2 5 2" xfId="36011" xr:uid="{00000000-0005-0000-0000-00007E670000}"/>
    <cellStyle name="40% - Accent3 2 2 3 2 6" xfId="24710" xr:uid="{00000000-0005-0000-0000-00007F670000}"/>
    <cellStyle name="40% - Accent3 2 2 3 3" xfId="2596" xr:uid="{00000000-0005-0000-0000-000080670000}"/>
    <cellStyle name="40% - Accent3 2 2 3 3 2" xfId="5615" xr:uid="{00000000-0005-0000-0000-000081670000}"/>
    <cellStyle name="40% - Accent3 2 2 3 3 2 2" xfId="11265" xr:uid="{00000000-0005-0000-0000-000082670000}"/>
    <cellStyle name="40% - Accent3 2 2 3 3 2 2 2" xfId="22566" xr:uid="{00000000-0005-0000-0000-000083670000}"/>
    <cellStyle name="40% - Accent3 2 2 3 3 2 2 2 2" xfId="45168" xr:uid="{00000000-0005-0000-0000-000084670000}"/>
    <cellStyle name="40% - Accent3 2 2 3 3 2 2 3" xfId="33867" xr:uid="{00000000-0005-0000-0000-000085670000}"/>
    <cellStyle name="40% - Accent3 2 2 3 3 2 3" xfId="16916" xr:uid="{00000000-0005-0000-0000-000086670000}"/>
    <cellStyle name="40% - Accent3 2 2 3 3 2 3 2" xfId="39518" xr:uid="{00000000-0005-0000-0000-000087670000}"/>
    <cellStyle name="40% - Accent3 2 2 3 3 2 4" xfId="28217" xr:uid="{00000000-0005-0000-0000-000088670000}"/>
    <cellStyle name="40% - Accent3 2 2 3 3 3" xfId="8432" xr:uid="{00000000-0005-0000-0000-000089670000}"/>
    <cellStyle name="40% - Accent3 2 2 3 3 3 2" xfId="19733" xr:uid="{00000000-0005-0000-0000-00008A670000}"/>
    <cellStyle name="40% - Accent3 2 2 3 3 3 2 2" xfId="42335" xr:uid="{00000000-0005-0000-0000-00008B670000}"/>
    <cellStyle name="40% - Accent3 2 2 3 3 3 3" xfId="31034" xr:uid="{00000000-0005-0000-0000-00008C670000}"/>
    <cellStyle name="40% - Accent3 2 2 3 3 4" xfId="14083" xr:uid="{00000000-0005-0000-0000-00008D670000}"/>
    <cellStyle name="40% - Accent3 2 2 3 3 4 2" xfId="36685" xr:uid="{00000000-0005-0000-0000-00008E670000}"/>
    <cellStyle name="40% - Accent3 2 2 3 3 5" xfId="25384" xr:uid="{00000000-0005-0000-0000-00008F670000}"/>
    <cellStyle name="40% - Accent3 2 2 3 4" xfId="4381" xr:uid="{00000000-0005-0000-0000-000090670000}"/>
    <cellStyle name="40% - Accent3 2 2 3 4 2" xfId="10031" xr:uid="{00000000-0005-0000-0000-000091670000}"/>
    <cellStyle name="40% - Accent3 2 2 3 4 2 2" xfId="21332" xr:uid="{00000000-0005-0000-0000-000092670000}"/>
    <cellStyle name="40% - Accent3 2 2 3 4 2 2 2" xfId="43934" xr:uid="{00000000-0005-0000-0000-000093670000}"/>
    <cellStyle name="40% - Accent3 2 2 3 4 2 3" xfId="32633" xr:uid="{00000000-0005-0000-0000-000094670000}"/>
    <cellStyle name="40% - Accent3 2 2 3 4 3" xfId="15682" xr:uid="{00000000-0005-0000-0000-000095670000}"/>
    <cellStyle name="40% - Accent3 2 2 3 4 3 2" xfId="38284" xr:uid="{00000000-0005-0000-0000-000096670000}"/>
    <cellStyle name="40% - Accent3 2 2 3 4 4" xfId="26983" xr:uid="{00000000-0005-0000-0000-000097670000}"/>
    <cellStyle name="40% - Accent3 2 2 3 5" xfId="7178" xr:uid="{00000000-0005-0000-0000-000098670000}"/>
    <cellStyle name="40% - Accent3 2 2 3 5 2" xfId="18479" xr:uid="{00000000-0005-0000-0000-000099670000}"/>
    <cellStyle name="40% - Accent3 2 2 3 5 2 2" xfId="41081" xr:uid="{00000000-0005-0000-0000-00009A670000}"/>
    <cellStyle name="40% - Accent3 2 2 3 5 3" xfId="29780" xr:uid="{00000000-0005-0000-0000-00009B670000}"/>
    <cellStyle name="40% - Accent3 2 2 3 6" xfId="12829" xr:uid="{00000000-0005-0000-0000-00009C670000}"/>
    <cellStyle name="40% - Accent3 2 2 3 6 2" xfId="35431" xr:uid="{00000000-0005-0000-0000-00009D670000}"/>
    <cellStyle name="40% - Accent3 2 2 3 7" xfId="24130" xr:uid="{00000000-0005-0000-0000-00009E670000}"/>
    <cellStyle name="40% - Accent3 2 2 4" xfId="889" xr:uid="{00000000-0005-0000-0000-00009F670000}"/>
    <cellStyle name="40% - Accent3 2 2 4 2" xfId="2960" xr:uid="{00000000-0005-0000-0000-0000A0670000}"/>
    <cellStyle name="40% - Accent3 2 2 4 2 2" xfId="5932" xr:uid="{00000000-0005-0000-0000-0000A1670000}"/>
    <cellStyle name="40% - Accent3 2 2 4 2 2 2" xfId="11582" xr:uid="{00000000-0005-0000-0000-0000A2670000}"/>
    <cellStyle name="40% - Accent3 2 2 4 2 2 2 2" xfId="22883" xr:uid="{00000000-0005-0000-0000-0000A3670000}"/>
    <cellStyle name="40% - Accent3 2 2 4 2 2 2 2 2" xfId="45485" xr:uid="{00000000-0005-0000-0000-0000A4670000}"/>
    <cellStyle name="40% - Accent3 2 2 4 2 2 2 3" xfId="34184" xr:uid="{00000000-0005-0000-0000-0000A5670000}"/>
    <cellStyle name="40% - Accent3 2 2 4 2 2 3" xfId="17233" xr:uid="{00000000-0005-0000-0000-0000A6670000}"/>
    <cellStyle name="40% - Accent3 2 2 4 2 2 3 2" xfId="39835" xr:uid="{00000000-0005-0000-0000-0000A7670000}"/>
    <cellStyle name="40% - Accent3 2 2 4 2 2 4" xfId="28534" xr:uid="{00000000-0005-0000-0000-0000A8670000}"/>
    <cellStyle name="40% - Accent3 2 2 4 2 3" xfId="8750" xr:uid="{00000000-0005-0000-0000-0000A9670000}"/>
    <cellStyle name="40% - Accent3 2 2 4 2 3 2" xfId="20051" xr:uid="{00000000-0005-0000-0000-0000AA670000}"/>
    <cellStyle name="40% - Accent3 2 2 4 2 3 2 2" xfId="42653" xr:uid="{00000000-0005-0000-0000-0000AB670000}"/>
    <cellStyle name="40% - Accent3 2 2 4 2 3 3" xfId="31352" xr:uid="{00000000-0005-0000-0000-0000AC670000}"/>
    <cellStyle name="40% - Accent3 2 2 4 2 4" xfId="14401" xr:uid="{00000000-0005-0000-0000-0000AD670000}"/>
    <cellStyle name="40% - Accent3 2 2 4 2 4 2" xfId="37003" xr:uid="{00000000-0005-0000-0000-0000AE670000}"/>
    <cellStyle name="40% - Accent3 2 2 4 2 5" xfId="25702" xr:uid="{00000000-0005-0000-0000-0000AF670000}"/>
    <cellStyle name="40% - Accent3 2 2 4 3" xfId="4698" xr:uid="{00000000-0005-0000-0000-0000B0670000}"/>
    <cellStyle name="40% - Accent3 2 2 4 3 2" xfId="10348" xr:uid="{00000000-0005-0000-0000-0000B1670000}"/>
    <cellStyle name="40% - Accent3 2 2 4 3 2 2" xfId="21649" xr:uid="{00000000-0005-0000-0000-0000B2670000}"/>
    <cellStyle name="40% - Accent3 2 2 4 3 2 2 2" xfId="44251" xr:uid="{00000000-0005-0000-0000-0000B3670000}"/>
    <cellStyle name="40% - Accent3 2 2 4 3 2 3" xfId="32950" xr:uid="{00000000-0005-0000-0000-0000B4670000}"/>
    <cellStyle name="40% - Accent3 2 2 4 3 3" xfId="15999" xr:uid="{00000000-0005-0000-0000-0000B5670000}"/>
    <cellStyle name="40% - Accent3 2 2 4 3 3 2" xfId="38601" xr:uid="{00000000-0005-0000-0000-0000B6670000}"/>
    <cellStyle name="40% - Accent3 2 2 4 3 4" xfId="27300" xr:uid="{00000000-0005-0000-0000-0000B7670000}"/>
    <cellStyle name="40% - Accent3 2 2 4 4" xfId="6885" xr:uid="{00000000-0005-0000-0000-0000B8670000}"/>
    <cellStyle name="40% - Accent3 2 2 4 4 2" xfId="18186" xr:uid="{00000000-0005-0000-0000-0000B9670000}"/>
    <cellStyle name="40% - Accent3 2 2 4 4 2 2" xfId="40788" xr:uid="{00000000-0005-0000-0000-0000BA670000}"/>
    <cellStyle name="40% - Accent3 2 2 4 4 3" xfId="29487" xr:uid="{00000000-0005-0000-0000-0000BB670000}"/>
    <cellStyle name="40% - Accent3 2 2 4 5" xfId="12536" xr:uid="{00000000-0005-0000-0000-0000BC670000}"/>
    <cellStyle name="40% - Accent3 2 2 4 5 2" xfId="35138" xr:uid="{00000000-0005-0000-0000-0000BD670000}"/>
    <cellStyle name="40% - Accent3 2 2 4 6" xfId="23837" xr:uid="{00000000-0005-0000-0000-0000BE670000}"/>
    <cellStyle name="40% - Accent3 2 2 5" xfId="1899" xr:uid="{00000000-0005-0000-0000-0000BF670000}"/>
    <cellStyle name="40% - Accent3 2 2 5 2" xfId="3749" xr:uid="{00000000-0005-0000-0000-0000C0670000}"/>
    <cellStyle name="40% - Accent3 2 2 5 2 2" xfId="9459" xr:uid="{00000000-0005-0000-0000-0000C1670000}"/>
    <cellStyle name="40% - Accent3 2 2 5 2 2 2" xfId="20760" xr:uid="{00000000-0005-0000-0000-0000C2670000}"/>
    <cellStyle name="40% - Accent3 2 2 5 2 2 2 2" xfId="43362" xr:uid="{00000000-0005-0000-0000-0000C3670000}"/>
    <cellStyle name="40% - Accent3 2 2 5 2 2 3" xfId="32061" xr:uid="{00000000-0005-0000-0000-0000C4670000}"/>
    <cellStyle name="40% - Accent3 2 2 5 2 3" xfId="15110" xr:uid="{00000000-0005-0000-0000-0000C5670000}"/>
    <cellStyle name="40% - Accent3 2 2 5 2 3 2" xfId="37712" xr:uid="{00000000-0005-0000-0000-0000C6670000}"/>
    <cellStyle name="40% - Accent3 2 2 5 2 4" xfId="26411" xr:uid="{00000000-0005-0000-0000-0000C7670000}"/>
    <cellStyle name="40% - Accent3 2 2 5 3" xfId="5308" xr:uid="{00000000-0005-0000-0000-0000C8670000}"/>
    <cellStyle name="40% - Accent3 2 2 5 3 2" xfId="10958" xr:uid="{00000000-0005-0000-0000-0000C9670000}"/>
    <cellStyle name="40% - Accent3 2 2 5 3 2 2" xfId="22259" xr:uid="{00000000-0005-0000-0000-0000CA670000}"/>
    <cellStyle name="40% - Accent3 2 2 5 3 2 2 2" xfId="44861" xr:uid="{00000000-0005-0000-0000-0000CB670000}"/>
    <cellStyle name="40% - Accent3 2 2 5 3 2 3" xfId="33560" xr:uid="{00000000-0005-0000-0000-0000CC670000}"/>
    <cellStyle name="40% - Accent3 2 2 5 3 3" xfId="16609" xr:uid="{00000000-0005-0000-0000-0000CD670000}"/>
    <cellStyle name="40% - Accent3 2 2 5 3 3 2" xfId="39211" xr:uid="{00000000-0005-0000-0000-0000CE670000}"/>
    <cellStyle name="40% - Accent3 2 2 5 3 4" xfId="27910" xr:uid="{00000000-0005-0000-0000-0000CF670000}"/>
    <cellStyle name="40% - Accent3 2 2 5 4" xfId="7755" xr:uid="{00000000-0005-0000-0000-0000D0670000}"/>
    <cellStyle name="40% - Accent3 2 2 5 4 2" xfId="19056" xr:uid="{00000000-0005-0000-0000-0000D1670000}"/>
    <cellStyle name="40% - Accent3 2 2 5 4 2 2" xfId="41658" xr:uid="{00000000-0005-0000-0000-0000D2670000}"/>
    <cellStyle name="40% - Accent3 2 2 5 4 3" xfId="30357" xr:uid="{00000000-0005-0000-0000-0000D3670000}"/>
    <cellStyle name="40% - Accent3 2 2 5 5" xfId="13406" xr:uid="{00000000-0005-0000-0000-0000D4670000}"/>
    <cellStyle name="40% - Accent3 2 2 5 5 2" xfId="36008" xr:uid="{00000000-0005-0000-0000-0000D5670000}"/>
    <cellStyle name="40% - Accent3 2 2 5 6" xfId="24707" xr:uid="{00000000-0005-0000-0000-0000D6670000}"/>
    <cellStyle name="40% - Accent3 2 2 6" xfId="2287" xr:uid="{00000000-0005-0000-0000-0000D7670000}"/>
    <cellStyle name="40% - Accent3 2 2 6 2" xfId="8123" xr:uid="{00000000-0005-0000-0000-0000D8670000}"/>
    <cellStyle name="40% - Accent3 2 2 6 2 2" xfId="19424" xr:uid="{00000000-0005-0000-0000-0000D9670000}"/>
    <cellStyle name="40% - Accent3 2 2 6 2 2 2" xfId="42026" xr:uid="{00000000-0005-0000-0000-0000DA670000}"/>
    <cellStyle name="40% - Accent3 2 2 6 2 3" xfId="30725" xr:uid="{00000000-0005-0000-0000-0000DB670000}"/>
    <cellStyle name="40% - Accent3 2 2 6 3" xfId="13774" xr:uid="{00000000-0005-0000-0000-0000DC670000}"/>
    <cellStyle name="40% - Accent3 2 2 6 3 2" xfId="36376" xr:uid="{00000000-0005-0000-0000-0000DD670000}"/>
    <cellStyle name="40% - Accent3 2 2 6 4" xfId="25075" xr:uid="{00000000-0005-0000-0000-0000DE670000}"/>
    <cellStyle name="40% - Accent3 2 2 7" xfId="4074" xr:uid="{00000000-0005-0000-0000-0000DF670000}"/>
    <cellStyle name="40% - Accent3 2 2 7 2" xfId="9724" xr:uid="{00000000-0005-0000-0000-0000E0670000}"/>
    <cellStyle name="40% - Accent3 2 2 7 2 2" xfId="21025" xr:uid="{00000000-0005-0000-0000-0000E1670000}"/>
    <cellStyle name="40% - Accent3 2 2 7 2 2 2" xfId="43627" xr:uid="{00000000-0005-0000-0000-0000E2670000}"/>
    <cellStyle name="40% - Accent3 2 2 7 2 3" xfId="32326" xr:uid="{00000000-0005-0000-0000-0000E3670000}"/>
    <cellStyle name="40% - Accent3 2 2 7 3" xfId="15375" xr:uid="{00000000-0005-0000-0000-0000E4670000}"/>
    <cellStyle name="40% - Accent3 2 2 7 3 2" xfId="37977" xr:uid="{00000000-0005-0000-0000-0000E5670000}"/>
    <cellStyle name="40% - Accent3 2 2 7 4" xfId="26676" xr:uid="{00000000-0005-0000-0000-0000E6670000}"/>
    <cellStyle name="40% - Accent3 2 2 8" xfId="6525" xr:uid="{00000000-0005-0000-0000-0000E7670000}"/>
    <cellStyle name="40% - Accent3 2 2 8 2" xfId="17826" xr:uid="{00000000-0005-0000-0000-0000E8670000}"/>
    <cellStyle name="40% - Accent3 2 2 8 2 2" xfId="40428" xr:uid="{00000000-0005-0000-0000-0000E9670000}"/>
    <cellStyle name="40% - Accent3 2 2 8 3" xfId="29127" xr:uid="{00000000-0005-0000-0000-0000EA670000}"/>
    <cellStyle name="40% - Accent3 2 2 9" xfId="12176" xr:uid="{00000000-0005-0000-0000-0000EB670000}"/>
    <cellStyle name="40% - Accent3 2 2 9 2" xfId="34778" xr:uid="{00000000-0005-0000-0000-0000EC670000}"/>
    <cellStyle name="40% - Accent3 2 3" xfId="2818" xr:uid="{00000000-0005-0000-0000-0000ED670000}"/>
    <cellStyle name="40% - Accent3 2 3 2" xfId="3675" xr:uid="{00000000-0005-0000-0000-0000EE670000}"/>
    <cellStyle name="40% - Accent3 2 3 2 2" xfId="5833" xr:uid="{00000000-0005-0000-0000-0000EF670000}"/>
    <cellStyle name="40% - Accent3 2 3 2 2 2" xfId="11483" xr:uid="{00000000-0005-0000-0000-0000F0670000}"/>
    <cellStyle name="40% - Accent3 2 3 2 2 2 2" xfId="22784" xr:uid="{00000000-0005-0000-0000-0000F1670000}"/>
    <cellStyle name="40% - Accent3 2 3 2 2 2 2 2" xfId="45386" xr:uid="{00000000-0005-0000-0000-0000F2670000}"/>
    <cellStyle name="40% - Accent3 2 3 2 2 2 3" xfId="34085" xr:uid="{00000000-0005-0000-0000-0000F3670000}"/>
    <cellStyle name="40% - Accent3 2 3 2 2 3" xfId="17134" xr:uid="{00000000-0005-0000-0000-0000F4670000}"/>
    <cellStyle name="40% - Accent3 2 3 2 2 3 2" xfId="39736" xr:uid="{00000000-0005-0000-0000-0000F5670000}"/>
    <cellStyle name="40% - Accent3 2 3 2 2 4" xfId="28435" xr:uid="{00000000-0005-0000-0000-0000F6670000}"/>
    <cellStyle name="40% - Accent3 2 3 2 3" xfId="9386" xr:uid="{00000000-0005-0000-0000-0000F7670000}"/>
    <cellStyle name="40% - Accent3 2 3 2 3 2" xfId="20687" xr:uid="{00000000-0005-0000-0000-0000F8670000}"/>
    <cellStyle name="40% - Accent3 2 3 2 3 2 2" xfId="43289" xr:uid="{00000000-0005-0000-0000-0000F9670000}"/>
    <cellStyle name="40% - Accent3 2 3 2 3 3" xfId="31988" xr:uid="{00000000-0005-0000-0000-0000FA670000}"/>
    <cellStyle name="40% - Accent3 2 3 2 4" xfId="15037" xr:uid="{00000000-0005-0000-0000-0000FB670000}"/>
    <cellStyle name="40% - Accent3 2 3 2 4 2" xfId="37639" xr:uid="{00000000-0005-0000-0000-0000FC670000}"/>
    <cellStyle name="40% - Accent3 2 3 2 5" xfId="26338" xr:uid="{00000000-0005-0000-0000-0000FD670000}"/>
    <cellStyle name="40% - Accent3 2 3 3" xfId="4599" xr:uid="{00000000-0005-0000-0000-0000FE670000}"/>
    <cellStyle name="40% - Accent3 2 3 3 2" xfId="10249" xr:uid="{00000000-0005-0000-0000-0000FF670000}"/>
    <cellStyle name="40% - Accent3 2 3 3 2 2" xfId="21550" xr:uid="{00000000-0005-0000-0000-000000680000}"/>
    <cellStyle name="40% - Accent3 2 3 3 2 2 2" xfId="44152" xr:uid="{00000000-0005-0000-0000-000001680000}"/>
    <cellStyle name="40% - Accent3 2 3 3 2 3" xfId="32851" xr:uid="{00000000-0005-0000-0000-000002680000}"/>
    <cellStyle name="40% - Accent3 2 3 3 3" xfId="15900" xr:uid="{00000000-0005-0000-0000-000003680000}"/>
    <cellStyle name="40% - Accent3 2 3 3 3 2" xfId="38502" xr:uid="{00000000-0005-0000-0000-000004680000}"/>
    <cellStyle name="40% - Accent3 2 3 3 4" xfId="27201" xr:uid="{00000000-0005-0000-0000-000005680000}"/>
    <cellStyle name="40% - Accent3 2 3 4" xfId="8651" xr:uid="{00000000-0005-0000-0000-000006680000}"/>
    <cellStyle name="40% - Accent3 2 3 4 2" xfId="19952" xr:uid="{00000000-0005-0000-0000-000007680000}"/>
    <cellStyle name="40% - Accent3 2 3 4 2 2" xfId="42554" xr:uid="{00000000-0005-0000-0000-000008680000}"/>
    <cellStyle name="40% - Accent3 2 3 4 3" xfId="31253" xr:uid="{00000000-0005-0000-0000-000009680000}"/>
    <cellStyle name="40% - Accent3 2 3 5" xfId="14302" xr:uid="{00000000-0005-0000-0000-00000A680000}"/>
    <cellStyle name="40% - Accent3 2 3 5 2" xfId="36904" xr:uid="{00000000-0005-0000-0000-00000B680000}"/>
    <cellStyle name="40% - Accent3 2 3 6" xfId="25603" xr:uid="{00000000-0005-0000-0000-00000C680000}"/>
    <cellStyle name="40% - Accent3 2 4" xfId="2837" xr:uid="{00000000-0005-0000-0000-00000D680000}"/>
    <cellStyle name="40% - Accent3 2 5" xfId="3905" xr:uid="{00000000-0005-0000-0000-00000E680000}"/>
    <cellStyle name="40% - Accent3 2 5 2" xfId="9603" xr:uid="{00000000-0005-0000-0000-00000F680000}"/>
    <cellStyle name="40% - Accent3 2 5 2 2" xfId="20904" xr:uid="{00000000-0005-0000-0000-000010680000}"/>
    <cellStyle name="40% - Accent3 2 5 2 2 2" xfId="43506" xr:uid="{00000000-0005-0000-0000-000011680000}"/>
    <cellStyle name="40% - Accent3 2 5 2 3" xfId="32205" xr:uid="{00000000-0005-0000-0000-000012680000}"/>
    <cellStyle name="40% - Accent3 2 5 3" xfId="15254" xr:uid="{00000000-0005-0000-0000-000013680000}"/>
    <cellStyle name="40% - Accent3 2 5 3 2" xfId="37856" xr:uid="{00000000-0005-0000-0000-000014680000}"/>
    <cellStyle name="40% - Accent3 2 5 4" xfId="26555" xr:uid="{00000000-0005-0000-0000-000015680000}"/>
    <cellStyle name="40% - Accent3 2 6" xfId="3947" xr:uid="{00000000-0005-0000-0000-000016680000}"/>
    <cellStyle name="40% - Accent3 2 7" xfId="157" xr:uid="{00000000-0005-0000-0000-000017680000}"/>
    <cellStyle name="40% - Accent3 3" xfId="216" xr:uid="{00000000-0005-0000-0000-000018680000}"/>
    <cellStyle name="40% - Accent3 3 2" xfId="344" xr:uid="{00000000-0005-0000-0000-000019680000}"/>
    <cellStyle name="40% - Accent3 3 2 10" xfId="23455" xr:uid="{00000000-0005-0000-0000-00001A680000}"/>
    <cellStyle name="40% - Accent3 3 2 2" xfId="605" xr:uid="{00000000-0005-0000-0000-00001B680000}"/>
    <cellStyle name="40% - Accent3 3 2 2 2" xfId="1315" xr:uid="{00000000-0005-0000-0000-00001C680000}"/>
    <cellStyle name="40% - Accent3 3 2 2 2 2" xfId="1905" xr:uid="{00000000-0005-0000-0000-00001D680000}"/>
    <cellStyle name="40% - Accent3 3 2 2 2 2 2" xfId="3384" xr:uid="{00000000-0005-0000-0000-00001E680000}"/>
    <cellStyle name="40% - Accent3 3 2 2 2 2 2 2" xfId="6356" xr:uid="{00000000-0005-0000-0000-00001F680000}"/>
    <cellStyle name="40% - Accent3 3 2 2 2 2 2 2 2" xfId="12006" xr:uid="{00000000-0005-0000-0000-000020680000}"/>
    <cellStyle name="40% - Accent3 3 2 2 2 2 2 2 2 2" xfId="23307" xr:uid="{00000000-0005-0000-0000-000021680000}"/>
    <cellStyle name="40% - Accent3 3 2 2 2 2 2 2 2 2 2" xfId="45909" xr:uid="{00000000-0005-0000-0000-000022680000}"/>
    <cellStyle name="40% - Accent3 3 2 2 2 2 2 2 2 3" xfId="34608" xr:uid="{00000000-0005-0000-0000-000023680000}"/>
    <cellStyle name="40% - Accent3 3 2 2 2 2 2 2 3" xfId="17657" xr:uid="{00000000-0005-0000-0000-000024680000}"/>
    <cellStyle name="40% - Accent3 3 2 2 2 2 2 2 3 2" xfId="40259" xr:uid="{00000000-0005-0000-0000-000025680000}"/>
    <cellStyle name="40% - Accent3 3 2 2 2 2 2 2 4" xfId="28958" xr:uid="{00000000-0005-0000-0000-000026680000}"/>
    <cellStyle name="40% - Accent3 3 2 2 2 2 2 3" xfId="9174" xr:uid="{00000000-0005-0000-0000-000027680000}"/>
    <cellStyle name="40% - Accent3 3 2 2 2 2 2 3 2" xfId="20475" xr:uid="{00000000-0005-0000-0000-000028680000}"/>
    <cellStyle name="40% - Accent3 3 2 2 2 2 2 3 2 2" xfId="43077" xr:uid="{00000000-0005-0000-0000-000029680000}"/>
    <cellStyle name="40% - Accent3 3 2 2 2 2 2 3 3" xfId="31776" xr:uid="{00000000-0005-0000-0000-00002A680000}"/>
    <cellStyle name="40% - Accent3 3 2 2 2 2 2 4" xfId="14825" xr:uid="{00000000-0005-0000-0000-00002B680000}"/>
    <cellStyle name="40% - Accent3 3 2 2 2 2 2 4 2" xfId="37427" xr:uid="{00000000-0005-0000-0000-00002C680000}"/>
    <cellStyle name="40% - Accent3 3 2 2 2 2 2 5" xfId="26126" xr:uid="{00000000-0005-0000-0000-00002D680000}"/>
    <cellStyle name="40% - Accent3 3 2 2 2 2 3" xfId="5122" xr:uid="{00000000-0005-0000-0000-00002E680000}"/>
    <cellStyle name="40% - Accent3 3 2 2 2 2 3 2" xfId="10772" xr:uid="{00000000-0005-0000-0000-00002F680000}"/>
    <cellStyle name="40% - Accent3 3 2 2 2 2 3 2 2" xfId="22073" xr:uid="{00000000-0005-0000-0000-000030680000}"/>
    <cellStyle name="40% - Accent3 3 2 2 2 2 3 2 2 2" xfId="44675" xr:uid="{00000000-0005-0000-0000-000031680000}"/>
    <cellStyle name="40% - Accent3 3 2 2 2 2 3 2 3" xfId="33374" xr:uid="{00000000-0005-0000-0000-000032680000}"/>
    <cellStyle name="40% - Accent3 3 2 2 2 2 3 3" xfId="16423" xr:uid="{00000000-0005-0000-0000-000033680000}"/>
    <cellStyle name="40% - Accent3 3 2 2 2 2 3 3 2" xfId="39025" xr:uid="{00000000-0005-0000-0000-000034680000}"/>
    <cellStyle name="40% - Accent3 3 2 2 2 2 3 4" xfId="27724" xr:uid="{00000000-0005-0000-0000-000035680000}"/>
    <cellStyle name="40% - Accent3 3 2 2 2 2 4" xfId="7761" xr:uid="{00000000-0005-0000-0000-000036680000}"/>
    <cellStyle name="40% - Accent3 3 2 2 2 2 4 2" xfId="19062" xr:uid="{00000000-0005-0000-0000-000037680000}"/>
    <cellStyle name="40% - Accent3 3 2 2 2 2 4 2 2" xfId="41664" xr:uid="{00000000-0005-0000-0000-000038680000}"/>
    <cellStyle name="40% - Accent3 3 2 2 2 2 4 3" xfId="30363" xr:uid="{00000000-0005-0000-0000-000039680000}"/>
    <cellStyle name="40% - Accent3 3 2 2 2 2 5" xfId="13412" xr:uid="{00000000-0005-0000-0000-00003A680000}"/>
    <cellStyle name="40% - Accent3 3 2 2 2 2 5 2" xfId="36014" xr:uid="{00000000-0005-0000-0000-00003B680000}"/>
    <cellStyle name="40% - Accent3 3 2 2 2 2 6" xfId="24713" xr:uid="{00000000-0005-0000-0000-00003C680000}"/>
    <cellStyle name="40% - Accent3 3 2 2 2 3" xfId="2713" xr:uid="{00000000-0005-0000-0000-00003D680000}"/>
    <cellStyle name="40% - Accent3 3 2 2 2 3 2" xfId="5732" xr:uid="{00000000-0005-0000-0000-00003E680000}"/>
    <cellStyle name="40% - Accent3 3 2 2 2 3 2 2" xfId="11382" xr:uid="{00000000-0005-0000-0000-00003F680000}"/>
    <cellStyle name="40% - Accent3 3 2 2 2 3 2 2 2" xfId="22683" xr:uid="{00000000-0005-0000-0000-000040680000}"/>
    <cellStyle name="40% - Accent3 3 2 2 2 3 2 2 2 2" xfId="45285" xr:uid="{00000000-0005-0000-0000-000041680000}"/>
    <cellStyle name="40% - Accent3 3 2 2 2 3 2 2 3" xfId="33984" xr:uid="{00000000-0005-0000-0000-000042680000}"/>
    <cellStyle name="40% - Accent3 3 2 2 2 3 2 3" xfId="17033" xr:uid="{00000000-0005-0000-0000-000043680000}"/>
    <cellStyle name="40% - Accent3 3 2 2 2 3 2 3 2" xfId="39635" xr:uid="{00000000-0005-0000-0000-000044680000}"/>
    <cellStyle name="40% - Accent3 3 2 2 2 3 2 4" xfId="28334" xr:uid="{00000000-0005-0000-0000-000045680000}"/>
    <cellStyle name="40% - Accent3 3 2 2 2 3 3" xfId="8549" xr:uid="{00000000-0005-0000-0000-000046680000}"/>
    <cellStyle name="40% - Accent3 3 2 2 2 3 3 2" xfId="19850" xr:uid="{00000000-0005-0000-0000-000047680000}"/>
    <cellStyle name="40% - Accent3 3 2 2 2 3 3 2 2" xfId="42452" xr:uid="{00000000-0005-0000-0000-000048680000}"/>
    <cellStyle name="40% - Accent3 3 2 2 2 3 3 3" xfId="31151" xr:uid="{00000000-0005-0000-0000-000049680000}"/>
    <cellStyle name="40% - Accent3 3 2 2 2 3 4" xfId="14200" xr:uid="{00000000-0005-0000-0000-00004A680000}"/>
    <cellStyle name="40% - Accent3 3 2 2 2 3 4 2" xfId="36802" xr:uid="{00000000-0005-0000-0000-00004B680000}"/>
    <cellStyle name="40% - Accent3 3 2 2 2 3 5" xfId="25501" xr:uid="{00000000-0005-0000-0000-00004C680000}"/>
    <cellStyle name="40% - Accent3 3 2 2 2 4" xfId="4498" xr:uid="{00000000-0005-0000-0000-00004D680000}"/>
    <cellStyle name="40% - Accent3 3 2 2 2 4 2" xfId="10148" xr:uid="{00000000-0005-0000-0000-00004E680000}"/>
    <cellStyle name="40% - Accent3 3 2 2 2 4 2 2" xfId="21449" xr:uid="{00000000-0005-0000-0000-00004F680000}"/>
    <cellStyle name="40% - Accent3 3 2 2 2 4 2 2 2" xfId="44051" xr:uid="{00000000-0005-0000-0000-000050680000}"/>
    <cellStyle name="40% - Accent3 3 2 2 2 4 2 3" xfId="32750" xr:uid="{00000000-0005-0000-0000-000051680000}"/>
    <cellStyle name="40% - Accent3 3 2 2 2 4 3" xfId="15799" xr:uid="{00000000-0005-0000-0000-000052680000}"/>
    <cellStyle name="40% - Accent3 3 2 2 2 4 3 2" xfId="38401" xr:uid="{00000000-0005-0000-0000-000053680000}"/>
    <cellStyle name="40% - Accent3 3 2 2 2 4 4" xfId="27100" xr:uid="{00000000-0005-0000-0000-000054680000}"/>
    <cellStyle name="40% - Accent3 3 2 2 2 5" xfId="7294" xr:uid="{00000000-0005-0000-0000-000055680000}"/>
    <cellStyle name="40% - Accent3 3 2 2 2 5 2" xfId="18595" xr:uid="{00000000-0005-0000-0000-000056680000}"/>
    <cellStyle name="40% - Accent3 3 2 2 2 5 2 2" xfId="41197" xr:uid="{00000000-0005-0000-0000-000057680000}"/>
    <cellStyle name="40% - Accent3 3 2 2 2 5 3" xfId="29896" xr:uid="{00000000-0005-0000-0000-000058680000}"/>
    <cellStyle name="40% - Accent3 3 2 2 2 6" xfId="12945" xr:uid="{00000000-0005-0000-0000-000059680000}"/>
    <cellStyle name="40% - Accent3 3 2 2 2 6 2" xfId="35547" xr:uid="{00000000-0005-0000-0000-00005A680000}"/>
    <cellStyle name="40% - Accent3 3 2 2 2 7" xfId="24246" xr:uid="{00000000-0005-0000-0000-00005B680000}"/>
    <cellStyle name="40% - Accent3 3 2 2 3" xfId="1013" xr:uid="{00000000-0005-0000-0000-00005C680000}"/>
    <cellStyle name="40% - Accent3 3 2 2 3 2" xfId="3076" xr:uid="{00000000-0005-0000-0000-00005D680000}"/>
    <cellStyle name="40% - Accent3 3 2 2 3 2 2" xfId="6048" xr:uid="{00000000-0005-0000-0000-00005E680000}"/>
    <cellStyle name="40% - Accent3 3 2 2 3 2 2 2" xfId="11698" xr:uid="{00000000-0005-0000-0000-00005F680000}"/>
    <cellStyle name="40% - Accent3 3 2 2 3 2 2 2 2" xfId="22999" xr:uid="{00000000-0005-0000-0000-000060680000}"/>
    <cellStyle name="40% - Accent3 3 2 2 3 2 2 2 2 2" xfId="45601" xr:uid="{00000000-0005-0000-0000-000061680000}"/>
    <cellStyle name="40% - Accent3 3 2 2 3 2 2 2 3" xfId="34300" xr:uid="{00000000-0005-0000-0000-000062680000}"/>
    <cellStyle name="40% - Accent3 3 2 2 3 2 2 3" xfId="17349" xr:uid="{00000000-0005-0000-0000-000063680000}"/>
    <cellStyle name="40% - Accent3 3 2 2 3 2 2 3 2" xfId="39951" xr:uid="{00000000-0005-0000-0000-000064680000}"/>
    <cellStyle name="40% - Accent3 3 2 2 3 2 2 4" xfId="28650" xr:uid="{00000000-0005-0000-0000-000065680000}"/>
    <cellStyle name="40% - Accent3 3 2 2 3 2 3" xfId="8866" xr:uid="{00000000-0005-0000-0000-000066680000}"/>
    <cellStyle name="40% - Accent3 3 2 2 3 2 3 2" xfId="20167" xr:uid="{00000000-0005-0000-0000-000067680000}"/>
    <cellStyle name="40% - Accent3 3 2 2 3 2 3 2 2" xfId="42769" xr:uid="{00000000-0005-0000-0000-000068680000}"/>
    <cellStyle name="40% - Accent3 3 2 2 3 2 3 3" xfId="31468" xr:uid="{00000000-0005-0000-0000-000069680000}"/>
    <cellStyle name="40% - Accent3 3 2 2 3 2 4" xfId="14517" xr:uid="{00000000-0005-0000-0000-00006A680000}"/>
    <cellStyle name="40% - Accent3 3 2 2 3 2 4 2" xfId="37119" xr:uid="{00000000-0005-0000-0000-00006B680000}"/>
    <cellStyle name="40% - Accent3 3 2 2 3 2 5" xfId="25818" xr:uid="{00000000-0005-0000-0000-00006C680000}"/>
    <cellStyle name="40% - Accent3 3 2 2 3 3" xfId="4814" xr:uid="{00000000-0005-0000-0000-00006D680000}"/>
    <cellStyle name="40% - Accent3 3 2 2 3 3 2" xfId="10464" xr:uid="{00000000-0005-0000-0000-00006E680000}"/>
    <cellStyle name="40% - Accent3 3 2 2 3 3 2 2" xfId="21765" xr:uid="{00000000-0005-0000-0000-00006F680000}"/>
    <cellStyle name="40% - Accent3 3 2 2 3 3 2 2 2" xfId="44367" xr:uid="{00000000-0005-0000-0000-000070680000}"/>
    <cellStyle name="40% - Accent3 3 2 2 3 3 2 3" xfId="33066" xr:uid="{00000000-0005-0000-0000-000071680000}"/>
    <cellStyle name="40% - Accent3 3 2 2 3 3 3" xfId="16115" xr:uid="{00000000-0005-0000-0000-000072680000}"/>
    <cellStyle name="40% - Accent3 3 2 2 3 3 3 2" xfId="38717" xr:uid="{00000000-0005-0000-0000-000073680000}"/>
    <cellStyle name="40% - Accent3 3 2 2 3 3 4" xfId="27416" xr:uid="{00000000-0005-0000-0000-000074680000}"/>
    <cellStyle name="40% - Accent3 3 2 2 3 4" xfId="7001" xr:uid="{00000000-0005-0000-0000-000075680000}"/>
    <cellStyle name="40% - Accent3 3 2 2 3 4 2" xfId="18302" xr:uid="{00000000-0005-0000-0000-000076680000}"/>
    <cellStyle name="40% - Accent3 3 2 2 3 4 2 2" xfId="40904" xr:uid="{00000000-0005-0000-0000-000077680000}"/>
    <cellStyle name="40% - Accent3 3 2 2 3 4 3" xfId="29603" xr:uid="{00000000-0005-0000-0000-000078680000}"/>
    <cellStyle name="40% - Accent3 3 2 2 3 5" xfId="12652" xr:uid="{00000000-0005-0000-0000-000079680000}"/>
    <cellStyle name="40% - Accent3 3 2 2 3 5 2" xfId="35254" xr:uid="{00000000-0005-0000-0000-00007A680000}"/>
    <cellStyle name="40% - Accent3 3 2 2 3 6" xfId="23953" xr:uid="{00000000-0005-0000-0000-00007B680000}"/>
    <cellStyle name="40% - Accent3 3 2 2 4" xfId="1904" xr:uid="{00000000-0005-0000-0000-00007C680000}"/>
    <cellStyle name="40% - Accent3 3 2 2 4 2" xfId="3752" xr:uid="{00000000-0005-0000-0000-00007D680000}"/>
    <cellStyle name="40% - Accent3 3 2 2 4 2 2" xfId="9462" xr:uid="{00000000-0005-0000-0000-00007E680000}"/>
    <cellStyle name="40% - Accent3 3 2 2 4 2 2 2" xfId="20763" xr:uid="{00000000-0005-0000-0000-00007F680000}"/>
    <cellStyle name="40% - Accent3 3 2 2 4 2 2 2 2" xfId="43365" xr:uid="{00000000-0005-0000-0000-000080680000}"/>
    <cellStyle name="40% - Accent3 3 2 2 4 2 2 3" xfId="32064" xr:uid="{00000000-0005-0000-0000-000081680000}"/>
    <cellStyle name="40% - Accent3 3 2 2 4 2 3" xfId="15113" xr:uid="{00000000-0005-0000-0000-000082680000}"/>
    <cellStyle name="40% - Accent3 3 2 2 4 2 3 2" xfId="37715" xr:uid="{00000000-0005-0000-0000-000083680000}"/>
    <cellStyle name="40% - Accent3 3 2 2 4 2 4" xfId="26414" xr:uid="{00000000-0005-0000-0000-000084680000}"/>
    <cellStyle name="40% - Accent3 3 2 2 4 3" xfId="5424" xr:uid="{00000000-0005-0000-0000-000085680000}"/>
    <cellStyle name="40% - Accent3 3 2 2 4 3 2" xfId="11074" xr:uid="{00000000-0005-0000-0000-000086680000}"/>
    <cellStyle name="40% - Accent3 3 2 2 4 3 2 2" xfId="22375" xr:uid="{00000000-0005-0000-0000-000087680000}"/>
    <cellStyle name="40% - Accent3 3 2 2 4 3 2 2 2" xfId="44977" xr:uid="{00000000-0005-0000-0000-000088680000}"/>
    <cellStyle name="40% - Accent3 3 2 2 4 3 2 3" xfId="33676" xr:uid="{00000000-0005-0000-0000-000089680000}"/>
    <cellStyle name="40% - Accent3 3 2 2 4 3 3" xfId="16725" xr:uid="{00000000-0005-0000-0000-00008A680000}"/>
    <cellStyle name="40% - Accent3 3 2 2 4 3 3 2" xfId="39327" xr:uid="{00000000-0005-0000-0000-00008B680000}"/>
    <cellStyle name="40% - Accent3 3 2 2 4 3 4" xfId="28026" xr:uid="{00000000-0005-0000-0000-00008C680000}"/>
    <cellStyle name="40% - Accent3 3 2 2 4 4" xfId="7760" xr:uid="{00000000-0005-0000-0000-00008D680000}"/>
    <cellStyle name="40% - Accent3 3 2 2 4 4 2" xfId="19061" xr:uid="{00000000-0005-0000-0000-00008E680000}"/>
    <cellStyle name="40% - Accent3 3 2 2 4 4 2 2" xfId="41663" xr:uid="{00000000-0005-0000-0000-00008F680000}"/>
    <cellStyle name="40% - Accent3 3 2 2 4 4 3" xfId="30362" xr:uid="{00000000-0005-0000-0000-000090680000}"/>
    <cellStyle name="40% - Accent3 3 2 2 4 5" xfId="13411" xr:uid="{00000000-0005-0000-0000-000091680000}"/>
    <cellStyle name="40% - Accent3 3 2 2 4 5 2" xfId="36013" xr:uid="{00000000-0005-0000-0000-000092680000}"/>
    <cellStyle name="40% - Accent3 3 2 2 4 6" xfId="24712" xr:uid="{00000000-0005-0000-0000-000093680000}"/>
    <cellStyle name="40% - Accent3 3 2 2 5" xfId="2405" xr:uid="{00000000-0005-0000-0000-000094680000}"/>
    <cellStyle name="40% - Accent3 3 2 2 5 2" xfId="8241" xr:uid="{00000000-0005-0000-0000-000095680000}"/>
    <cellStyle name="40% - Accent3 3 2 2 5 2 2" xfId="19542" xr:uid="{00000000-0005-0000-0000-000096680000}"/>
    <cellStyle name="40% - Accent3 3 2 2 5 2 2 2" xfId="42144" xr:uid="{00000000-0005-0000-0000-000097680000}"/>
    <cellStyle name="40% - Accent3 3 2 2 5 2 3" xfId="30843" xr:uid="{00000000-0005-0000-0000-000098680000}"/>
    <cellStyle name="40% - Accent3 3 2 2 5 3" xfId="13892" xr:uid="{00000000-0005-0000-0000-000099680000}"/>
    <cellStyle name="40% - Accent3 3 2 2 5 3 2" xfId="36494" xr:uid="{00000000-0005-0000-0000-00009A680000}"/>
    <cellStyle name="40% - Accent3 3 2 2 5 4" xfId="25193" xr:uid="{00000000-0005-0000-0000-00009B680000}"/>
    <cellStyle name="40% - Accent3 3 2 2 6" xfId="4190" xr:uid="{00000000-0005-0000-0000-00009C680000}"/>
    <cellStyle name="40% - Accent3 3 2 2 6 2" xfId="9840" xr:uid="{00000000-0005-0000-0000-00009D680000}"/>
    <cellStyle name="40% - Accent3 3 2 2 6 2 2" xfId="21141" xr:uid="{00000000-0005-0000-0000-00009E680000}"/>
    <cellStyle name="40% - Accent3 3 2 2 6 2 2 2" xfId="43743" xr:uid="{00000000-0005-0000-0000-00009F680000}"/>
    <cellStyle name="40% - Accent3 3 2 2 6 2 3" xfId="32442" xr:uid="{00000000-0005-0000-0000-0000A0680000}"/>
    <cellStyle name="40% - Accent3 3 2 2 6 3" xfId="15491" xr:uid="{00000000-0005-0000-0000-0000A1680000}"/>
    <cellStyle name="40% - Accent3 3 2 2 6 3 2" xfId="38093" xr:uid="{00000000-0005-0000-0000-0000A2680000}"/>
    <cellStyle name="40% - Accent3 3 2 2 6 4" xfId="26792" xr:uid="{00000000-0005-0000-0000-0000A3680000}"/>
    <cellStyle name="40% - Accent3 3 2 2 7" xfId="6670" xr:uid="{00000000-0005-0000-0000-0000A4680000}"/>
    <cellStyle name="40% - Accent3 3 2 2 7 2" xfId="17971" xr:uid="{00000000-0005-0000-0000-0000A5680000}"/>
    <cellStyle name="40% - Accent3 3 2 2 7 2 2" xfId="40573" xr:uid="{00000000-0005-0000-0000-0000A6680000}"/>
    <cellStyle name="40% - Accent3 3 2 2 7 3" xfId="29272" xr:uid="{00000000-0005-0000-0000-0000A7680000}"/>
    <cellStyle name="40% - Accent3 3 2 2 8" xfId="12321" xr:uid="{00000000-0005-0000-0000-0000A8680000}"/>
    <cellStyle name="40% - Accent3 3 2 2 8 2" xfId="34923" xr:uid="{00000000-0005-0000-0000-0000A9680000}"/>
    <cellStyle name="40% - Accent3 3 2 2 9" xfId="23622" xr:uid="{00000000-0005-0000-0000-0000AA680000}"/>
    <cellStyle name="40% - Accent3 3 2 3" xfId="1177" xr:uid="{00000000-0005-0000-0000-0000AB680000}"/>
    <cellStyle name="40% - Accent3 3 2 3 2" xfId="1906" xr:uid="{00000000-0005-0000-0000-0000AC680000}"/>
    <cellStyle name="40% - Accent3 3 2 3 2 2" xfId="3245" xr:uid="{00000000-0005-0000-0000-0000AD680000}"/>
    <cellStyle name="40% - Accent3 3 2 3 2 2 2" xfId="6217" xr:uid="{00000000-0005-0000-0000-0000AE680000}"/>
    <cellStyle name="40% - Accent3 3 2 3 2 2 2 2" xfId="11867" xr:uid="{00000000-0005-0000-0000-0000AF680000}"/>
    <cellStyle name="40% - Accent3 3 2 3 2 2 2 2 2" xfId="23168" xr:uid="{00000000-0005-0000-0000-0000B0680000}"/>
    <cellStyle name="40% - Accent3 3 2 3 2 2 2 2 2 2" xfId="45770" xr:uid="{00000000-0005-0000-0000-0000B1680000}"/>
    <cellStyle name="40% - Accent3 3 2 3 2 2 2 2 3" xfId="34469" xr:uid="{00000000-0005-0000-0000-0000B2680000}"/>
    <cellStyle name="40% - Accent3 3 2 3 2 2 2 3" xfId="17518" xr:uid="{00000000-0005-0000-0000-0000B3680000}"/>
    <cellStyle name="40% - Accent3 3 2 3 2 2 2 3 2" xfId="40120" xr:uid="{00000000-0005-0000-0000-0000B4680000}"/>
    <cellStyle name="40% - Accent3 3 2 3 2 2 2 4" xfId="28819" xr:uid="{00000000-0005-0000-0000-0000B5680000}"/>
    <cellStyle name="40% - Accent3 3 2 3 2 2 3" xfId="9035" xr:uid="{00000000-0005-0000-0000-0000B6680000}"/>
    <cellStyle name="40% - Accent3 3 2 3 2 2 3 2" xfId="20336" xr:uid="{00000000-0005-0000-0000-0000B7680000}"/>
    <cellStyle name="40% - Accent3 3 2 3 2 2 3 2 2" xfId="42938" xr:uid="{00000000-0005-0000-0000-0000B8680000}"/>
    <cellStyle name="40% - Accent3 3 2 3 2 2 3 3" xfId="31637" xr:uid="{00000000-0005-0000-0000-0000B9680000}"/>
    <cellStyle name="40% - Accent3 3 2 3 2 2 4" xfId="14686" xr:uid="{00000000-0005-0000-0000-0000BA680000}"/>
    <cellStyle name="40% - Accent3 3 2 3 2 2 4 2" xfId="37288" xr:uid="{00000000-0005-0000-0000-0000BB680000}"/>
    <cellStyle name="40% - Accent3 3 2 3 2 2 5" xfId="25987" xr:uid="{00000000-0005-0000-0000-0000BC680000}"/>
    <cellStyle name="40% - Accent3 3 2 3 2 3" xfId="4983" xr:uid="{00000000-0005-0000-0000-0000BD680000}"/>
    <cellStyle name="40% - Accent3 3 2 3 2 3 2" xfId="10633" xr:uid="{00000000-0005-0000-0000-0000BE680000}"/>
    <cellStyle name="40% - Accent3 3 2 3 2 3 2 2" xfId="21934" xr:uid="{00000000-0005-0000-0000-0000BF680000}"/>
    <cellStyle name="40% - Accent3 3 2 3 2 3 2 2 2" xfId="44536" xr:uid="{00000000-0005-0000-0000-0000C0680000}"/>
    <cellStyle name="40% - Accent3 3 2 3 2 3 2 3" xfId="33235" xr:uid="{00000000-0005-0000-0000-0000C1680000}"/>
    <cellStyle name="40% - Accent3 3 2 3 2 3 3" xfId="16284" xr:uid="{00000000-0005-0000-0000-0000C2680000}"/>
    <cellStyle name="40% - Accent3 3 2 3 2 3 3 2" xfId="38886" xr:uid="{00000000-0005-0000-0000-0000C3680000}"/>
    <cellStyle name="40% - Accent3 3 2 3 2 3 4" xfId="27585" xr:uid="{00000000-0005-0000-0000-0000C4680000}"/>
    <cellStyle name="40% - Accent3 3 2 3 2 4" xfId="7762" xr:uid="{00000000-0005-0000-0000-0000C5680000}"/>
    <cellStyle name="40% - Accent3 3 2 3 2 4 2" xfId="19063" xr:uid="{00000000-0005-0000-0000-0000C6680000}"/>
    <cellStyle name="40% - Accent3 3 2 3 2 4 2 2" xfId="41665" xr:uid="{00000000-0005-0000-0000-0000C7680000}"/>
    <cellStyle name="40% - Accent3 3 2 3 2 4 3" xfId="30364" xr:uid="{00000000-0005-0000-0000-0000C8680000}"/>
    <cellStyle name="40% - Accent3 3 2 3 2 5" xfId="13413" xr:uid="{00000000-0005-0000-0000-0000C9680000}"/>
    <cellStyle name="40% - Accent3 3 2 3 2 5 2" xfId="36015" xr:uid="{00000000-0005-0000-0000-0000CA680000}"/>
    <cellStyle name="40% - Accent3 3 2 3 2 6" xfId="24714" xr:uid="{00000000-0005-0000-0000-0000CB680000}"/>
    <cellStyle name="40% - Accent3 3 2 3 3" xfId="2574" xr:uid="{00000000-0005-0000-0000-0000CC680000}"/>
    <cellStyle name="40% - Accent3 3 2 3 3 2" xfId="5593" xr:uid="{00000000-0005-0000-0000-0000CD680000}"/>
    <cellStyle name="40% - Accent3 3 2 3 3 2 2" xfId="11243" xr:uid="{00000000-0005-0000-0000-0000CE680000}"/>
    <cellStyle name="40% - Accent3 3 2 3 3 2 2 2" xfId="22544" xr:uid="{00000000-0005-0000-0000-0000CF680000}"/>
    <cellStyle name="40% - Accent3 3 2 3 3 2 2 2 2" xfId="45146" xr:uid="{00000000-0005-0000-0000-0000D0680000}"/>
    <cellStyle name="40% - Accent3 3 2 3 3 2 2 3" xfId="33845" xr:uid="{00000000-0005-0000-0000-0000D1680000}"/>
    <cellStyle name="40% - Accent3 3 2 3 3 2 3" xfId="16894" xr:uid="{00000000-0005-0000-0000-0000D2680000}"/>
    <cellStyle name="40% - Accent3 3 2 3 3 2 3 2" xfId="39496" xr:uid="{00000000-0005-0000-0000-0000D3680000}"/>
    <cellStyle name="40% - Accent3 3 2 3 3 2 4" xfId="28195" xr:uid="{00000000-0005-0000-0000-0000D4680000}"/>
    <cellStyle name="40% - Accent3 3 2 3 3 3" xfId="8410" xr:uid="{00000000-0005-0000-0000-0000D5680000}"/>
    <cellStyle name="40% - Accent3 3 2 3 3 3 2" xfId="19711" xr:uid="{00000000-0005-0000-0000-0000D6680000}"/>
    <cellStyle name="40% - Accent3 3 2 3 3 3 2 2" xfId="42313" xr:uid="{00000000-0005-0000-0000-0000D7680000}"/>
    <cellStyle name="40% - Accent3 3 2 3 3 3 3" xfId="31012" xr:uid="{00000000-0005-0000-0000-0000D8680000}"/>
    <cellStyle name="40% - Accent3 3 2 3 3 4" xfId="14061" xr:uid="{00000000-0005-0000-0000-0000D9680000}"/>
    <cellStyle name="40% - Accent3 3 2 3 3 4 2" xfId="36663" xr:uid="{00000000-0005-0000-0000-0000DA680000}"/>
    <cellStyle name="40% - Accent3 3 2 3 3 5" xfId="25362" xr:uid="{00000000-0005-0000-0000-0000DB680000}"/>
    <cellStyle name="40% - Accent3 3 2 3 4" xfId="4359" xr:uid="{00000000-0005-0000-0000-0000DC680000}"/>
    <cellStyle name="40% - Accent3 3 2 3 4 2" xfId="10009" xr:uid="{00000000-0005-0000-0000-0000DD680000}"/>
    <cellStyle name="40% - Accent3 3 2 3 4 2 2" xfId="21310" xr:uid="{00000000-0005-0000-0000-0000DE680000}"/>
    <cellStyle name="40% - Accent3 3 2 3 4 2 2 2" xfId="43912" xr:uid="{00000000-0005-0000-0000-0000DF680000}"/>
    <cellStyle name="40% - Accent3 3 2 3 4 2 3" xfId="32611" xr:uid="{00000000-0005-0000-0000-0000E0680000}"/>
    <cellStyle name="40% - Accent3 3 2 3 4 3" xfId="15660" xr:uid="{00000000-0005-0000-0000-0000E1680000}"/>
    <cellStyle name="40% - Accent3 3 2 3 4 3 2" xfId="38262" xr:uid="{00000000-0005-0000-0000-0000E2680000}"/>
    <cellStyle name="40% - Accent3 3 2 3 4 4" xfId="26961" xr:uid="{00000000-0005-0000-0000-0000E3680000}"/>
    <cellStyle name="40% - Accent3 3 2 3 5" xfId="7156" xr:uid="{00000000-0005-0000-0000-0000E4680000}"/>
    <cellStyle name="40% - Accent3 3 2 3 5 2" xfId="18457" xr:uid="{00000000-0005-0000-0000-0000E5680000}"/>
    <cellStyle name="40% - Accent3 3 2 3 5 2 2" xfId="41059" xr:uid="{00000000-0005-0000-0000-0000E6680000}"/>
    <cellStyle name="40% - Accent3 3 2 3 5 3" xfId="29758" xr:uid="{00000000-0005-0000-0000-0000E7680000}"/>
    <cellStyle name="40% - Accent3 3 2 3 6" xfId="12807" xr:uid="{00000000-0005-0000-0000-0000E8680000}"/>
    <cellStyle name="40% - Accent3 3 2 3 6 2" xfId="35409" xr:uid="{00000000-0005-0000-0000-0000E9680000}"/>
    <cellStyle name="40% - Accent3 3 2 3 7" xfId="24108" xr:uid="{00000000-0005-0000-0000-0000EA680000}"/>
    <cellStyle name="40% - Accent3 3 2 4" xfId="866" xr:uid="{00000000-0005-0000-0000-0000EB680000}"/>
    <cellStyle name="40% - Accent3 3 2 4 2" xfId="2938" xr:uid="{00000000-0005-0000-0000-0000EC680000}"/>
    <cellStyle name="40% - Accent3 3 2 4 2 2" xfId="5910" xr:uid="{00000000-0005-0000-0000-0000ED680000}"/>
    <cellStyle name="40% - Accent3 3 2 4 2 2 2" xfId="11560" xr:uid="{00000000-0005-0000-0000-0000EE680000}"/>
    <cellStyle name="40% - Accent3 3 2 4 2 2 2 2" xfId="22861" xr:uid="{00000000-0005-0000-0000-0000EF680000}"/>
    <cellStyle name="40% - Accent3 3 2 4 2 2 2 2 2" xfId="45463" xr:uid="{00000000-0005-0000-0000-0000F0680000}"/>
    <cellStyle name="40% - Accent3 3 2 4 2 2 2 3" xfId="34162" xr:uid="{00000000-0005-0000-0000-0000F1680000}"/>
    <cellStyle name="40% - Accent3 3 2 4 2 2 3" xfId="17211" xr:uid="{00000000-0005-0000-0000-0000F2680000}"/>
    <cellStyle name="40% - Accent3 3 2 4 2 2 3 2" xfId="39813" xr:uid="{00000000-0005-0000-0000-0000F3680000}"/>
    <cellStyle name="40% - Accent3 3 2 4 2 2 4" xfId="28512" xr:uid="{00000000-0005-0000-0000-0000F4680000}"/>
    <cellStyle name="40% - Accent3 3 2 4 2 3" xfId="8728" xr:uid="{00000000-0005-0000-0000-0000F5680000}"/>
    <cellStyle name="40% - Accent3 3 2 4 2 3 2" xfId="20029" xr:uid="{00000000-0005-0000-0000-0000F6680000}"/>
    <cellStyle name="40% - Accent3 3 2 4 2 3 2 2" xfId="42631" xr:uid="{00000000-0005-0000-0000-0000F7680000}"/>
    <cellStyle name="40% - Accent3 3 2 4 2 3 3" xfId="31330" xr:uid="{00000000-0005-0000-0000-0000F8680000}"/>
    <cellStyle name="40% - Accent3 3 2 4 2 4" xfId="14379" xr:uid="{00000000-0005-0000-0000-0000F9680000}"/>
    <cellStyle name="40% - Accent3 3 2 4 2 4 2" xfId="36981" xr:uid="{00000000-0005-0000-0000-0000FA680000}"/>
    <cellStyle name="40% - Accent3 3 2 4 2 5" xfId="25680" xr:uid="{00000000-0005-0000-0000-0000FB680000}"/>
    <cellStyle name="40% - Accent3 3 2 4 3" xfId="4676" xr:uid="{00000000-0005-0000-0000-0000FC680000}"/>
    <cellStyle name="40% - Accent3 3 2 4 3 2" xfId="10326" xr:uid="{00000000-0005-0000-0000-0000FD680000}"/>
    <cellStyle name="40% - Accent3 3 2 4 3 2 2" xfId="21627" xr:uid="{00000000-0005-0000-0000-0000FE680000}"/>
    <cellStyle name="40% - Accent3 3 2 4 3 2 2 2" xfId="44229" xr:uid="{00000000-0005-0000-0000-0000FF680000}"/>
    <cellStyle name="40% - Accent3 3 2 4 3 2 3" xfId="32928" xr:uid="{00000000-0005-0000-0000-000000690000}"/>
    <cellStyle name="40% - Accent3 3 2 4 3 3" xfId="15977" xr:uid="{00000000-0005-0000-0000-000001690000}"/>
    <cellStyle name="40% - Accent3 3 2 4 3 3 2" xfId="38579" xr:uid="{00000000-0005-0000-0000-000002690000}"/>
    <cellStyle name="40% - Accent3 3 2 4 3 4" xfId="27278" xr:uid="{00000000-0005-0000-0000-000003690000}"/>
    <cellStyle name="40% - Accent3 3 2 4 4" xfId="6863" xr:uid="{00000000-0005-0000-0000-000004690000}"/>
    <cellStyle name="40% - Accent3 3 2 4 4 2" xfId="18164" xr:uid="{00000000-0005-0000-0000-000005690000}"/>
    <cellStyle name="40% - Accent3 3 2 4 4 2 2" xfId="40766" xr:uid="{00000000-0005-0000-0000-000006690000}"/>
    <cellStyle name="40% - Accent3 3 2 4 4 3" xfId="29465" xr:uid="{00000000-0005-0000-0000-000007690000}"/>
    <cellStyle name="40% - Accent3 3 2 4 5" xfId="12514" xr:uid="{00000000-0005-0000-0000-000008690000}"/>
    <cellStyle name="40% - Accent3 3 2 4 5 2" xfId="35116" xr:uid="{00000000-0005-0000-0000-000009690000}"/>
    <cellStyle name="40% - Accent3 3 2 4 6" xfId="23815" xr:uid="{00000000-0005-0000-0000-00000A690000}"/>
    <cellStyle name="40% - Accent3 3 2 5" xfId="1903" xr:uid="{00000000-0005-0000-0000-00000B690000}"/>
    <cellStyle name="40% - Accent3 3 2 5 2" xfId="3751" xr:uid="{00000000-0005-0000-0000-00000C690000}"/>
    <cellStyle name="40% - Accent3 3 2 5 2 2" xfId="9461" xr:uid="{00000000-0005-0000-0000-00000D690000}"/>
    <cellStyle name="40% - Accent3 3 2 5 2 2 2" xfId="20762" xr:uid="{00000000-0005-0000-0000-00000E690000}"/>
    <cellStyle name="40% - Accent3 3 2 5 2 2 2 2" xfId="43364" xr:uid="{00000000-0005-0000-0000-00000F690000}"/>
    <cellStyle name="40% - Accent3 3 2 5 2 2 3" xfId="32063" xr:uid="{00000000-0005-0000-0000-000010690000}"/>
    <cellStyle name="40% - Accent3 3 2 5 2 3" xfId="15112" xr:uid="{00000000-0005-0000-0000-000011690000}"/>
    <cellStyle name="40% - Accent3 3 2 5 2 3 2" xfId="37714" xr:uid="{00000000-0005-0000-0000-000012690000}"/>
    <cellStyle name="40% - Accent3 3 2 5 2 4" xfId="26413" xr:uid="{00000000-0005-0000-0000-000013690000}"/>
    <cellStyle name="40% - Accent3 3 2 5 3" xfId="5286" xr:uid="{00000000-0005-0000-0000-000014690000}"/>
    <cellStyle name="40% - Accent3 3 2 5 3 2" xfId="10936" xr:uid="{00000000-0005-0000-0000-000015690000}"/>
    <cellStyle name="40% - Accent3 3 2 5 3 2 2" xfId="22237" xr:uid="{00000000-0005-0000-0000-000016690000}"/>
    <cellStyle name="40% - Accent3 3 2 5 3 2 2 2" xfId="44839" xr:uid="{00000000-0005-0000-0000-000017690000}"/>
    <cellStyle name="40% - Accent3 3 2 5 3 2 3" xfId="33538" xr:uid="{00000000-0005-0000-0000-000018690000}"/>
    <cellStyle name="40% - Accent3 3 2 5 3 3" xfId="16587" xr:uid="{00000000-0005-0000-0000-000019690000}"/>
    <cellStyle name="40% - Accent3 3 2 5 3 3 2" xfId="39189" xr:uid="{00000000-0005-0000-0000-00001A690000}"/>
    <cellStyle name="40% - Accent3 3 2 5 3 4" xfId="27888" xr:uid="{00000000-0005-0000-0000-00001B690000}"/>
    <cellStyle name="40% - Accent3 3 2 5 4" xfId="7759" xr:uid="{00000000-0005-0000-0000-00001C690000}"/>
    <cellStyle name="40% - Accent3 3 2 5 4 2" xfId="19060" xr:uid="{00000000-0005-0000-0000-00001D690000}"/>
    <cellStyle name="40% - Accent3 3 2 5 4 2 2" xfId="41662" xr:uid="{00000000-0005-0000-0000-00001E690000}"/>
    <cellStyle name="40% - Accent3 3 2 5 4 3" xfId="30361" xr:uid="{00000000-0005-0000-0000-00001F690000}"/>
    <cellStyle name="40% - Accent3 3 2 5 5" xfId="13410" xr:uid="{00000000-0005-0000-0000-000020690000}"/>
    <cellStyle name="40% - Accent3 3 2 5 5 2" xfId="36012" xr:uid="{00000000-0005-0000-0000-000021690000}"/>
    <cellStyle name="40% - Accent3 3 2 5 6" xfId="24711" xr:uid="{00000000-0005-0000-0000-000022690000}"/>
    <cellStyle name="40% - Accent3 3 2 6" xfId="2264" xr:uid="{00000000-0005-0000-0000-000023690000}"/>
    <cellStyle name="40% - Accent3 3 2 6 2" xfId="8100" xr:uid="{00000000-0005-0000-0000-000024690000}"/>
    <cellStyle name="40% - Accent3 3 2 6 2 2" xfId="19401" xr:uid="{00000000-0005-0000-0000-000025690000}"/>
    <cellStyle name="40% - Accent3 3 2 6 2 2 2" xfId="42003" xr:uid="{00000000-0005-0000-0000-000026690000}"/>
    <cellStyle name="40% - Accent3 3 2 6 2 3" xfId="30702" xr:uid="{00000000-0005-0000-0000-000027690000}"/>
    <cellStyle name="40% - Accent3 3 2 6 3" xfId="13751" xr:uid="{00000000-0005-0000-0000-000028690000}"/>
    <cellStyle name="40% - Accent3 3 2 6 3 2" xfId="36353" xr:uid="{00000000-0005-0000-0000-000029690000}"/>
    <cellStyle name="40% - Accent3 3 2 6 4" xfId="25052" xr:uid="{00000000-0005-0000-0000-00002A690000}"/>
    <cellStyle name="40% - Accent3 3 2 7" xfId="4052" xr:uid="{00000000-0005-0000-0000-00002B690000}"/>
    <cellStyle name="40% - Accent3 3 2 7 2" xfId="9702" xr:uid="{00000000-0005-0000-0000-00002C690000}"/>
    <cellStyle name="40% - Accent3 3 2 7 2 2" xfId="21003" xr:uid="{00000000-0005-0000-0000-00002D690000}"/>
    <cellStyle name="40% - Accent3 3 2 7 2 2 2" xfId="43605" xr:uid="{00000000-0005-0000-0000-00002E690000}"/>
    <cellStyle name="40% - Accent3 3 2 7 2 3" xfId="32304" xr:uid="{00000000-0005-0000-0000-00002F690000}"/>
    <cellStyle name="40% - Accent3 3 2 7 3" xfId="15353" xr:uid="{00000000-0005-0000-0000-000030690000}"/>
    <cellStyle name="40% - Accent3 3 2 7 3 2" xfId="37955" xr:uid="{00000000-0005-0000-0000-000031690000}"/>
    <cellStyle name="40% - Accent3 3 2 7 4" xfId="26654" xr:uid="{00000000-0005-0000-0000-000032690000}"/>
    <cellStyle name="40% - Accent3 3 2 8" xfId="6503" xr:uid="{00000000-0005-0000-0000-000033690000}"/>
    <cellStyle name="40% - Accent3 3 2 8 2" xfId="17804" xr:uid="{00000000-0005-0000-0000-000034690000}"/>
    <cellStyle name="40% - Accent3 3 2 8 2 2" xfId="40406" xr:uid="{00000000-0005-0000-0000-000035690000}"/>
    <cellStyle name="40% - Accent3 3 2 8 3" xfId="29105" xr:uid="{00000000-0005-0000-0000-000036690000}"/>
    <cellStyle name="40% - Accent3 3 2 9" xfId="12154" xr:uid="{00000000-0005-0000-0000-000037690000}"/>
    <cellStyle name="40% - Accent3 3 2 9 2" xfId="34756" xr:uid="{00000000-0005-0000-0000-000038690000}"/>
    <cellStyle name="40% - Accent3 3 3" xfId="409" xr:uid="{00000000-0005-0000-0000-000039690000}"/>
    <cellStyle name="40% - Accent3 3 3 10" xfId="23504" xr:uid="{00000000-0005-0000-0000-00003A690000}"/>
    <cellStyle name="40% - Accent3 3 3 2" xfId="654" xr:uid="{00000000-0005-0000-0000-00003B690000}"/>
    <cellStyle name="40% - Accent3 3 3 2 2" xfId="1364" xr:uid="{00000000-0005-0000-0000-00003C690000}"/>
    <cellStyle name="40% - Accent3 3 3 2 2 2" xfId="1909" xr:uid="{00000000-0005-0000-0000-00003D690000}"/>
    <cellStyle name="40% - Accent3 3 3 2 2 2 2" xfId="3433" xr:uid="{00000000-0005-0000-0000-00003E690000}"/>
    <cellStyle name="40% - Accent3 3 3 2 2 2 2 2" xfId="6405" xr:uid="{00000000-0005-0000-0000-00003F690000}"/>
    <cellStyle name="40% - Accent3 3 3 2 2 2 2 2 2" xfId="12055" xr:uid="{00000000-0005-0000-0000-000040690000}"/>
    <cellStyle name="40% - Accent3 3 3 2 2 2 2 2 2 2" xfId="23356" xr:uid="{00000000-0005-0000-0000-000041690000}"/>
    <cellStyle name="40% - Accent3 3 3 2 2 2 2 2 2 2 2" xfId="45958" xr:uid="{00000000-0005-0000-0000-000042690000}"/>
    <cellStyle name="40% - Accent3 3 3 2 2 2 2 2 2 3" xfId="34657" xr:uid="{00000000-0005-0000-0000-000043690000}"/>
    <cellStyle name="40% - Accent3 3 3 2 2 2 2 2 3" xfId="17706" xr:uid="{00000000-0005-0000-0000-000044690000}"/>
    <cellStyle name="40% - Accent3 3 3 2 2 2 2 2 3 2" xfId="40308" xr:uid="{00000000-0005-0000-0000-000045690000}"/>
    <cellStyle name="40% - Accent3 3 3 2 2 2 2 2 4" xfId="29007" xr:uid="{00000000-0005-0000-0000-000046690000}"/>
    <cellStyle name="40% - Accent3 3 3 2 2 2 2 3" xfId="9223" xr:uid="{00000000-0005-0000-0000-000047690000}"/>
    <cellStyle name="40% - Accent3 3 3 2 2 2 2 3 2" xfId="20524" xr:uid="{00000000-0005-0000-0000-000048690000}"/>
    <cellStyle name="40% - Accent3 3 3 2 2 2 2 3 2 2" xfId="43126" xr:uid="{00000000-0005-0000-0000-000049690000}"/>
    <cellStyle name="40% - Accent3 3 3 2 2 2 2 3 3" xfId="31825" xr:uid="{00000000-0005-0000-0000-00004A690000}"/>
    <cellStyle name="40% - Accent3 3 3 2 2 2 2 4" xfId="14874" xr:uid="{00000000-0005-0000-0000-00004B690000}"/>
    <cellStyle name="40% - Accent3 3 3 2 2 2 2 4 2" xfId="37476" xr:uid="{00000000-0005-0000-0000-00004C690000}"/>
    <cellStyle name="40% - Accent3 3 3 2 2 2 2 5" xfId="26175" xr:uid="{00000000-0005-0000-0000-00004D690000}"/>
    <cellStyle name="40% - Accent3 3 3 2 2 2 3" xfId="5171" xr:uid="{00000000-0005-0000-0000-00004E690000}"/>
    <cellStyle name="40% - Accent3 3 3 2 2 2 3 2" xfId="10821" xr:uid="{00000000-0005-0000-0000-00004F690000}"/>
    <cellStyle name="40% - Accent3 3 3 2 2 2 3 2 2" xfId="22122" xr:uid="{00000000-0005-0000-0000-000050690000}"/>
    <cellStyle name="40% - Accent3 3 3 2 2 2 3 2 2 2" xfId="44724" xr:uid="{00000000-0005-0000-0000-000051690000}"/>
    <cellStyle name="40% - Accent3 3 3 2 2 2 3 2 3" xfId="33423" xr:uid="{00000000-0005-0000-0000-000052690000}"/>
    <cellStyle name="40% - Accent3 3 3 2 2 2 3 3" xfId="16472" xr:uid="{00000000-0005-0000-0000-000053690000}"/>
    <cellStyle name="40% - Accent3 3 3 2 2 2 3 3 2" xfId="39074" xr:uid="{00000000-0005-0000-0000-000054690000}"/>
    <cellStyle name="40% - Accent3 3 3 2 2 2 3 4" xfId="27773" xr:uid="{00000000-0005-0000-0000-000055690000}"/>
    <cellStyle name="40% - Accent3 3 3 2 2 2 4" xfId="7765" xr:uid="{00000000-0005-0000-0000-000056690000}"/>
    <cellStyle name="40% - Accent3 3 3 2 2 2 4 2" xfId="19066" xr:uid="{00000000-0005-0000-0000-000057690000}"/>
    <cellStyle name="40% - Accent3 3 3 2 2 2 4 2 2" xfId="41668" xr:uid="{00000000-0005-0000-0000-000058690000}"/>
    <cellStyle name="40% - Accent3 3 3 2 2 2 4 3" xfId="30367" xr:uid="{00000000-0005-0000-0000-000059690000}"/>
    <cellStyle name="40% - Accent3 3 3 2 2 2 5" xfId="13416" xr:uid="{00000000-0005-0000-0000-00005A690000}"/>
    <cellStyle name="40% - Accent3 3 3 2 2 2 5 2" xfId="36018" xr:uid="{00000000-0005-0000-0000-00005B690000}"/>
    <cellStyle name="40% - Accent3 3 3 2 2 2 6" xfId="24717" xr:uid="{00000000-0005-0000-0000-00005C690000}"/>
    <cellStyle name="40% - Accent3 3 3 2 2 3" xfId="2762" xr:uid="{00000000-0005-0000-0000-00005D690000}"/>
    <cellStyle name="40% - Accent3 3 3 2 2 3 2" xfId="5781" xr:uid="{00000000-0005-0000-0000-00005E690000}"/>
    <cellStyle name="40% - Accent3 3 3 2 2 3 2 2" xfId="11431" xr:uid="{00000000-0005-0000-0000-00005F690000}"/>
    <cellStyle name="40% - Accent3 3 3 2 2 3 2 2 2" xfId="22732" xr:uid="{00000000-0005-0000-0000-000060690000}"/>
    <cellStyle name="40% - Accent3 3 3 2 2 3 2 2 2 2" xfId="45334" xr:uid="{00000000-0005-0000-0000-000061690000}"/>
    <cellStyle name="40% - Accent3 3 3 2 2 3 2 2 3" xfId="34033" xr:uid="{00000000-0005-0000-0000-000062690000}"/>
    <cellStyle name="40% - Accent3 3 3 2 2 3 2 3" xfId="17082" xr:uid="{00000000-0005-0000-0000-000063690000}"/>
    <cellStyle name="40% - Accent3 3 3 2 2 3 2 3 2" xfId="39684" xr:uid="{00000000-0005-0000-0000-000064690000}"/>
    <cellStyle name="40% - Accent3 3 3 2 2 3 2 4" xfId="28383" xr:uid="{00000000-0005-0000-0000-000065690000}"/>
    <cellStyle name="40% - Accent3 3 3 2 2 3 3" xfId="8598" xr:uid="{00000000-0005-0000-0000-000066690000}"/>
    <cellStyle name="40% - Accent3 3 3 2 2 3 3 2" xfId="19899" xr:uid="{00000000-0005-0000-0000-000067690000}"/>
    <cellStyle name="40% - Accent3 3 3 2 2 3 3 2 2" xfId="42501" xr:uid="{00000000-0005-0000-0000-000068690000}"/>
    <cellStyle name="40% - Accent3 3 3 2 2 3 3 3" xfId="31200" xr:uid="{00000000-0005-0000-0000-000069690000}"/>
    <cellStyle name="40% - Accent3 3 3 2 2 3 4" xfId="14249" xr:uid="{00000000-0005-0000-0000-00006A690000}"/>
    <cellStyle name="40% - Accent3 3 3 2 2 3 4 2" xfId="36851" xr:uid="{00000000-0005-0000-0000-00006B690000}"/>
    <cellStyle name="40% - Accent3 3 3 2 2 3 5" xfId="25550" xr:uid="{00000000-0005-0000-0000-00006C690000}"/>
    <cellStyle name="40% - Accent3 3 3 2 2 4" xfId="4547" xr:uid="{00000000-0005-0000-0000-00006D690000}"/>
    <cellStyle name="40% - Accent3 3 3 2 2 4 2" xfId="10197" xr:uid="{00000000-0005-0000-0000-00006E690000}"/>
    <cellStyle name="40% - Accent3 3 3 2 2 4 2 2" xfId="21498" xr:uid="{00000000-0005-0000-0000-00006F690000}"/>
    <cellStyle name="40% - Accent3 3 3 2 2 4 2 2 2" xfId="44100" xr:uid="{00000000-0005-0000-0000-000070690000}"/>
    <cellStyle name="40% - Accent3 3 3 2 2 4 2 3" xfId="32799" xr:uid="{00000000-0005-0000-0000-000071690000}"/>
    <cellStyle name="40% - Accent3 3 3 2 2 4 3" xfId="15848" xr:uid="{00000000-0005-0000-0000-000072690000}"/>
    <cellStyle name="40% - Accent3 3 3 2 2 4 3 2" xfId="38450" xr:uid="{00000000-0005-0000-0000-000073690000}"/>
    <cellStyle name="40% - Accent3 3 3 2 2 4 4" xfId="27149" xr:uid="{00000000-0005-0000-0000-000074690000}"/>
    <cellStyle name="40% - Accent3 3 3 2 2 5" xfId="7343" xr:uid="{00000000-0005-0000-0000-000075690000}"/>
    <cellStyle name="40% - Accent3 3 3 2 2 5 2" xfId="18644" xr:uid="{00000000-0005-0000-0000-000076690000}"/>
    <cellStyle name="40% - Accent3 3 3 2 2 5 2 2" xfId="41246" xr:uid="{00000000-0005-0000-0000-000077690000}"/>
    <cellStyle name="40% - Accent3 3 3 2 2 5 3" xfId="29945" xr:uid="{00000000-0005-0000-0000-000078690000}"/>
    <cellStyle name="40% - Accent3 3 3 2 2 6" xfId="12994" xr:uid="{00000000-0005-0000-0000-000079690000}"/>
    <cellStyle name="40% - Accent3 3 3 2 2 6 2" xfId="35596" xr:uid="{00000000-0005-0000-0000-00007A690000}"/>
    <cellStyle name="40% - Accent3 3 3 2 2 7" xfId="24295" xr:uid="{00000000-0005-0000-0000-00007B690000}"/>
    <cellStyle name="40% - Accent3 3 3 2 3" xfId="1062" xr:uid="{00000000-0005-0000-0000-00007C690000}"/>
    <cellStyle name="40% - Accent3 3 3 2 3 2" xfId="3125" xr:uid="{00000000-0005-0000-0000-00007D690000}"/>
    <cellStyle name="40% - Accent3 3 3 2 3 2 2" xfId="6097" xr:uid="{00000000-0005-0000-0000-00007E690000}"/>
    <cellStyle name="40% - Accent3 3 3 2 3 2 2 2" xfId="11747" xr:uid="{00000000-0005-0000-0000-00007F690000}"/>
    <cellStyle name="40% - Accent3 3 3 2 3 2 2 2 2" xfId="23048" xr:uid="{00000000-0005-0000-0000-000080690000}"/>
    <cellStyle name="40% - Accent3 3 3 2 3 2 2 2 2 2" xfId="45650" xr:uid="{00000000-0005-0000-0000-000081690000}"/>
    <cellStyle name="40% - Accent3 3 3 2 3 2 2 2 3" xfId="34349" xr:uid="{00000000-0005-0000-0000-000082690000}"/>
    <cellStyle name="40% - Accent3 3 3 2 3 2 2 3" xfId="17398" xr:uid="{00000000-0005-0000-0000-000083690000}"/>
    <cellStyle name="40% - Accent3 3 3 2 3 2 2 3 2" xfId="40000" xr:uid="{00000000-0005-0000-0000-000084690000}"/>
    <cellStyle name="40% - Accent3 3 3 2 3 2 2 4" xfId="28699" xr:uid="{00000000-0005-0000-0000-000085690000}"/>
    <cellStyle name="40% - Accent3 3 3 2 3 2 3" xfId="8915" xr:uid="{00000000-0005-0000-0000-000086690000}"/>
    <cellStyle name="40% - Accent3 3 3 2 3 2 3 2" xfId="20216" xr:uid="{00000000-0005-0000-0000-000087690000}"/>
    <cellStyle name="40% - Accent3 3 3 2 3 2 3 2 2" xfId="42818" xr:uid="{00000000-0005-0000-0000-000088690000}"/>
    <cellStyle name="40% - Accent3 3 3 2 3 2 3 3" xfId="31517" xr:uid="{00000000-0005-0000-0000-000089690000}"/>
    <cellStyle name="40% - Accent3 3 3 2 3 2 4" xfId="14566" xr:uid="{00000000-0005-0000-0000-00008A690000}"/>
    <cellStyle name="40% - Accent3 3 3 2 3 2 4 2" xfId="37168" xr:uid="{00000000-0005-0000-0000-00008B690000}"/>
    <cellStyle name="40% - Accent3 3 3 2 3 2 5" xfId="25867" xr:uid="{00000000-0005-0000-0000-00008C690000}"/>
    <cellStyle name="40% - Accent3 3 3 2 3 3" xfId="4863" xr:uid="{00000000-0005-0000-0000-00008D690000}"/>
    <cellStyle name="40% - Accent3 3 3 2 3 3 2" xfId="10513" xr:uid="{00000000-0005-0000-0000-00008E690000}"/>
    <cellStyle name="40% - Accent3 3 3 2 3 3 2 2" xfId="21814" xr:uid="{00000000-0005-0000-0000-00008F690000}"/>
    <cellStyle name="40% - Accent3 3 3 2 3 3 2 2 2" xfId="44416" xr:uid="{00000000-0005-0000-0000-000090690000}"/>
    <cellStyle name="40% - Accent3 3 3 2 3 3 2 3" xfId="33115" xr:uid="{00000000-0005-0000-0000-000091690000}"/>
    <cellStyle name="40% - Accent3 3 3 2 3 3 3" xfId="16164" xr:uid="{00000000-0005-0000-0000-000092690000}"/>
    <cellStyle name="40% - Accent3 3 3 2 3 3 3 2" xfId="38766" xr:uid="{00000000-0005-0000-0000-000093690000}"/>
    <cellStyle name="40% - Accent3 3 3 2 3 3 4" xfId="27465" xr:uid="{00000000-0005-0000-0000-000094690000}"/>
    <cellStyle name="40% - Accent3 3 3 2 3 4" xfId="7050" xr:uid="{00000000-0005-0000-0000-000095690000}"/>
    <cellStyle name="40% - Accent3 3 3 2 3 4 2" xfId="18351" xr:uid="{00000000-0005-0000-0000-000096690000}"/>
    <cellStyle name="40% - Accent3 3 3 2 3 4 2 2" xfId="40953" xr:uid="{00000000-0005-0000-0000-000097690000}"/>
    <cellStyle name="40% - Accent3 3 3 2 3 4 3" xfId="29652" xr:uid="{00000000-0005-0000-0000-000098690000}"/>
    <cellStyle name="40% - Accent3 3 3 2 3 5" xfId="12701" xr:uid="{00000000-0005-0000-0000-000099690000}"/>
    <cellStyle name="40% - Accent3 3 3 2 3 5 2" xfId="35303" xr:uid="{00000000-0005-0000-0000-00009A690000}"/>
    <cellStyle name="40% - Accent3 3 3 2 3 6" xfId="24002" xr:uid="{00000000-0005-0000-0000-00009B690000}"/>
    <cellStyle name="40% - Accent3 3 3 2 4" xfId="1908" xr:uid="{00000000-0005-0000-0000-00009C690000}"/>
    <cellStyle name="40% - Accent3 3 3 2 4 2" xfId="3754" xr:uid="{00000000-0005-0000-0000-00009D690000}"/>
    <cellStyle name="40% - Accent3 3 3 2 4 2 2" xfId="9464" xr:uid="{00000000-0005-0000-0000-00009E690000}"/>
    <cellStyle name="40% - Accent3 3 3 2 4 2 2 2" xfId="20765" xr:uid="{00000000-0005-0000-0000-00009F690000}"/>
    <cellStyle name="40% - Accent3 3 3 2 4 2 2 2 2" xfId="43367" xr:uid="{00000000-0005-0000-0000-0000A0690000}"/>
    <cellStyle name="40% - Accent3 3 3 2 4 2 2 3" xfId="32066" xr:uid="{00000000-0005-0000-0000-0000A1690000}"/>
    <cellStyle name="40% - Accent3 3 3 2 4 2 3" xfId="15115" xr:uid="{00000000-0005-0000-0000-0000A2690000}"/>
    <cellStyle name="40% - Accent3 3 3 2 4 2 3 2" xfId="37717" xr:uid="{00000000-0005-0000-0000-0000A3690000}"/>
    <cellStyle name="40% - Accent3 3 3 2 4 2 4" xfId="26416" xr:uid="{00000000-0005-0000-0000-0000A4690000}"/>
    <cellStyle name="40% - Accent3 3 3 2 4 3" xfId="5473" xr:uid="{00000000-0005-0000-0000-0000A5690000}"/>
    <cellStyle name="40% - Accent3 3 3 2 4 3 2" xfId="11123" xr:uid="{00000000-0005-0000-0000-0000A6690000}"/>
    <cellStyle name="40% - Accent3 3 3 2 4 3 2 2" xfId="22424" xr:uid="{00000000-0005-0000-0000-0000A7690000}"/>
    <cellStyle name="40% - Accent3 3 3 2 4 3 2 2 2" xfId="45026" xr:uid="{00000000-0005-0000-0000-0000A8690000}"/>
    <cellStyle name="40% - Accent3 3 3 2 4 3 2 3" xfId="33725" xr:uid="{00000000-0005-0000-0000-0000A9690000}"/>
    <cellStyle name="40% - Accent3 3 3 2 4 3 3" xfId="16774" xr:uid="{00000000-0005-0000-0000-0000AA690000}"/>
    <cellStyle name="40% - Accent3 3 3 2 4 3 3 2" xfId="39376" xr:uid="{00000000-0005-0000-0000-0000AB690000}"/>
    <cellStyle name="40% - Accent3 3 3 2 4 3 4" xfId="28075" xr:uid="{00000000-0005-0000-0000-0000AC690000}"/>
    <cellStyle name="40% - Accent3 3 3 2 4 4" xfId="7764" xr:uid="{00000000-0005-0000-0000-0000AD690000}"/>
    <cellStyle name="40% - Accent3 3 3 2 4 4 2" xfId="19065" xr:uid="{00000000-0005-0000-0000-0000AE690000}"/>
    <cellStyle name="40% - Accent3 3 3 2 4 4 2 2" xfId="41667" xr:uid="{00000000-0005-0000-0000-0000AF690000}"/>
    <cellStyle name="40% - Accent3 3 3 2 4 4 3" xfId="30366" xr:uid="{00000000-0005-0000-0000-0000B0690000}"/>
    <cellStyle name="40% - Accent3 3 3 2 4 5" xfId="13415" xr:uid="{00000000-0005-0000-0000-0000B1690000}"/>
    <cellStyle name="40% - Accent3 3 3 2 4 5 2" xfId="36017" xr:uid="{00000000-0005-0000-0000-0000B2690000}"/>
    <cellStyle name="40% - Accent3 3 3 2 4 6" xfId="24716" xr:uid="{00000000-0005-0000-0000-0000B3690000}"/>
    <cellStyle name="40% - Accent3 3 3 2 5" xfId="2454" xr:uid="{00000000-0005-0000-0000-0000B4690000}"/>
    <cellStyle name="40% - Accent3 3 3 2 5 2" xfId="8290" xr:uid="{00000000-0005-0000-0000-0000B5690000}"/>
    <cellStyle name="40% - Accent3 3 3 2 5 2 2" xfId="19591" xr:uid="{00000000-0005-0000-0000-0000B6690000}"/>
    <cellStyle name="40% - Accent3 3 3 2 5 2 2 2" xfId="42193" xr:uid="{00000000-0005-0000-0000-0000B7690000}"/>
    <cellStyle name="40% - Accent3 3 3 2 5 2 3" xfId="30892" xr:uid="{00000000-0005-0000-0000-0000B8690000}"/>
    <cellStyle name="40% - Accent3 3 3 2 5 3" xfId="13941" xr:uid="{00000000-0005-0000-0000-0000B9690000}"/>
    <cellStyle name="40% - Accent3 3 3 2 5 3 2" xfId="36543" xr:uid="{00000000-0005-0000-0000-0000BA690000}"/>
    <cellStyle name="40% - Accent3 3 3 2 5 4" xfId="25242" xr:uid="{00000000-0005-0000-0000-0000BB690000}"/>
    <cellStyle name="40% - Accent3 3 3 2 6" xfId="4239" xr:uid="{00000000-0005-0000-0000-0000BC690000}"/>
    <cellStyle name="40% - Accent3 3 3 2 6 2" xfId="9889" xr:uid="{00000000-0005-0000-0000-0000BD690000}"/>
    <cellStyle name="40% - Accent3 3 3 2 6 2 2" xfId="21190" xr:uid="{00000000-0005-0000-0000-0000BE690000}"/>
    <cellStyle name="40% - Accent3 3 3 2 6 2 2 2" xfId="43792" xr:uid="{00000000-0005-0000-0000-0000BF690000}"/>
    <cellStyle name="40% - Accent3 3 3 2 6 2 3" xfId="32491" xr:uid="{00000000-0005-0000-0000-0000C0690000}"/>
    <cellStyle name="40% - Accent3 3 3 2 6 3" xfId="15540" xr:uid="{00000000-0005-0000-0000-0000C1690000}"/>
    <cellStyle name="40% - Accent3 3 3 2 6 3 2" xfId="38142" xr:uid="{00000000-0005-0000-0000-0000C2690000}"/>
    <cellStyle name="40% - Accent3 3 3 2 6 4" xfId="26841" xr:uid="{00000000-0005-0000-0000-0000C3690000}"/>
    <cellStyle name="40% - Accent3 3 3 2 7" xfId="6719" xr:uid="{00000000-0005-0000-0000-0000C4690000}"/>
    <cellStyle name="40% - Accent3 3 3 2 7 2" xfId="18020" xr:uid="{00000000-0005-0000-0000-0000C5690000}"/>
    <cellStyle name="40% - Accent3 3 3 2 7 2 2" xfId="40622" xr:uid="{00000000-0005-0000-0000-0000C6690000}"/>
    <cellStyle name="40% - Accent3 3 3 2 7 3" xfId="29321" xr:uid="{00000000-0005-0000-0000-0000C7690000}"/>
    <cellStyle name="40% - Accent3 3 3 2 8" xfId="12370" xr:uid="{00000000-0005-0000-0000-0000C8690000}"/>
    <cellStyle name="40% - Accent3 3 3 2 8 2" xfId="34972" xr:uid="{00000000-0005-0000-0000-0000C9690000}"/>
    <cellStyle name="40% - Accent3 3 3 2 9" xfId="23671" xr:uid="{00000000-0005-0000-0000-0000CA690000}"/>
    <cellStyle name="40% - Accent3 3 3 3" xfId="1226" xr:uid="{00000000-0005-0000-0000-0000CB690000}"/>
    <cellStyle name="40% - Accent3 3 3 3 2" xfId="1910" xr:uid="{00000000-0005-0000-0000-0000CC690000}"/>
    <cellStyle name="40% - Accent3 3 3 3 2 2" xfId="3294" xr:uid="{00000000-0005-0000-0000-0000CD690000}"/>
    <cellStyle name="40% - Accent3 3 3 3 2 2 2" xfId="6266" xr:uid="{00000000-0005-0000-0000-0000CE690000}"/>
    <cellStyle name="40% - Accent3 3 3 3 2 2 2 2" xfId="11916" xr:uid="{00000000-0005-0000-0000-0000CF690000}"/>
    <cellStyle name="40% - Accent3 3 3 3 2 2 2 2 2" xfId="23217" xr:uid="{00000000-0005-0000-0000-0000D0690000}"/>
    <cellStyle name="40% - Accent3 3 3 3 2 2 2 2 2 2" xfId="45819" xr:uid="{00000000-0005-0000-0000-0000D1690000}"/>
    <cellStyle name="40% - Accent3 3 3 3 2 2 2 2 3" xfId="34518" xr:uid="{00000000-0005-0000-0000-0000D2690000}"/>
    <cellStyle name="40% - Accent3 3 3 3 2 2 2 3" xfId="17567" xr:uid="{00000000-0005-0000-0000-0000D3690000}"/>
    <cellStyle name="40% - Accent3 3 3 3 2 2 2 3 2" xfId="40169" xr:uid="{00000000-0005-0000-0000-0000D4690000}"/>
    <cellStyle name="40% - Accent3 3 3 3 2 2 2 4" xfId="28868" xr:uid="{00000000-0005-0000-0000-0000D5690000}"/>
    <cellStyle name="40% - Accent3 3 3 3 2 2 3" xfId="9084" xr:uid="{00000000-0005-0000-0000-0000D6690000}"/>
    <cellStyle name="40% - Accent3 3 3 3 2 2 3 2" xfId="20385" xr:uid="{00000000-0005-0000-0000-0000D7690000}"/>
    <cellStyle name="40% - Accent3 3 3 3 2 2 3 2 2" xfId="42987" xr:uid="{00000000-0005-0000-0000-0000D8690000}"/>
    <cellStyle name="40% - Accent3 3 3 3 2 2 3 3" xfId="31686" xr:uid="{00000000-0005-0000-0000-0000D9690000}"/>
    <cellStyle name="40% - Accent3 3 3 3 2 2 4" xfId="14735" xr:uid="{00000000-0005-0000-0000-0000DA690000}"/>
    <cellStyle name="40% - Accent3 3 3 3 2 2 4 2" xfId="37337" xr:uid="{00000000-0005-0000-0000-0000DB690000}"/>
    <cellStyle name="40% - Accent3 3 3 3 2 2 5" xfId="26036" xr:uid="{00000000-0005-0000-0000-0000DC690000}"/>
    <cellStyle name="40% - Accent3 3 3 3 2 3" xfId="5032" xr:uid="{00000000-0005-0000-0000-0000DD690000}"/>
    <cellStyle name="40% - Accent3 3 3 3 2 3 2" xfId="10682" xr:uid="{00000000-0005-0000-0000-0000DE690000}"/>
    <cellStyle name="40% - Accent3 3 3 3 2 3 2 2" xfId="21983" xr:uid="{00000000-0005-0000-0000-0000DF690000}"/>
    <cellStyle name="40% - Accent3 3 3 3 2 3 2 2 2" xfId="44585" xr:uid="{00000000-0005-0000-0000-0000E0690000}"/>
    <cellStyle name="40% - Accent3 3 3 3 2 3 2 3" xfId="33284" xr:uid="{00000000-0005-0000-0000-0000E1690000}"/>
    <cellStyle name="40% - Accent3 3 3 3 2 3 3" xfId="16333" xr:uid="{00000000-0005-0000-0000-0000E2690000}"/>
    <cellStyle name="40% - Accent3 3 3 3 2 3 3 2" xfId="38935" xr:uid="{00000000-0005-0000-0000-0000E3690000}"/>
    <cellStyle name="40% - Accent3 3 3 3 2 3 4" xfId="27634" xr:uid="{00000000-0005-0000-0000-0000E4690000}"/>
    <cellStyle name="40% - Accent3 3 3 3 2 4" xfId="7766" xr:uid="{00000000-0005-0000-0000-0000E5690000}"/>
    <cellStyle name="40% - Accent3 3 3 3 2 4 2" xfId="19067" xr:uid="{00000000-0005-0000-0000-0000E6690000}"/>
    <cellStyle name="40% - Accent3 3 3 3 2 4 2 2" xfId="41669" xr:uid="{00000000-0005-0000-0000-0000E7690000}"/>
    <cellStyle name="40% - Accent3 3 3 3 2 4 3" xfId="30368" xr:uid="{00000000-0005-0000-0000-0000E8690000}"/>
    <cellStyle name="40% - Accent3 3 3 3 2 5" xfId="13417" xr:uid="{00000000-0005-0000-0000-0000E9690000}"/>
    <cellStyle name="40% - Accent3 3 3 3 2 5 2" xfId="36019" xr:uid="{00000000-0005-0000-0000-0000EA690000}"/>
    <cellStyle name="40% - Accent3 3 3 3 2 6" xfId="24718" xr:uid="{00000000-0005-0000-0000-0000EB690000}"/>
    <cellStyle name="40% - Accent3 3 3 3 3" xfId="2623" xr:uid="{00000000-0005-0000-0000-0000EC690000}"/>
    <cellStyle name="40% - Accent3 3 3 3 3 2" xfId="5642" xr:uid="{00000000-0005-0000-0000-0000ED690000}"/>
    <cellStyle name="40% - Accent3 3 3 3 3 2 2" xfId="11292" xr:uid="{00000000-0005-0000-0000-0000EE690000}"/>
    <cellStyle name="40% - Accent3 3 3 3 3 2 2 2" xfId="22593" xr:uid="{00000000-0005-0000-0000-0000EF690000}"/>
    <cellStyle name="40% - Accent3 3 3 3 3 2 2 2 2" xfId="45195" xr:uid="{00000000-0005-0000-0000-0000F0690000}"/>
    <cellStyle name="40% - Accent3 3 3 3 3 2 2 3" xfId="33894" xr:uid="{00000000-0005-0000-0000-0000F1690000}"/>
    <cellStyle name="40% - Accent3 3 3 3 3 2 3" xfId="16943" xr:uid="{00000000-0005-0000-0000-0000F2690000}"/>
    <cellStyle name="40% - Accent3 3 3 3 3 2 3 2" xfId="39545" xr:uid="{00000000-0005-0000-0000-0000F3690000}"/>
    <cellStyle name="40% - Accent3 3 3 3 3 2 4" xfId="28244" xr:uid="{00000000-0005-0000-0000-0000F4690000}"/>
    <cellStyle name="40% - Accent3 3 3 3 3 3" xfId="8459" xr:uid="{00000000-0005-0000-0000-0000F5690000}"/>
    <cellStyle name="40% - Accent3 3 3 3 3 3 2" xfId="19760" xr:uid="{00000000-0005-0000-0000-0000F6690000}"/>
    <cellStyle name="40% - Accent3 3 3 3 3 3 2 2" xfId="42362" xr:uid="{00000000-0005-0000-0000-0000F7690000}"/>
    <cellStyle name="40% - Accent3 3 3 3 3 3 3" xfId="31061" xr:uid="{00000000-0005-0000-0000-0000F8690000}"/>
    <cellStyle name="40% - Accent3 3 3 3 3 4" xfId="14110" xr:uid="{00000000-0005-0000-0000-0000F9690000}"/>
    <cellStyle name="40% - Accent3 3 3 3 3 4 2" xfId="36712" xr:uid="{00000000-0005-0000-0000-0000FA690000}"/>
    <cellStyle name="40% - Accent3 3 3 3 3 5" xfId="25411" xr:uid="{00000000-0005-0000-0000-0000FB690000}"/>
    <cellStyle name="40% - Accent3 3 3 3 4" xfId="4408" xr:uid="{00000000-0005-0000-0000-0000FC690000}"/>
    <cellStyle name="40% - Accent3 3 3 3 4 2" xfId="10058" xr:uid="{00000000-0005-0000-0000-0000FD690000}"/>
    <cellStyle name="40% - Accent3 3 3 3 4 2 2" xfId="21359" xr:uid="{00000000-0005-0000-0000-0000FE690000}"/>
    <cellStyle name="40% - Accent3 3 3 3 4 2 2 2" xfId="43961" xr:uid="{00000000-0005-0000-0000-0000FF690000}"/>
    <cellStyle name="40% - Accent3 3 3 3 4 2 3" xfId="32660" xr:uid="{00000000-0005-0000-0000-0000006A0000}"/>
    <cellStyle name="40% - Accent3 3 3 3 4 3" xfId="15709" xr:uid="{00000000-0005-0000-0000-0000016A0000}"/>
    <cellStyle name="40% - Accent3 3 3 3 4 3 2" xfId="38311" xr:uid="{00000000-0005-0000-0000-0000026A0000}"/>
    <cellStyle name="40% - Accent3 3 3 3 4 4" xfId="27010" xr:uid="{00000000-0005-0000-0000-0000036A0000}"/>
    <cellStyle name="40% - Accent3 3 3 3 5" xfId="7205" xr:uid="{00000000-0005-0000-0000-0000046A0000}"/>
    <cellStyle name="40% - Accent3 3 3 3 5 2" xfId="18506" xr:uid="{00000000-0005-0000-0000-0000056A0000}"/>
    <cellStyle name="40% - Accent3 3 3 3 5 2 2" xfId="41108" xr:uid="{00000000-0005-0000-0000-0000066A0000}"/>
    <cellStyle name="40% - Accent3 3 3 3 5 3" xfId="29807" xr:uid="{00000000-0005-0000-0000-0000076A0000}"/>
    <cellStyle name="40% - Accent3 3 3 3 6" xfId="12856" xr:uid="{00000000-0005-0000-0000-0000086A0000}"/>
    <cellStyle name="40% - Accent3 3 3 3 6 2" xfId="35458" xr:uid="{00000000-0005-0000-0000-0000096A0000}"/>
    <cellStyle name="40% - Accent3 3 3 3 7" xfId="24157" xr:uid="{00000000-0005-0000-0000-00000A6A0000}"/>
    <cellStyle name="40% - Accent3 3 3 4" xfId="917" xr:uid="{00000000-0005-0000-0000-00000B6A0000}"/>
    <cellStyle name="40% - Accent3 3 3 4 2" xfId="2987" xr:uid="{00000000-0005-0000-0000-00000C6A0000}"/>
    <cellStyle name="40% - Accent3 3 3 4 2 2" xfId="5959" xr:uid="{00000000-0005-0000-0000-00000D6A0000}"/>
    <cellStyle name="40% - Accent3 3 3 4 2 2 2" xfId="11609" xr:uid="{00000000-0005-0000-0000-00000E6A0000}"/>
    <cellStyle name="40% - Accent3 3 3 4 2 2 2 2" xfId="22910" xr:uid="{00000000-0005-0000-0000-00000F6A0000}"/>
    <cellStyle name="40% - Accent3 3 3 4 2 2 2 2 2" xfId="45512" xr:uid="{00000000-0005-0000-0000-0000106A0000}"/>
    <cellStyle name="40% - Accent3 3 3 4 2 2 2 3" xfId="34211" xr:uid="{00000000-0005-0000-0000-0000116A0000}"/>
    <cellStyle name="40% - Accent3 3 3 4 2 2 3" xfId="17260" xr:uid="{00000000-0005-0000-0000-0000126A0000}"/>
    <cellStyle name="40% - Accent3 3 3 4 2 2 3 2" xfId="39862" xr:uid="{00000000-0005-0000-0000-0000136A0000}"/>
    <cellStyle name="40% - Accent3 3 3 4 2 2 4" xfId="28561" xr:uid="{00000000-0005-0000-0000-0000146A0000}"/>
    <cellStyle name="40% - Accent3 3 3 4 2 3" xfId="8777" xr:uid="{00000000-0005-0000-0000-0000156A0000}"/>
    <cellStyle name="40% - Accent3 3 3 4 2 3 2" xfId="20078" xr:uid="{00000000-0005-0000-0000-0000166A0000}"/>
    <cellStyle name="40% - Accent3 3 3 4 2 3 2 2" xfId="42680" xr:uid="{00000000-0005-0000-0000-0000176A0000}"/>
    <cellStyle name="40% - Accent3 3 3 4 2 3 3" xfId="31379" xr:uid="{00000000-0005-0000-0000-0000186A0000}"/>
    <cellStyle name="40% - Accent3 3 3 4 2 4" xfId="14428" xr:uid="{00000000-0005-0000-0000-0000196A0000}"/>
    <cellStyle name="40% - Accent3 3 3 4 2 4 2" xfId="37030" xr:uid="{00000000-0005-0000-0000-00001A6A0000}"/>
    <cellStyle name="40% - Accent3 3 3 4 2 5" xfId="25729" xr:uid="{00000000-0005-0000-0000-00001B6A0000}"/>
    <cellStyle name="40% - Accent3 3 3 4 3" xfId="4725" xr:uid="{00000000-0005-0000-0000-00001C6A0000}"/>
    <cellStyle name="40% - Accent3 3 3 4 3 2" xfId="10375" xr:uid="{00000000-0005-0000-0000-00001D6A0000}"/>
    <cellStyle name="40% - Accent3 3 3 4 3 2 2" xfId="21676" xr:uid="{00000000-0005-0000-0000-00001E6A0000}"/>
    <cellStyle name="40% - Accent3 3 3 4 3 2 2 2" xfId="44278" xr:uid="{00000000-0005-0000-0000-00001F6A0000}"/>
    <cellStyle name="40% - Accent3 3 3 4 3 2 3" xfId="32977" xr:uid="{00000000-0005-0000-0000-0000206A0000}"/>
    <cellStyle name="40% - Accent3 3 3 4 3 3" xfId="16026" xr:uid="{00000000-0005-0000-0000-0000216A0000}"/>
    <cellStyle name="40% - Accent3 3 3 4 3 3 2" xfId="38628" xr:uid="{00000000-0005-0000-0000-0000226A0000}"/>
    <cellStyle name="40% - Accent3 3 3 4 3 4" xfId="27327" xr:uid="{00000000-0005-0000-0000-0000236A0000}"/>
    <cellStyle name="40% - Accent3 3 3 4 4" xfId="6912" xr:uid="{00000000-0005-0000-0000-0000246A0000}"/>
    <cellStyle name="40% - Accent3 3 3 4 4 2" xfId="18213" xr:uid="{00000000-0005-0000-0000-0000256A0000}"/>
    <cellStyle name="40% - Accent3 3 3 4 4 2 2" xfId="40815" xr:uid="{00000000-0005-0000-0000-0000266A0000}"/>
    <cellStyle name="40% - Accent3 3 3 4 4 3" xfId="29514" xr:uid="{00000000-0005-0000-0000-0000276A0000}"/>
    <cellStyle name="40% - Accent3 3 3 4 5" xfId="12563" xr:uid="{00000000-0005-0000-0000-0000286A0000}"/>
    <cellStyle name="40% - Accent3 3 3 4 5 2" xfId="35165" xr:uid="{00000000-0005-0000-0000-0000296A0000}"/>
    <cellStyle name="40% - Accent3 3 3 4 6" xfId="23864" xr:uid="{00000000-0005-0000-0000-00002A6A0000}"/>
    <cellStyle name="40% - Accent3 3 3 5" xfId="1907" xr:uid="{00000000-0005-0000-0000-00002B6A0000}"/>
    <cellStyle name="40% - Accent3 3 3 5 2" xfId="3753" xr:uid="{00000000-0005-0000-0000-00002C6A0000}"/>
    <cellStyle name="40% - Accent3 3 3 5 2 2" xfId="9463" xr:uid="{00000000-0005-0000-0000-00002D6A0000}"/>
    <cellStyle name="40% - Accent3 3 3 5 2 2 2" xfId="20764" xr:uid="{00000000-0005-0000-0000-00002E6A0000}"/>
    <cellStyle name="40% - Accent3 3 3 5 2 2 2 2" xfId="43366" xr:uid="{00000000-0005-0000-0000-00002F6A0000}"/>
    <cellStyle name="40% - Accent3 3 3 5 2 2 3" xfId="32065" xr:uid="{00000000-0005-0000-0000-0000306A0000}"/>
    <cellStyle name="40% - Accent3 3 3 5 2 3" xfId="15114" xr:uid="{00000000-0005-0000-0000-0000316A0000}"/>
    <cellStyle name="40% - Accent3 3 3 5 2 3 2" xfId="37716" xr:uid="{00000000-0005-0000-0000-0000326A0000}"/>
    <cellStyle name="40% - Accent3 3 3 5 2 4" xfId="26415" xr:uid="{00000000-0005-0000-0000-0000336A0000}"/>
    <cellStyle name="40% - Accent3 3 3 5 3" xfId="5335" xr:uid="{00000000-0005-0000-0000-0000346A0000}"/>
    <cellStyle name="40% - Accent3 3 3 5 3 2" xfId="10985" xr:uid="{00000000-0005-0000-0000-0000356A0000}"/>
    <cellStyle name="40% - Accent3 3 3 5 3 2 2" xfId="22286" xr:uid="{00000000-0005-0000-0000-0000366A0000}"/>
    <cellStyle name="40% - Accent3 3 3 5 3 2 2 2" xfId="44888" xr:uid="{00000000-0005-0000-0000-0000376A0000}"/>
    <cellStyle name="40% - Accent3 3 3 5 3 2 3" xfId="33587" xr:uid="{00000000-0005-0000-0000-0000386A0000}"/>
    <cellStyle name="40% - Accent3 3 3 5 3 3" xfId="16636" xr:uid="{00000000-0005-0000-0000-0000396A0000}"/>
    <cellStyle name="40% - Accent3 3 3 5 3 3 2" xfId="39238" xr:uid="{00000000-0005-0000-0000-00003A6A0000}"/>
    <cellStyle name="40% - Accent3 3 3 5 3 4" xfId="27937" xr:uid="{00000000-0005-0000-0000-00003B6A0000}"/>
    <cellStyle name="40% - Accent3 3 3 5 4" xfId="7763" xr:uid="{00000000-0005-0000-0000-00003C6A0000}"/>
    <cellStyle name="40% - Accent3 3 3 5 4 2" xfId="19064" xr:uid="{00000000-0005-0000-0000-00003D6A0000}"/>
    <cellStyle name="40% - Accent3 3 3 5 4 2 2" xfId="41666" xr:uid="{00000000-0005-0000-0000-00003E6A0000}"/>
    <cellStyle name="40% - Accent3 3 3 5 4 3" xfId="30365" xr:uid="{00000000-0005-0000-0000-00003F6A0000}"/>
    <cellStyle name="40% - Accent3 3 3 5 5" xfId="13414" xr:uid="{00000000-0005-0000-0000-0000406A0000}"/>
    <cellStyle name="40% - Accent3 3 3 5 5 2" xfId="36016" xr:uid="{00000000-0005-0000-0000-0000416A0000}"/>
    <cellStyle name="40% - Accent3 3 3 5 6" xfId="24715" xr:uid="{00000000-0005-0000-0000-0000426A0000}"/>
    <cellStyle name="40% - Accent3 3 3 6" xfId="2314" xr:uid="{00000000-0005-0000-0000-0000436A0000}"/>
    <cellStyle name="40% - Accent3 3 3 6 2" xfId="8150" xr:uid="{00000000-0005-0000-0000-0000446A0000}"/>
    <cellStyle name="40% - Accent3 3 3 6 2 2" xfId="19451" xr:uid="{00000000-0005-0000-0000-0000456A0000}"/>
    <cellStyle name="40% - Accent3 3 3 6 2 2 2" xfId="42053" xr:uid="{00000000-0005-0000-0000-0000466A0000}"/>
    <cellStyle name="40% - Accent3 3 3 6 2 3" xfId="30752" xr:uid="{00000000-0005-0000-0000-0000476A0000}"/>
    <cellStyle name="40% - Accent3 3 3 6 3" xfId="13801" xr:uid="{00000000-0005-0000-0000-0000486A0000}"/>
    <cellStyle name="40% - Accent3 3 3 6 3 2" xfId="36403" xr:uid="{00000000-0005-0000-0000-0000496A0000}"/>
    <cellStyle name="40% - Accent3 3 3 6 4" xfId="25102" xr:uid="{00000000-0005-0000-0000-00004A6A0000}"/>
    <cellStyle name="40% - Accent3 3 3 7" xfId="4101" xr:uid="{00000000-0005-0000-0000-00004B6A0000}"/>
    <cellStyle name="40% - Accent3 3 3 7 2" xfId="9751" xr:uid="{00000000-0005-0000-0000-00004C6A0000}"/>
    <cellStyle name="40% - Accent3 3 3 7 2 2" xfId="21052" xr:uid="{00000000-0005-0000-0000-00004D6A0000}"/>
    <cellStyle name="40% - Accent3 3 3 7 2 2 2" xfId="43654" xr:uid="{00000000-0005-0000-0000-00004E6A0000}"/>
    <cellStyle name="40% - Accent3 3 3 7 2 3" xfId="32353" xr:uid="{00000000-0005-0000-0000-00004F6A0000}"/>
    <cellStyle name="40% - Accent3 3 3 7 3" xfId="15402" xr:uid="{00000000-0005-0000-0000-0000506A0000}"/>
    <cellStyle name="40% - Accent3 3 3 7 3 2" xfId="38004" xr:uid="{00000000-0005-0000-0000-0000516A0000}"/>
    <cellStyle name="40% - Accent3 3 3 7 4" xfId="26703" xr:uid="{00000000-0005-0000-0000-0000526A0000}"/>
    <cellStyle name="40% - Accent3 3 3 8" xfId="6552" xr:uid="{00000000-0005-0000-0000-0000536A0000}"/>
    <cellStyle name="40% - Accent3 3 3 8 2" xfId="17853" xr:uid="{00000000-0005-0000-0000-0000546A0000}"/>
    <cellStyle name="40% - Accent3 3 3 8 2 2" xfId="40455" xr:uid="{00000000-0005-0000-0000-0000556A0000}"/>
    <cellStyle name="40% - Accent3 3 3 8 3" xfId="29154" xr:uid="{00000000-0005-0000-0000-0000566A0000}"/>
    <cellStyle name="40% - Accent3 3 3 9" xfId="12203" xr:uid="{00000000-0005-0000-0000-0000576A0000}"/>
    <cellStyle name="40% - Accent3 3 3 9 2" xfId="34805" xr:uid="{00000000-0005-0000-0000-0000586A0000}"/>
    <cellStyle name="40% - Accent3 3 4" xfId="549" xr:uid="{00000000-0005-0000-0000-0000596A0000}"/>
    <cellStyle name="40% - Accent3 3 4 2" xfId="1130" xr:uid="{00000000-0005-0000-0000-00005A6A0000}"/>
    <cellStyle name="40% - Accent3 3 4 2 2" xfId="1912" xr:uid="{00000000-0005-0000-0000-00005B6A0000}"/>
    <cellStyle name="40% - Accent3 3 4 2 2 2" xfId="3197" xr:uid="{00000000-0005-0000-0000-00005C6A0000}"/>
    <cellStyle name="40% - Accent3 3 4 2 2 2 2" xfId="6169" xr:uid="{00000000-0005-0000-0000-00005D6A0000}"/>
    <cellStyle name="40% - Accent3 3 4 2 2 2 2 2" xfId="11819" xr:uid="{00000000-0005-0000-0000-00005E6A0000}"/>
    <cellStyle name="40% - Accent3 3 4 2 2 2 2 2 2" xfId="23120" xr:uid="{00000000-0005-0000-0000-00005F6A0000}"/>
    <cellStyle name="40% - Accent3 3 4 2 2 2 2 2 2 2" xfId="45722" xr:uid="{00000000-0005-0000-0000-0000606A0000}"/>
    <cellStyle name="40% - Accent3 3 4 2 2 2 2 2 3" xfId="34421" xr:uid="{00000000-0005-0000-0000-0000616A0000}"/>
    <cellStyle name="40% - Accent3 3 4 2 2 2 2 3" xfId="17470" xr:uid="{00000000-0005-0000-0000-0000626A0000}"/>
    <cellStyle name="40% - Accent3 3 4 2 2 2 2 3 2" xfId="40072" xr:uid="{00000000-0005-0000-0000-0000636A0000}"/>
    <cellStyle name="40% - Accent3 3 4 2 2 2 2 4" xfId="28771" xr:uid="{00000000-0005-0000-0000-0000646A0000}"/>
    <cellStyle name="40% - Accent3 3 4 2 2 2 3" xfId="8987" xr:uid="{00000000-0005-0000-0000-0000656A0000}"/>
    <cellStyle name="40% - Accent3 3 4 2 2 2 3 2" xfId="20288" xr:uid="{00000000-0005-0000-0000-0000666A0000}"/>
    <cellStyle name="40% - Accent3 3 4 2 2 2 3 2 2" xfId="42890" xr:uid="{00000000-0005-0000-0000-0000676A0000}"/>
    <cellStyle name="40% - Accent3 3 4 2 2 2 3 3" xfId="31589" xr:uid="{00000000-0005-0000-0000-0000686A0000}"/>
    <cellStyle name="40% - Accent3 3 4 2 2 2 4" xfId="14638" xr:uid="{00000000-0005-0000-0000-0000696A0000}"/>
    <cellStyle name="40% - Accent3 3 4 2 2 2 4 2" xfId="37240" xr:uid="{00000000-0005-0000-0000-00006A6A0000}"/>
    <cellStyle name="40% - Accent3 3 4 2 2 2 5" xfId="25939" xr:uid="{00000000-0005-0000-0000-00006B6A0000}"/>
    <cellStyle name="40% - Accent3 3 4 2 2 3" xfId="4935" xr:uid="{00000000-0005-0000-0000-00006C6A0000}"/>
    <cellStyle name="40% - Accent3 3 4 2 2 3 2" xfId="10585" xr:uid="{00000000-0005-0000-0000-00006D6A0000}"/>
    <cellStyle name="40% - Accent3 3 4 2 2 3 2 2" xfId="21886" xr:uid="{00000000-0005-0000-0000-00006E6A0000}"/>
    <cellStyle name="40% - Accent3 3 4 2 2 3 2 2 2" xfId="44488" xr:uid="{00000000-0005-0000-0000-00006F6A0000}"/>
    <cellStyle name="40% - Accent3 3 4 2 2 3 2 3" xfId="33187" xr:uid="{00000000-0005-0000-0000-0000706A0000}"/>
    <cellStyle name="40% - Accent3 3 4 2 2 3 3" xfId="16236" xr:uid="{00000000-0005-0000-0000-0000716A0000}"/>
    <cellStyle name="40% - Accent3 3 4 2 2 3 3 2" xfId="38838" xr:uid="{00000000-0005-0000-0000-0000726A0000}"/>
    <cellStyle name="40% - Accent3 3 4 2 2 3 4" xfId="27537" xr:uid="{00000000-0005-0000-0000-0000736A0000}"/>
    <cellStyle name="40% - Accent3 3 4 2 2 4" xfId="7768" xr:uid="{00000000-0005-0000-0000-0000746A0000}"/>
    <cellStyle name="40% - Accent3 3 4 2 2 4 2" xfId="19069" xr:uid="{00000000-0005-0000-0000-0000756A0000}"/>
    <cellStyle name="40% - Accent3 3 4 2 2 4 2 2" xfId="41671" xr:uid="{00000000-0005-0000-0000-0000766A0000}"/>
    <cellStyle name="40% - Accent3 3 4 2 2 4 3" xfId="30370" xr:uid="{00000000-0005-0000-0000-0000776A0000}"/>
    <cellStyle name="40% - Accent3 3 4 2 2 5" xfId="13419" xr:uid="{00000000-0005-0000-0000-0000786A0000}"/>
    <cellStyle name="40% - Accent3 3 4 2 2 5 2" xfId="36021" xr:uid="{00000000-0005-0000-0000-0000796A0000}"/>
    <cellStyle name="40% - Accent3 3 4 2 2 6" xfId="24720" xr:uid="{00000000-0005-0000-0000-00007A6A0000}"/>
    <cellStyle name="40% - Accent3 3 4 2 3" xfId="2526" xr:uid="{00000000-0005-0000-0000-00007B6A0000}"/>
    <cellStyle name="40% - Accent3 3 4 2 3 2" xfId="5545" xr:uid="{00000000-0005-0000-0000-00007C6A0000}"/>
    <cellStyle name="40% - Accent3 3 4 2 3 2 2" xfId="11195" xr:uid="{00000000-0005-0000-0000-00007D6A0000}"/>
    <cellStyle name="40% - Accent3 3 4 2 3 2 2 2" xfId="22496" xr:uid="{00000000-0005-0000-0000-00007E6A0000}"/>
    <cellStyle name="40% - Accent3 3 4 2 3 2 2 2 2" xfId="45098" xr:uid="{00000000-0005-0000-0000-00007F6A0000}"/>
    <cellStyle name="40% - Accent3 3 4 2 3 2 2 3" xfId="33797" xr:uid="{00000000-0005-0000-0000-0000806A0000}"/>
    <cellStyle name="40% - Accent3 3 4 2 3 2 3" xfId="16846" xr:uid="{00000000-0005-0000-0000-0000816A0000}"/>
    <cellStyle name="40% - Accent3 3 4 2 3 2 3 2" xfId="39448" xr:uid="{00000000-0005-0000-0000-0000826A0000}"/>
    <cellStyle name="40% - Accent3 3 4 2 3 2 4" xfId="28147" xr:uid="{00000000-0005-0000-0000-0000836A0000}"/>
    <cellStyle name="40% - Accent3 3 4 2 3 3" xfId="8362" xr:uid="{00000000-0005-0000-0000-0000846A0000}"/>
    <cellStyle name="40% - Accent3 3 4 2 3 3 2" xfId="19663" xr:uid="{00000000-0005-0000-0000-0000856A0000}"/>
    <cellStyle name="40% - Accent3 3 4 2 3 3 2 2" xfId="42265" xr:uid="{00000000-0005-0000-0000-0000866A0000}"/>
    <cellStyle name="40% - Accent3 3 4 2 3 3 3" xfId="30964" xr:uid="{00000000-0005-0000-0000-0000876A0000}"/>
    <cellStyle name="40% - Accent3 3 4 2 3 4" xfId="14013" xr:uid="{00000000-0005-0000-0000-0000886A0000}"/>
    <cellStyle name="40% - Accent3 3 4 2 3 4 2" xfId="36615" xr:uid="{00000000-0005-0000-0000-0000896A0000}"/>
    <cellStyle name="40% - Accent3 3 4 2 3 5" xfId="25314" xr:uid="{00000000-0005-0000-0000-00008A6A0000}"/>
    <cellStyle name="40% - Accent3 3 4 2 4" xfId="4311" xr:uid="{00000000-0005-0000-0000-00008B6A0000}"/>
    <cellStyle name="40% - Accent3 3 4 2 4 2" xfId="9961" xr:uid="{00000000-0005-0000-0000-00008C6A0000}"/>
    <cellStyle name="40% - Accent3 3 4 2 4 2 2" xfId="21262" xr:uid="{00000000-0005-0000-0000-00008D6A0000}"/>
    <cellStyle name="40% - Accent3 3 4 2 4 2 2 2" xfId="43864" xr:uid="{00000000-0005-0000-0000-00008E6A0000}"/>
    <cellStyle name="40% - Accent3 3 4 2 4 2 3" xfId="32563" xr:uid="{00000000-0005-0000-0000-00008F6A0000}"/>
    <cellStyle name="40% - Accent3 3 4 2 4 3" xfId="15612" xr:uid="{00000000-0005-0000-0000-0000906A0000}"/>
    <cellStyle name="40% - Accent3 3 4 2 4 3 2" xfId="38214" xr:uid="{00000000-0005-0000-0000-0000916A0000}"/>
    <cellStyle name="40% - Accent3 3 4 2 4 4" xfId="26913" xr:uid="{00000000-0005-0000-0000-0000926A0000}"/>
    <cellStyle name="40% - Accent3 3 4 2 5" xfId="7109" xr:uid="{00000000-0005-0000-0000-0000936A0000}"/>
    <cellStyle name="40% - Accent3 3 4 2 5 2" xfId="18410" xr:uid="{00000000-0005-0000-0000-0000946A0000}"/>
    <cellStyle name="40% - Accent3 3 4 2 5 2 2" xfId="41012" xr:uid="{00000000-0005-0000-0000-0000956A0000}"/>
    <cellStyle name="40% - Accent3 3 4 2 5 3" xfId="29711" xr:uid="{00000000-0005-0000-0000-0000966A0000}"/>
    <cellStyle name="40% - Accent3 3 4 2 6" xfId="12760" xr:uid="{00000000-0005-0000-0000-0000976A0000}"/>
    <cellStyle name="40% - Accent3 3 4 2 6 2" xfId="35362" xr:uid="{00000000-0005-0000-0000-0000986A0000}"/>
    <cellStyle name="40% - Accent3 3 4 2 7" xfId="24061" xr:uid="{00000000-0005-0000-0000-0000996A0000}"/>
    <cellStyle name="40% - Accent3 3 4 3" xfId="803" xr:uid="{00000000-0005-0000-0000-00009A6A0000}"/>
    <cellStyle name="40% - Accent3 3 4 3 2" xfId="2891" xr:uid="{00000000-0005-0000-0000-00009B6A0000}"/>
    <cellStyle name="40% - Accent3 3 4 3 2 2" xfId="5863" xr:uid="{00000000-0005-0000-0000-00009C6A0000}"/>
    <cellStyle name="40% - Accent3 3 4 3 2 2 2" xfId="11513" xr:uid="{00000000-0005-0000-0000-00009D6A0000}"/>
    <cellStyle name="40% - Accent3 3 4 3 2 2 2 2" xfId="22814" xr:uid="{00000000-0005-0000-0000-00009E6A0000}"/>
    <cellStyle name="40% - Accent3 3 4 3 2 2 2 2 2" xfId="45416" xr:uid="{00000000-0005-0000-0000-00009F6A0000}"/>
    <cellStyle name="40% - Accent3 3 4 3 2 2 2 3" xfId="34115" xr:uid="{00000000-0005-0000-0000-0000A06A0000}"/>
    <cellStyle name="40% - Accent3 3 4 3 2 2 3" xfId="17164" xr:uid="{00000000-0005-0000-0000-0000A16A0000}"/>
    <cellStyle name="40% - Accent3 3 4 3 2 2 3 2" xfId="39766" xr:uid="{00000000-0005-0000-0000-0000A26A0000}"/>
    <cellStyle name="40% - Accent3 3 4 3 2 2 4" xfId="28465" xr:uid="{00000000-0005-0000-0000-0000A36A0000}"/>
    <cellStyle name="40% - Accent3 3 4 3 2 3" xfId="8681" xr:uid="{00000000-0005-0000-0000-0000A46A0000}"/>
    <cellStyle name="40% - Accent3 3 4 3 2 3 2" xfId="19982" xr:uid="{00000000-0005-0000-0000-0000A56A0000}"/>
    <cellStyle name="40% - Accent3 3 4 3 2 3 2 2" xfId="42584" xr:uid="{00000000-0005-0000-0000-0000A66A0000}"/>
    <cellStyle name="40% - Accent3 3 4 3 2 3 3" xfId="31283" xr:uid="{00000000-0005-0000-0000-0000A76A0000}"/>
    <cellStyle name="40% - Accent3 3 4 3 2 4" xfId="14332" xr:uid="{00000000-0005-0000-0000-0000A86A0000}"/>
    <cellStyle name="40% - Accent3 3 4 3 2 4 2" xfId="36934" xr:uid="{00000000-0005-0000-0000-0000A96A0000}"/>
    <cellStyle name="40% - Accent3 3 4 3 2 5" xfId="25633" xr:uid="{00000000-0005-0000-0000-0000AA6A0000}"/>
    <cellStyle name="40% - Accent3 3 4 3 3" xfId="4629" xr:uid="{00000000-0005-0000-0000-0000AB6A0000}"/>
    <cellStyle name="40% - Accent3 3 4 3 3 2" xfId="10279" xr:uid="{00000000-0005-0000-0000-0000AC6A0000}"/>
    <cellStyle name="40% - Accent3 3 4 3 3 2 2" xfId="21580" xr:uid="{00000000-0005-0000-0000-0000AD6A0000}"/>
    <cellStyle name="40% - Accent3 3 4 3 3 2 2 2" xfId="44182" xr:uid="{00000000-0005-0000-0000-0000AE6A0000}"/>
    <cellStyle name="40% - Accent3 3 4 3 3 2 3" xfId="32881" xr:uid="{00000000-0005-0000-0000-0000AF6A0000}"/>
    <cellStyle name="40% - Accent3 3 4 3 3 3" xfId="15930" xr:uid="{00000000-0005-0000-0000-0000B06A0000}"/>
    <cellStyle name="40% - Accent3 3 4 3 3 3 2" xfId="38532" xr:uid="{00000000-0005-0000-0000-0000B16A0000}"/>
    <cellStyle name="40% - Accent3 3 4 3 3 4" xfId="27231" xr:uid="{00000000-0005-0000-0000-0000B26A0000}"/>
    <cellStyle name="40% - Accent3 3 4 3 4" xfId="6812" xr:uid="{00000000-0005-0000-0000-0000B36A0000}"/>
    <cellStyle name="40% - Accent3 3 4 3 4 2" xfId="18113" xr:uid="{00000000-0005-0000-0000-0000B46A0000}"/>
    <cellStyle name="40% - Accent3 3 4 3 4 2 2" xfId="40715" xr:uid="{00000000-0005-0000-0000-0000B56A0000}"/>
    <cellStyle name="40% - Accent3 3 4 3 4 3" xfId="29414" xr:uid="{00000000-0005-0000-0000-0000B66A0000}"/>
    <cellStyle name="40% - Accent3 3 4 3 5" xfId="12463" xr:uid="{00000000-0005-0000-0000-0000B76A0000}"/>
    <cellStyle name="40% - Accent3 3 4 3 5 2" xfId="35065" xr:uid="{00000000-0005-0000-0000-0000B86A0000}"/>
    <cellStyle name="40% - Accent3 3 4 3 6" xfId="23764" xr:uid="{00000000-0005-0000-0000-0000B96A0000}"/>
    <cellStyle name="40% - Accent3 3 4 4" xfId="1911" xr:uid="{00000000-0005-0000-0000-0000BA6A0000}"/>
    <cellStyle name="40% - Accent3 3 4 4 2" xfId="3755" xr:uid="{00000000-0005-0000-0000-0000BB6A0000}"/>
    <cellStyle name="40% - Accent3 3 4 4 2 2" xfId="9465" xr:uid="{00000000-0005-0000-0000-0000BC6A0000}"/>
    <cellStyle name="40% - Accent3 3 4 4 2 2 2" xfId="20766" xr:uid="{00000000-0005-0000-0000-0000BD6A0000}"/>
    <cellStyle name="40% - Accent3 3 4 4 2 2 2 2" xfId="43368" xr:uid="{00000000-0005-0000-0000-0000BE6A0000}"/>
    <cellStyle name="40% - Accent3 3 4 4 2 2 3" xfId="32067" xr:uid="{00000000-0005-0000-0000-0000BF6A0000}"/>
    <cellStyle name="40% - Accent3 3 4 4 2 3" xfId="15116" xr:uid="{00000000-0005-0000-0000-0000C06A0000}"/>
    <cellStyle name="40% - Accent3 3 4 4 2 3 2" xfId="37718" xr:uid="{00000000-0005-0000-0000-0000C16A0000}"/>
    <cellStyle name="40% - Accent3 3 4 4 2 4" xfId="26417" xr:uid="{00000000-0005-0000-0000-0000C26A0000}"/>
    <cellStyle name="40% - Accent3 3 4 4 3" xfId="5239" xr:uid="{00000000-0005-0000-0000-0000C36A0000}"/>
    <cellStyle name="40% - Accent3 3 4 4 3 2" xfId="10889" xr:uid="{00000000-0005-0000-0000-0000C46A0000}"/>
    <cellStyle name="40% - Accent3 3 4 4 3 2 2" xfId="22190" xr:uid="{00000000-0005-0000-0000-0000C56A0000}"/>
    <cellStyle name="40% - Accent3 3 4 4 3 2 2 2" xfId="44792" xr:uid="{00000000-0005-0000-0000-0000C66A0000}"/>
    <cellStyle name="40% - Accent3 3 4 4 3 2 3" xfId="33491" xr:uid="{00000000-0005-0000-0000-0000C76A0000}"/>
    <cellStyle name="40% - Accent3 3 4 4 3 3" xfId="16540" xr:uid="{00000000-0005-0000-0000-0000C86A0000}"/>
    <cellStyle name="40% - Accent3 3 4 4 3 3 2" xfId="39142" xr:uid="{00000000-0005-0000-0000-0000C96A0000}"/>
    <cellStyle name="40% - Accent3 3 4 4 3 4" xfId="27841" xr:uid="{00000000-0005-0000-0000-0000CA6A0000}"/>
    <cellStyle name="40% - Accent3 3 4 4 4" xfId="7767" xr:uid="{00000000-0005-0000-0000-0000CB6A0000}"/>
    <cellStyle name="40% - Accent3 3 4 4 4 2" xfId="19068" xr:uid="{00000000-0005-0000-0000-0000CC6A0000}"/>
    <cellStyle name="40% - Accent3 3 4 4 4 2 2" xfId="41670" xr:uid="{00000000-0005-0000-0000-0000CD6A0000}"/>
    <cellStyle name="40% - Accent3 3 4 4 4 3" xfId="30369" xr:uid="{00000000-0005-0000-0000-0000CE6A0000}"/>
    <cellStyle name="40% - Accent3 3 4 4 5" xfId="13418" xr:uid="{00000000-0005-0000-0000-0000CF6A0000}"/>
    <cellStyle name="40% - Accent3 3 4 4 5 2" xfId="36020" xr:uid="{00000000-0005-0000-0000-0000D06A0000}"/>
    <cellStyle name="40% - Accent3 3 4 4 6" xfId="24719" xr:uid="{00000000-0005-0000-0000-0000D16A0000}"/>
    <cellStyle name="40% - Accent3 3 4 5" xfId="2211" xr:uid="{00000000-0005-0000-0000-0000D26A0000}"/>
    <cellStyle name="40% - Accent3 3 4 5 2" xfId="8053" xr:uid="{00000000-0005-0000-0000-0000D36A0000}"/>
    <cellStyle name="40% - Accent3 3 4 5 2 2" xfId="19354" xr:uid="{00000000-0005-0000-0000-0000D46A0000}"/>
    <cellStyle name="40% - Accent3 3 4 5 2 2 2" xfId="41956" xr:uid="{00000000-0005-0000-0000-0000D56A0000}"/>
    <cellStyle name="40% - Accent3 3 4 5 2 3" xfId="30655" xr:uid="{00000000-0005-0000-0000-0000D66A0000}"/>
    <cellStyle name="40% - Accent3 3 4 5 3" xfId="13704" xr:uid="{00000000-0005-0000-0000-0000D76A0000}"/>
    <cellStyle name="40% - Accent3 3 4 5 3 2" xfId="36306" xr:uid="{00000000-0005-0000-0000-0000D86A0000}"/>
    <cellStyle name="40% - Accent3 3 4 5 4" xfId="25005" xr:uid="{00000000-0005-0000-0000-0000D96A0000}"/>
    <cellStyle name="40% - Accent3 3 4 6" xfId="4005" xr:uid="{00000000-0005-0000-0000-0000DA6A0000}"/>
    <cellStyle name="40% - Accent3 3 4 6 2" xfId="9655" xr:uid="{00000000-0005-0000-0000-0000DB6A0000}"/>
    <cellStyle name="40% - Accent3 3 4 6 2 2" xfId="20956" xr:uid="{00000000-0005-0000-0000-0000DC6A0000}"/>
    <cellStyle name="40% - Accent3 3 4 6 2 2 2" xfId="43558" xr:uid="{00000000-0005-0000-0000-0000DD6A0000}"/>
    <cellStyle name="40% - Accent3 3 4 6 2 3" xfId="32257" xr:uid="{00000000-0005-0000-0000-0000DE6A0000}"/>
    <cellStyle name="40% - Accent3 3 4 6 3" xfId="15306" xr:uid="{00000000-0005-0000-0000-0000DF6A0000}"/>
    <cellStyle name="40% - Accent3 3 4 6 3 2" xfId="37908" xr:uid="{00000000-0005-0000-0000-0000E06A0000}"/>
    <cellStyle name="40% - Accent3 3 4 6 4" xfId="26607" xr:uid="{00000000-0005-0000-0000-0000E16A0000}"/>
    <cellStyle name="40% - Accent3 3 4 7" xfId="6623" xr:uid="{00000000-0005-0000-0000-0000E26A0000}"/>
    <cellStyle name="40% - Accent3 3 4 7 2" xfId="17924" xr:uid="{00000000-0005-0000-0000-0000E36A0000}"/>
    <cellStyle name="40% - Accent3 3 4 7 2 2" xfId="40526" xr:uid="{00000000-0005-0000-0000-0000E46A0000}"/>
    <cellStyle name="40% - Accent3 3 4 7 3" xfId="29225" xr:uid="{00000000-0005-0000-0000-0000E56A0000}"/>
    <cellStyle name="40% - Accent3 3 4 8" xfId="12274" xr:uid="{00000000-0005-0000-0000-0000E66A0000}"/>
    <cellStyle name="40% - Accent3 3 4 8 2" xfId="34876" xr:uid="{00000000-0005-0000-0000-0000E76A0000}"/>
    <cellStyle name="40% - Accent3 3 4 9" xfId="23575" xr:uid="{00000000-0005-0000-0000-0000E86A0000}"/>
    <cellStyle name="40% - Accent3 3 5" xfId="454" xr:uid="{00000000-0005-0000-0000-0000E96A0000}"/>
    <cellStyle name="40% - Accent3 3 6" xfId="1438" xr:uid="{00000000-0005-0000-0000-0000EA6A0000}"/>
    <cellStyle name="40% - Accent3 3 7" xfId="6456" xr:uid="{00000000-0005-0000-0000-0000EB6A0000}"/>
    <cellStyle name="40% - Accent3 3 7 2" xfId="17757" xr:uid="{00000000-0005-0000-0000-0000EC6A0000}"/>
    <cellStyle name="40% - Accent3 3 7 2 2" xfId="40359" xr:uid="{00000000-0005-0000-0000-0000ED6A0000}"/>
    <cellStyle name="40% - Accent3 3 7 3" xfId="29058" xr:uid="{00000000-0005-0000-0000-0000EE6A0000}"/>
    <cellStyle name="40% - Accent3 3 8" xfId="12107" xr:uid="{00000000-0005-0000-0000-0000EF6A0000}"/>
    <cellStyle name="40% - Accent3 3 8 2" xfId="34709" xr:uid="{00000000-0005-0000-0000-0000F06A0000}"/>
    <cellStyle name="40% - Accent3 3 9" xfId="23408" xr:uid="{00000000-0005-0000-0000-0000F16A0000}"/>
    <cellStyle name="40% - Accent3 4" xfId="238" xr:uid="{00000000-0005-0000-0000-0000F26A0000}"/>
    <cellStyle name="40% - Accent3 4 10" xfId="3991" xr:uid="{00000000-0005-0000-0000-0000F36A0000}"/>
    <cellStyle name="40% - Accent3 4 10 2" xfId="9641" xr:uid="{00000000-0005-0000-0000-0000F46A0000}"/>
    <cellStyle name="40% - Accent3 4 10 2 2" xfId="20942" xr:uid="{00000000-0005-0000-0000-0000F56A0000}"/>
    <cellStyle name="40% - Accent3 4 10 2 2 2" xfId="43544" xr:uid="{00000000-0005-0000-0000-0000F66A0000}"/>
    <cellStyle name="40% - Accent3 4 10 2 3" xfId="32243" xr:uid="{00000000-0005-0000-0000-0000F76A0000}"/>
    <cellStyle name="40% - Accent3 4 10 3" xfId="15292" xr:uid="{00000000-0005-0000-0000-0000F86A0000}"/>
    <cellStyle name="40% - Accent3 4 10 3 2" xfId="37894" xr:uid="{00000000-0005-0000-0000-0000F96A0000}"/>
    <cellStyle name="40% - Accent3 4 10 4" xfId="26593" xr:uid="{00000000-0005-0000-0000-0000FA6A0000}"/>
    <cellStyle name="40% - Accent3 4 11" xfId="6470" xr:uid="{00000000-0005-0000-0000-0000FB6A0000}"/>
    <cellStyle name="40% - Accent3 4 11 2" xfId="17771" xr:uid="{00000000-0005-0000-0000-0000FC6A0000}"/>
    <cellStyle name="40% - Accent3 4 11 2 2" xfId="40373" xr:uid="{00000000-0005-0000-0000-0000FD6A0000}"/>
    <cellStyle name="40% - Accent3 4 11 3" xfId="29072" xr:uid="{00000000-0005-0000-0000-0000FE6A0000}"/>
    <cellStyle name="40% - Accent3 4 12" xfId="12121" xr:uid="{00000000-0005-0000-0000-0000FF6A0000}"/>
    <cellStyle name="40% - Accent3 4 12 2" xfId="34723" xr:uid="{00000000-0005-0000-0000-0000006B0000}"/>
    <cellStyle name="40% - Accent3 4 13" xfId="23422" xr:uid="{00000000-0005-0000-0000-0000016B0000}"/>
    <cellStyle name="40% - Accent3 4 2" xfId="361" xr:uid="{00000000-0005-0000-0000-0000026B0000}"/>
    <cellStyle name="40% - Accent3 4 2 10" xfId="23469" xr:uid="{00000000-0005-0000-0000-0000036B0000}"/>
    <cellStyle name="40% - Accent3 4 2 2" xfId="619" xr:uid="{00000000-0005-0000-0000-0000046B0000}"/>
    <cellStyle name="40% - Accent3 4 2 2 2" xfId="1329" xr:uid="{00000000-0005-0000-0000-0000056B0000}"/>
    <cellStyle name="40% - Accent3 4 2 2 2 2" xfId="1916" xr:uid="{00000000-0005-0000-0000-0000066B0000}"/>
    <cellStyle name="40% - Accent3 4 2 2 2 2 2" xfId="3398" xr:uid="{00000000-0005-0000-0000-0000076B0000}"/>
    <cellStyle name="40% - Accent3 4 2 2 2 2 2 2" xfId="6370" xr:uid="{00000000-0005-0000-0000-0000086B0000}"/>
    <cellStyle name="40% - Accent3 4 2 2 2 2 2 2 2" xfId="12020" xr:uid="{00000000-0005-0000-0000-0000096B0000}"/>
    <cellStyle name="40% - Accent3 4 2 2 2 2 2 2 2 2" xfId="23321" xr:uid="{00000000-0005-0000-0000-00000A6B0000}"/>
    <cellStyle name="40% - Accent3 4 2 2 2 2 2 2 2 2 2" xfId="45923" xr:uid="{00000000-0005-0000-0000-00000B6B0000}"/>
    <cellStyle name="40% - Accent3 4 2 2 2 2 2 2 2 3" xfId="34622" xr:uid="{00000000-0005-0000-0000-00000C6B0000}"/>
    <cellStyle name="40% - Accent3 4 2 2 2 2 2 2 3" xfId="17671" xr:uid="{00000000-0005-0000-0000-00000D6B0000}"/>
    <cellStyle name="40% - Accent3 4 2 2 2 2 2 2 3 2" xfId="40273" xr:uid="{00000000-0005-0000-0000-00000E6B0000}"/>
    <cellStyle name="40% - Accent3 4 2 2 2 2 2 2 4" xfId="28972" xr:uid="{00000000-0005-0000-0000-00000F6B0000}"/>
    <cellStyle name="40% - Accent3 4 2 2 2 2 2 3" xfId="9188" xr:uid="{00000000-0005-0000-0000-0000106B0000}"/>
    <cellStyle name="40% - Accent3 4 2 2 2 2 2 3 2" xfId="20489" xr:uid="{00000000-0005-0000-0000-0000116B0000}"/>
    <cellStyle name="40% - Accent3 4 2 2 2 2 2 3 2 2" xfId="43091" xr:uid="{00000000-0005-0000-0000-0000126B0000}"/>
    <cellStyle name="40% - Accent3 4 2 2 2 2 2 3 3" xfId="31790" xr:uid="{00000000-0005-0000-0000-0000136B0000}"/>
    <cellStyle name="40% - Accent3 4 2 2 2 2 2 4" xfId="14839" xr:uid="{00000000-0005-0000-0000-0000146B0000}"/>
    <cellStyle name="40% - Accent3 4 2 2 2 2 2 4 2" xfId="37441" xr:uid="{00000000-0005-0000-0000-0000156B0000}"/>
    <cellStyle name="40% - Accent3 4 2 2 2 2 2 5" xfId="26140" xr:uid="{00000000-0005-0000-0000-0000166B0000}"/>
    <cellStyle name="40% - Accent3 4 2 2 2 2 3" xfId="5136" xr:uid="{00000000-0005-0000-0000-0000176B0000}"/>
    <cellStyle name="40% - Accent3 4 2 2 2 2 3 2" xfId="10786" xr:uid="{00000000-0005-0000-0000-0000186B0000}"/>
    <cellStyle name="40% - Accent3 4 2 2 2 2 3 2 2" xfId="22087" xr:uid="{00000000-0005-0000-0000-0000196B0000}"/>
    <cellStyle name="40% - Accent3 4 2 2 2 2 3 2 2 2" xfId="44689" xr:uid="{00000000-0005-0000-0000-00001A6B0000}"/>
    <cellStyle name="40% - Accent3 4 2 2 2 2 3 2 3" xfId="33388" xr:uid="{00000000-0005-0000-0000-00001B6B0000}"/>
    <cellStyle name="40% - Accent3 4 2 2 2 2 3 3" xfId="16437" xr:uid="{00000000-0005-0000-0000-00001C6B0000}"/>
    <cellStyle name="40% - Accent3 4 2 2 2 2 3 3 2" xfId="39039" xr:uid="{00000000-0005-0000-0000-00001D6B0000}"/>
    <cellStyle name="40% - Accent3 4 2 2 2 2 3 4" xfId="27738" xr:uid="{00000000-0005-0000-0000-00001E6B0000}"/>
    <cellStyle name="40% - Accent3 4 2 2 2 2 4" xfId="7772" xr:uid="{00000000-0005-0000-0000-00001F6B0000}"/>
    <cellStyle name="40% - Accent3 4 2 2 2 2 4 2" xfId="19073" xr:uid="{00000000-0005-0000-0000-0000206B0000}"/>
    <cellStyle name="40% - Accent3 4 2 2 2 2 4 2 2" xfId="41675" xr:uid="{00000000-0005-0000-0000-0000216B0000}"/>
    <cellStyle name="40% - Accent3 4 2 2 2 2 4 3" xfId="30374" xr:uid="{00000000-0005-0000-0000-0000226B0000}"/>
    <cellStyle name="40% - Accent3 4 2 2 2 2 5" xfId="13423" xr:uid="{00000000-0005-0000-0000-0000236B0000}"/>
    <cellStyle name="40% - Accent3 4 2 2 2 2 5 2" xfId="36025" xr:uid="{00000000-0005-0000-0000-0000246B0000}"/>
    <cellStyle name="40% - Accent3 4 2 2 2 2 6" xfId="24724" xr:uid="{00000000-0005-0000-0000-0000256B0000}"/>
    <cellStyle name="40% - Accent3 4 2 2 2 3" xfId="2727" xr:uid="{00000000-0005-0000-0000-0000266B0000}"/>
    <cellStyle name="40% - Accent3 4 2 2 2 3 2" xfId="5746" xr:uid="{00000000-0005-0000-0000-0000276B0000}"/>
    <cellStyle name="40% - Accent3 4 2 2 2 3 2 2" xfId="11396" xr:uid="{00000000-0005-0000-0000-0000286B0000}"/>
    <cellStyle name="40% - Accent3 4 2 2 2 3 2 2 2" xfId="22697" xr:uid="{00000000-0005-0000-0000-0000296B0000}"/>
    <cellStyle name="40% - Accent3 4 2 2 2 3 2 2 2 2" xfId="45299" xr:uid="{00000000-0005-0000-0000-00002A6B0000}"/>
    <cellStyle name="40% - Accent3 4 2 2 2 3 2 2 3" xfId="33998" xr:uid="{00000000-0005-0000-0000-00002B6B0000}"/>
    <cellStyle name="40% - Accent3 4 2 2 2 3 2 3" xfId="17047" xr:uid="{00000000-0005-0000-0000-00002C6B0000}"/>
    <cellStyle name="40% - Accent3 4 2 2 2 3 2 3 2" xfId="39649" xr:uid="{00000000-0005-0000-0000-00002D6B0000}"/>
    <cellStyle name="40% - Accent3 4 2 2 2 3 2 4" xfId="28348" xr:uid="{00000000-0005-0000-0000-00002E6B0000}"/>
    <cellStyle name="40% - Accent3 4 2 2 2 3 3" xfId="8563" xr:uid="{00000000-0005-0000-0000-00002F6B0000}"/>
    <cellStyle name="40% - Accent3 4 2 2 2 3 3 2" xfId="19864" xr:uid="{00000000-0005-0000-0000-0000306B0000}"/>
    <cellStyle name="40% - Accent3 4 2 2 2 3 3 2 2" xfId="42466" xr:uid="{00000000-0005-0000-0000-0000316B0000}"/>
    <cellStyle name="40% - Accent3 4 2 2 2 3 3 3" xfId="31165" xr:uid="{00000000-0005-0000-0000-0000326B0000}"/>
    <cellStyle name="40% - Accent3 4 2 2 2 3 4" xfId="14214" xr:uid="{00000000-0005-0000-0000-0000336B0000}"/>
    <cellStyle name="40% - Accent3 4 2 2 2 3 4 2" xfId="36816" xr:uid="{00000000-0005-0000-0000-0000346B0000}"/>
    <cellStyle name="40% - Accent3 4 2 2 2 3 5" xfId="25515" xr:uid="{00000000-0005-0000-0000-0000356B0000}"/>
    <cellStyle name="40% - Accent3 4 2 2 2 4" xfId="4512" xr:uid="{00000000-0005-0000-0000-0000366B0000}"/>
    <cellStyle name="40% - Accent3 4 2 2 2 4 2" xfId="10162" xr:uid="{00000000-0005-0000-0000-0000376B0000}"/>
    <cellStyle name="40% - Accent3 4 2 2 2 4 2 2" xfId="21463" xr:uid="{00000000-0005-0000-0000-0000386B0000}"/>
    <cellStyle name="40% - Accent3 4 2 2 2 4 2 2 2" xfId="44065" xr:uid="{00000000-0005-0000-0000-0000396B0000}"/>
    <cellStyle name="40% - Accent3 4 2 2 2 4 2 3" xfId="32764" xr:uid="{00000000-0005-0000-0000-00003A6B0000}"/>
    <cellStyle name="40% - Accent3 4 2 2 2 4 3" xfId="15813" xr:uid="{00000000-0005-0000-0000-00003B6B0000}"/>
    <cellStyle name="40% - Accent3 4 2 2 2 4 3 2" xfId="38415" xr:uid="{00000000-0005-0000-0000-00003C6B0000}"/>
    <cellStyle name="40% - Accent3 4 2 2 2 4 4" xfId="27114" xr:uid="{00000000-0005-0000-0000-00003D6B0000}"/>
    <cellStyle name="40% - Accent3 4 2 2 2 5" xfId="7308" xr:uid="{00000000-0005-0000-0000-00003E6B0000}"/>
    <cellStyle name="40% - Accent3 4 2 2 2 5 2" xfId="18609" xr:uid="{00000000-0005-0000-0000-00003F6B0000}"/>
    <cellStyle name="40% - Accent3 4 2 2 2 5 2 2" xfId="41211" xr:uid="{00000000-0005-0000-0000-0000406B0000}"/>
    <cellStyle name="40% - Accent3 4 2 2 2 5 3" xfId="29910" xr:uid="{00000000-0005-0000-0000-0000416B0000}"/>
    <cellStyle name="40% - Accent3 4 2 2 2 6" xfId="12959" xr:uid="{00000000-0005-0000-0000-0000426B0000}"/>
    <cellStyle name="40% - Accent3 4 2 2 2 6 2" xfId="35561" xr:uid="{00000000-0005-0000-0000-0000436B0000}"/>
    <cellStyle name="40% - Accent3 4 2 2 2 7" xfId="24260" xr:uid="{00000000-0005-0000-0000-0000446B0000}"/>
    <cellStyle name="40% - Accent3 4 2 2 3" xfId="1027" xr:uid="{00000000-0005-0000-0000-0000456B0000}"/>
    <cellStyle name="40% - Accent3 4 2 2 3 2" xfId="3090" xr:uid="{00000000-0005-0000-0000-0000466B0000}"/>
    <cellStyle name="40% - Accent3 4 2 2 3 2 2" xfId="6062" xr:uid="{00000000-0005-0000-0000-0000476B0000}"/>
    <cellStyle name="40% - Accent3 4 2 2 3 2 2 2" xfId="11712" xr:uid="{00000000-0005-0000-0000-0000486B0000}"/>
    <cellStyle name="40% - Accent3 4 2 2 3 2 2 2 2" xfId="23013" xr:uid="{00000000-0005-0000-0000-0000496B0000}"/>
    <cellStyle name="40% - Accent3 4 2 2 3 2 2 2 2 2" xfId="45615" xr:uid="{00000000-0005-0000-0000-00004A6B0000}"/>
    <cellStyle name="40% - Accent3 4 2 2 3 2 2 2 3" xfId="34314" xr:uid="{00000000-0005-0000-0000-00004B6B0000}"/>
    <cellStyle name="40% - Accent3 4 2 2 3 2 2 3" xfId="17363" xr:uid="{00000000-0005-0000-0000-00004C6B0000}"/>
    <cellStyle name="40% - Accent3 4 2 2 3 2 2 3 2" xfId="39965" xr:uid="{00000000-0005-0000-0000-00004D6B0000}"/>
    <cellStyle name="40% - Accent3 4 2 2 3 2 2 4" xfId="28664" xr:uid="{00000000-0005-0000-0000-00004E6B0000}"/>
    <cellStyle name="40% - Accent3 4 2 2 3 2 3" xfId="8880" xr:uid="{00000000-0005-0000-0000-00004F6B0000}"/>
    <cellStyle name="40% - Accent3 4 2 2 3 2 3 2" xfId="20181" xr:uid="{00000000-0005-0000-0000-0000506B0000}"/>
    <cellStyle name="40% - Accent3 4 2 2 3 2 3 2 2" xfId="42783" xr:uid="{00000000-0005-0000-0000-0000516B0000}"/>
    <cellStyle name="40% - Accent3 4 2 2 3 2 3 3" xfId="31482" xr:uid="{00000000-0005-0000-0000-0000526B0000}"/>
    <cellStyle name="40% - Accent3 4 2 2 3 2 4" xfId="14531" xr:uid="{00000000-0005-0000-0000-0000536B0000}"/>
    <cellStyle name="40% - Accent3 4 2 2 3 2 4 2" xfId="37133" xr:uid="{00000000-0005-0000-0000-0000546B0000}"/>
    <cellStyle name="40% - Accent3 4 2 2 3 2 5" xfId="25832" xr:uid="{00000000-0005-0000-0000-0000556B0000}"/>
    <cellStyle name="40% - Accent3 4 2 2 3 3" xfId="4828" xr:uid="{00000000-0005-0000-0000-0000566B0000}"/>
    <cellStyle name="40% - Accent3 4 2 2 3 3 2" xfId="10478" xr:uid="{00000000-0005-0000-0000-0000576B0000}"/>
    <cellStyle name="40% - Accent3 4 2 2 3 3 2 2" xfId="21779" xr:uid="{00000000-0005-0000-0000-0000586B0000}"/>
    <cellStyle name="40% - Accent3 4 2 2 3 3 2 2 2" xfId="44381" xr:uid="{00000000-0005-0000-0000-0000596B0000}"/>
    <cellStyle name="40% - Accent3 4 2 2 3 3 2 3" xfId="33080" xr:uid="{00000000-0005-0000-0000-00005A6B0000}"/>
    <cellStyle name="40% - Accent3 4 2 2 3 3 3" xfId="16129" xr:uid="{00000000-0005-0000-0000-00005B6B0000}"/>
    <cellStyle name="40% - Accent3 4 2 2 3 3 3 2" xfId="38731" xr:uid="{00000000-0005-0000-0000-00005C6B0000}"/>
    <cellStyle name="40% - Accent3 4 2 2 3 3 4" xfId="27430" xr:uid="{00000000-0005-0000-0000-00005D6B0000}"/>
    <cellStyle name="40% - Accent3 4 2 2 3 4" xfId="7015" xr:uid="{00000000-0005-0000-0000-00005E6B0000}"/>
    <cellStyle name="40% - Accent3 4 2 2 3 4 2" xfId="18316" xr:uid="{00000000-0005-0000-0000-00005F6B0000}"/>
    <cellStyle name="40% - Accent3 4 2 2 3 4 2 2" xfId="40918" xr:uid="{00000000-0005-0000-0000-0000606B0000}"/>
    <cellStyle name="40% - Accent3 4 2 2 3 4 3" xfId="29617" xr:uid="{00000000-0005-0000-0000-0000616B0000}"/>
    <cellStyle name="40% - Accent3 4 2 2 3 5" xfId="12666" xr:uid="{00000000-0005-0000-0000-0000626B0000}"/>
    <cellStyle name="40% - Accent3 4 2 2 3 5 2" xfId="35268" xr:uid="{00000000-0005-0000-0000-0000636B0000}"/>
    <cellStyle name="40% - Accent3 4 2 2 3 6" xfId="23967" xr:uid="{00000000-0005-0000-0000-0000646B0000}"/>
    <cellStyle name="40% - Accent3 4 2 2 4" xfId="1915" xr:uid="{00000000-0005-0000-0000-0000656B0000}"/>
    <cellStyle name="40% - Accent3 4 2 2 4 2" xfId="3758" xr:uid="{00000000-0005-0000-0000-0000666B0000}"/>
    <cellStyle name="40% - Accent3 4 2 2 4 2 2" xfId="9468" xr:uid="{00000000-0005-0000-0000-0000676B0000}"/>
    <cellStyle name="40% - Accent3 4 2 2 4 2 2 2" xfId="20769" xr:uid="{00000000-0005-0000-0000-0000686B0000}"/>
    <cellStyle name="40% - Accent3 4 2 2 4 2 2 2 2" xfId="43371" xr:uid="{00000000-0005-0000-0000-0000696B0000}"/>
    <cellStyle name="40% - Accent3 4 2 2 4 2 2 3" xfId="32070" xr:uid="{00000000-0005-0000-0000-00006A6B0000}"/>
    <cellStyle name="40% - Accent3 4 2 2 4 2 3" xfId="15119" xr:uid="{00000000-0005-0000-0000-00006B6B0000}"/>
    <cellStyle name="40% - Accent3 4 2 2 4 2 3 2" xfId="37721" xr:uid="{00000000-0005-0000-0000-00006C6B0000}"/>
    <cellStyle name="40% - Accent3 4 2 2 4 2 4" xfId="26420" xr:uid="{00000000-0005-0000-0000-00006D6B0000}"/>
    <cellStyle name="40% - Accent3 4 2 2 4 3" xfId="5438" xr:uid="{00000000-0005-0000-0000-00006E6B0000}"/>
    <cellStyle name="40% - Accent3 4 2 2 4 3 2" xfId="11088" xr:uid="{00000000-0005-0000-0000-00006F6B0000}"/>
    <cellStyle name="40% - Accent3 4 2 2 4 3 2 2" xfId="22389" xr:uid="{00000000-0005-0000-0000-0000706B0000}"/>
    <cellStyle name="40% - Accent3 4 2 2 4 3 2 2 2" xfId="44991" xr:uid="{00000000-0005-0000-0000-0000716B0000}"/>
    <cellStyle name="40% - Accent3 4 2 2 4 3 2 3" xfId="33690" xr:uid="{00000000-0005-0000-0000-0000726B0000}"/>
    <cellStyle name="40% - Accent3 4 2 2 4 3 3" xfId="16739" xr:uid="{00000000-0005-0000-0000-0000736B0000}"/>
    <cellStyle name="40% - Accent3 4 2 2 4 3 3 2" xfId="39341" xr:uid="{00000000-0005-0000-0000-0000746B0000}"/>
    <cellStyle name="40% - Accent3 4 2 2 4 3 4" xfId="28040" xr:uid="{00000000-0005-0000-0000-0000756B0000}"/>
    <cellStyle name="40% - Accent3 4 2 2 4 4" xfId="7771" xr:uid="{00000000-0005-0000-0000-0000766B0000}"/>
    <cellStyle name="40% - Accent3 4 2 2 4 4 2" xfId="19072" xr:uid="{00000000-0005-0000-0000-0000776B0000}"/>
    <cellStyle name="40% - Accent3 4 2 2 4 4 2 2" xfId="41674" xr:uid="{00000000-0005-0000-0000-0000786B0000}"/>
    <cellStyle name="40% - Accent3 4 2 2 4 4 3" xfId="30373" xr:uid="{00000000-0005-0000-0000-0000796B0000}"/>
    <cellStyle name="40% - Accent3 4 2 2 4 5" xfId="13422" xr:uid="{00000000-0005-0000-0000-00007A6B0000}"/>
    <cellStyle name="40% - Accent3 4 2 2 4 5 2" xfId="36024" xr:uid="{00000000-0005-0000-0000-00007B6B0000}"/>
    <cellStyle name="40% - Accent3 4 2 2 4 6" xfId="24723" xr:uid="{00000000-0005-0000-0000-00007C6B0000}"/>
    <cellStyle name="40% - Accent3 4 2 2 5" xfId="2419" xr:uid="{00000000-0005-0000-0000-00007D6B0000}"/>
    <cellStyle name="40% - Accent3 4 2 2 5 2" xfId="8255" xr:uid="{00000000-0005-0000-0000-00007E6B0000}"/>
    <cellStyle name="40% - Accent3 4 2 2 5 2 2" xfId="19556" xr:uid="{00000000-0005-0000-0000-00007F6B0000}"/>
    <cellStyle name="40% - Accent3 4 2 2 5 2 2 2" xfId="42158" xr:uid="{00000000-0005-0000-0000-0000806B0000}"/>
    <cellStyle name="40% - Accent3 4 2 2 5 2 3" xfId="30857" xr:uid="{00000000-0005-0000-0000-0000816B0000}"/>
    <cellStyle name="40% - Accent3 4 2 2 5 3" xfId="13906" xr:uid="{00000000-0005-0000-0000-0000826B0000}"/>
    <cellStyle name="40% - Accent3 4 2 2 5 3 2" xfId="36508" xr:uid="{00000000-0005-0000-0000-0000836B0000}"/>
    <cellStyle name="40% - Accent3 4 2 2 5 4" xfId="25207" xr:uid="{00000000-0005-0000-0000-0000846B0000}"/>
    <cellStyle name="40% - Accent3 4 2 2 6" xfId="4204" xr:uid="{00000000-0005-0000-0000-0000856B0000}"/>
    <cellStyle name="40% - Accent3 4 2 2 6 2" xfId="9854" xr:uid="{00000000-0005-0000-0000-0000866B0000}"/>
    <cellStyle name="40% - Accent3 4 2 2 6 2 2" xfId="21155" xr:uid="{00000000-0005-0000-0000-0000876B0000}"/>
    <cellStyle name="40% - Accent3 4 2 2 6 2 2 2" xfId="43757" xr:uid="{00000000-0005-0000-0000-0000886B0000}"/>
    <cellStyle name="40% - Accent3 4 2 2 6 2 3" xfId="32456" xr:uid="{00000000-0005-0000-0000-0000896B0000}"/>
    <cellStyle name="40% - Accent3 4 2 2 6 3" xfId="15505" xr:uid="{00000000-0005-0000-0000-00008A6B0000}"/>
    <cellStyle name="40% - Accent3 4 2 2 6 3 2" xfId="38107" xr:uid="{00000000-0005-0000-0000-00008B6B0000}"/>
    <cellStyle name="40% - Accent3 4 2 2 6 4" xfId="26806" xr:uid="{00000000-0005-0000-0000-00008C6B0000}"/>
    <cellStyle name="40% - Accent3 4 2 2 7" xfId="6684" xr:uid="{00000000-0005-0000-0000-00008D6B0000}"/>
    <cellStyle name="40% - Accent3 4 2 2 7 2" xfId="17985" xr:uid="{00000000-0005-0000-0000-00008E6B0000}"/>
    <cellStyle name="40% - Accent3 4 2 2 7 2 2" xfId="40587" xr:uid="{00000000-0005-0000-0000-00008F6B0000}"/>
    <cellStyle name="40% - Accent3 4 2 2 7 3" xfId="29286" xr:uid="{00000000-0005-0000-0000-0000906B0000}"/>
    <cellStyle name="40% - Accent3 4 2 2 8" xfId="12335" xr:uid="{00000000-0005-0000-0000-0000916B0000}"/>
    <cellStyle name="40% - Accent3 4 2 2 8 2" xfId="34937" xr:uid="{00000000-0005-0000-0000-0000926B0000}"/>
    <cellStyle name="40% - Accent3 4 2 2 9" xfId="23636" xr:uid="{00000000-0005-0000-0000-0000936B0000}"/>
    <cellStyle name="40% - Accent3 4 2 3" xfId="1191" xr:uid="{00000000-0005-0000-0000-0000946B0000}"/>
    <cellStyle name="40% - Accent3 4 2 3 2" xfId="1917" xr:uid="{00000000-0005-0000-0000-0000956B0000}"/>
    <cellStyle name="40% - Accent3 4 2 3 2 2" xfId="3259" xr:uid="{00000000-0005-0000-0000-0000966B0000}"/>
    <cellStyle name="40% - Accent3 4 2 3 2 2 2" xfId="6231" xr:uid="{00000000-0005-0000-0000-0000976B0000}"/>
    <cellStyle name="40% - Accent3 4 2 3 2 2 2 2" xfId="11881" xr:uid="{00000000-0005-0000-0000-0000986B0000}"/>
    <cellStyle name="40% - Accent3 4 2 3 2 2 2 2 2" xfId="23182" xr:uid="{00000000-0005-0000-0000-0000996B0000}"/>
    <cellStyle name="40% - Accent3 4 2 3 2 2 2 2 2 2" xfId="45784" xr:uid="{00000000-0005-0000-0000-00009A6B0000}"/>
    <cellStyle name="40% - Accent3 4 2 3 2 2 2 2 3" xfId="34483" xr:uid="{00000000-0005-0000-0000-00009B6B0000}"/>
    <cellStyle name="40% - Accent3 4 2 3 2 2 2 3" xfId="17532" xr:uid="{00000000-0005-0000-0000-00009C6B0000}"/>
    <cellStyle name="40% - Accent3 4 2 3 2 2 2 3 2" xfId="40134" xr:uid="{00000000-0005-0000-0000-00009D6B0000}"/>
    <cellStyle name="40% - Accent3 4 2 3 2 2 2 4" xfId="28833" xr:uid="{00000000-0005-0000-0000-00009E6B0000}"/>
    <cellStyle name="40% - Accent3 4 2 3 2 2 3" xfId="9049" xr:uid="{00000000-0005-0000-0000-00009F6B0000}"/>
    <cellStyle name="40% - Accent3 4 2 3 2 2 3 2" xfId="20350" xr:uid="{00000000-0005-0000-0000-0000A06B0000}"/>
    <cellStyle name="40% - Accent3 4 2 3 2 2 3 2 2" xfId="42952" xr:uid="{00000000-0005-0000-0000-0000A16B0000}"/>
    <cellStyle name="40% - Accent3 4 2 3 2 2 3 3" xfId="31651" xr:uid="{00000000-0005-0000-0000-0000A26B0000}"/>
    <cellStyle name="40% - Accent3 4 2 3 2 2 4" xfId="14700" xr:uid="{00000000-0005-0000-0000-0000A36B0000}"/>
    <cellStyle name="40% - Accent3 4 2 3 2 2 4 2" xfId="37302" xr:uid="{00000000-0005-0000-0000-0000A46B0000}"/>
    <cellStyle name="40% - Accent3 4 2 3 2 2 5" xfId="26001" xr:uid="{00000000-0005-0000-0000-0000A56B0000}"/>
    <cellStyle name="40% - Accent3 4 2 3 2 3" xfId="4997" xr:uid="{00000000-0005-0000-0000-0000A66B0000}"/>
    <cellStyle name="40% - Accent3 4 2 3 2 3 2" xfId="10647" xr:uid="{00000000-0005-0000-0000-0000A76B0000}"/>
    <cellStyle name="40% - Accent3 4 2 3 2 3 2 2" xfId="21948" xr:uid="{00000000-0005-0000-0000-0000A86B0000}"/>
    <cellStyle name="40% - Accent3 4 2 3 2 3 2 2 2" xfId="44550" xr:uid="{00000000-0005-0000-0000-0000A96B0000}"/>
    <cellStyle name="40% - Accent3 4 2 3 2 3 2 3" xfId="33249" xr:uid="{00000000-0005-0000-0000-0000AA6B0000}"/>
    <cellStyle name="40% - Accent3 4 2 3 2 3 3" xfId="16298" xr:uid="{00000000-0005-0000-0000-0000AB6B0000}"/>
    <cellStyle name="40% - Accent3 4 2 3 2 3 3 2" xfId="38900" xr:uid="{00000000-0005-0000-0000-0000AC6B0000}"/>
    <cellStyle name="40% - Accent3 4 2 3 2 3 4" xfId="27599" xr:uid="{00000000-0005-0000-0000-0000AD6B0000}"/>
    <cellStyle name="40% - Accent3 4 2 3 2 4" xfId="7773" xr:uid="{00000000-0005-0000-0000-0000AE6B0000}"/>
    <cellStyle name="40% - Accent3 4 2 3 2 4 2" xfId="19074" xr:uid="{00000000-0005-0000-0000-0000AF6B0000}"/>
    <cellStyle name="40% - Accent3 4 2 3 2 4 2 2" xfId="41676" xr:uid="{00000000-0005-0000-0000-0000B06B0000}"/>
    <cellStyle name="40% - Accent3 4 2 3 2 4 3" xfId="30375" xr:uid="{00000000-0005-0000-0000-0000B16B0000}"/>
    <cellStyle name="40% - Accent3 4 2 3 2 5" xfId="13424" xr:uid="{00000000-0005-0000-0000-0000B26B0000}"/>
    <cellStyle name="40% - Accent3 4 2 3 2 5 2" xfId="36026" xr:uid="{00000000-0005-0000-0000-0000B36B0000}"/>
    <cellStyle name="40% - Accent3 4 2 3 2 6" xfId="24725" xr:uid="{00000000-0005-0000-0000-0000B46B0000}"/>
    <cellStyle name="40% - Accent3 4 2 3 3" xfId="2588" xr:uid="{00000000-0005-0000-0000-0000B56B0000}"/>
    <cellStyle name="40% - Accent3 4 2 3 3 2" xfId="5607" xr:uid="{00000000-0005-0000-0000-0000B66B0000}"/>
    <cellStyle name="40% - Accent3 4 2 3 3 2 2" xfId="11257" xr:uid="{00000000-0005-0000-0000-0000B76B0000}"/>
    <cellStyle name="40% - Accent3 4 2 3 3 2 2 2" xfId="22558" xr:uid="{00000000-0005-0000-0000-0000B86B0000}"/>
    <cellStyle name="40% - Accent3 4 2 3 3 2 2 2 2" xfId="45160" xr:uid="{00000000-0005-0000-0000-0000B96B0000}"/>
    <cellStyle name="40% - Accent3 4 2 3 3 2 2 3" xfId="33859" xr:uid="{00000000-0005-0000-0000-0000BA6B0000}"/>
    <cellStyle name="40% - Accent3 4 2 3 3 2 3" xfId="16908" xr:uid="{00000000-0005-0000-0000-0000BB6B0000}"/>
    <cellStyle name="40% - Accent3 4 2 3 3 2 3 2" xfId="39510" xr:uid="{00000000-0005-0000-0000-0000BC6B0000}"/>
    <cellStyle name="40% - Accent3 4 2 3 3 2 4" xfId="28209" xr:uid="{00000000-0005-0000-0000-0000BD6B0000}"/>
    <cellStyle name="40% - Accent3 4 2 3 3 3" xfId="8424" xr:uid="{00000000-0005-0000-0000-0000BE6B0000}"/>
    <cellStyle name="40% - Accent3 4 2 3 3 3 2" xfId="19725" xr:uid="{00000000-0005-0000-0000-0000BF6B0000}"/>
    <cellStyle name="40% - Accent3 4 2 3 3 3 2 2" xfId="42327" xr:uid="{00000000-0005-0000-0000-0000C06B0000}"/>
    <cellStyle name="40% - Accent3 4 2 3 3 3 3" xfId="31026" xr:uid="{00000000-0005-0000-0000-0000C16B0000}"/>
    <cellStyle name="40% - Accent3 4 2 3 3 4" xfId="14075" xr:uid="{00000000-0005-0000-0000-0000C26B0000}"/>
    <cellStyle name="40% - Accent3 4 2 3 3 4 2" xfId="36677" xr:uid="{00000000-0005-0000-0000-0000C36B0000}"/>
    <cellStyle name="40% - Accent3 4 2 3 3 5" xfId="25376" xr:uid="{00000000-0005-0000-0000-0000C46B0000}"/>
    <cellStyle name="40% - Accent3 4 2 3 4" xfId="4373" xr:uid="{00000000-0005-0000-0000-0000C56B0000}"/>
    <cellStyle name="40% - Accent3 4 2 3 4 2" xfId="10023" xr:uid="{00000000-0005-0000-0000-0000C66B0000}"/>
    <cellStyle name="40% - Accent3 4 2 3 4 2 2" xfId="21324" xr:uid="{00000000-0005-0000-0000-0000C76B0000}"/>
    <cellStyle name="40% - Accent3 4 2 3 4 2 2 2" xfId="43926" xr:uid="{00000000-0005-0000-0000-0000C86B0000}"/>
    <cellStyle name="40% - Accent3 4 2 3 4 2 3" xfId="32625" xr:uid="{00000000-0005-0000-0000-0000C96B0000}"/>
    <cellStyle name="40% - Accent3 4 2 3 4 3" xfId="15674" xr:uid="{00000000-0005-0000-0000-0000CA6B0000}"/>
    <cellStyle name="40% - Accent3 4 2 3 4 3 2" xfId="38276" xr:uid="{00000000-0005-0000-0000-0000CB6B0000}"/>
    <cellStyle name="40% - Accent3 4 2 3 4 4" xfId="26975" xr:uid="{00000000-0005-0000-0000-0000CC6B0000}"/>
    <cellStyle name="40% - Accent3 4 2 3 5" xfId="7170" xr:uid="{00000000-0005-0000-0000-0000CD6B0000}"/>
    <cellStyle name="40% - Accent3 4 2 3 5 2" xfId="18471" xr:uid="{00000000-0005-0000-0000-0000CE6B0000}"/>
    <cellStyle name="40% - Accent3 4 2 3 5 2 2" xfId="41073" xr:uid="{00000000-0005-0000-0000-0000CF6B0000}"/>
    <cellStyle name="40% - Accent3 4 2 3 5 3" xfId="29772" xr:uid="{00000000-0005-0000-0000-0000D06B0000}"/>
    <cellStyle name="40% - Accent3 4 2 3 6" xfId="12821" xr:uid="{00000000-0005-0000-0000-0000D16B0000}"/>
    <cellStyle name="40% - Accent3 4 2 3 6 2" xfId="35423" xr:uid="{00000000-0005-0000-0000-0000D26B0000}"/>
    <cellStyle name="40% - Accent3 4 2 3 7" xfId="24122" xr:uid="{00000000-0005-0000-0000-0000D36B0000}"/>
    <cellStyle name="40% - Accent3 4 2 4" xfId="881" xr:uid="{00000000-0005-0000-0000-0000D46B0000}"/>
    <cellStyle name="40% - Accent3 4 2 4 2" xfId="2952" xr:uid="{00000000-0005-0000-0000-0000D56B0000}"/>
    <cellStyle name="40% - Accent3 4 2 4 2 2" xfId="5924" xr:uid="{00000000-0005-0000-0000-0000D66B0000}"/>
    <cellStyle name="40% - Accent3 4 2 4 2 2 2" xfId="11574" xr:uid="{00000000-0005-0000-0000-0000D76B0000}"/>
    <cellStyle name="40% - Accent3 4 2 4 2 2 2 2" xfId="22875" xr:uid="{00000000-0005-0000-0000-0000D86B0000}"/>
    <cellStyle name="40% - Accent3 4 2 4 2 2 2 2 2" xfId="45477" xr:uid="{00000000-0005-0000-0000-0000D96B0000}"/>
    <cellStyle name="40% - Accent3 4 2 4 2 2 2 3" xfId="34176" xr:uid="{00000000-0005-0000-0000-0000DA6B0000}"/>
    <cellStyle name="40% - Accent3 4 2 4 2 2 3" xfId="17225" xr:uid="{00000000-0005-0000-0000-0000DB6B0000}"/>
    <cellStyle name="40% - Accent3 4 2 4 2 2 3 2" xfId="39827" xr:uid="{00000000-0005-0000-0000-0000DC6B0000}"/>
    <cellStyle name="40% - Accent3 4 2 4 2 2 4" xfId="28526" xr:uid="{00000000-0005-0000-0000-0000DD6B0000}"/>
    <cellStyle name="40% - Accent3 4 2 4 2 3" xfId="8742" xr:uid="{00000000-0005-0000-0000-0000DE6B0000}"/>
    <cellStyle name="40% - Accent3 4 2 4 2 3 2" xfId="20043" xr:uid="{00000000-0005-0000-0000-0000DF6B0000}"/>
    <cellStyle name="40% - Accent3 4 2 4 2 3 2 2" xfId="42645" xr:uid="{00000000-0005-0000-0000-0000E06B0000}"/>
    <cellStyle name="40% - Accent3 4 2 4 2 3 3" xfId="31344" xr:uid="{00000000-0005-0000-0000-0000E16B0000}"/>
    <cellStyle name="40% - Accent3 4 2 4 2 4" xfId="14393" xr:uid="{00000000-0005-0000-0000-0000E26B0000}"/>
    <cellStyle name="40% - Accent3 4 2 4 2 4 2" xfId="36995" xr:uid="{00000000-0005-0000-0000-0000E36B0000}"/>
    <cellStyle name="40% - Accent3 4 2 4 2 5" xfId="25694" xr:uid="{00000000-0005-0000-0000-0000E46B0000}"/>
    <cellStyle name="40% - Accent3 4 2 4 3" xfId="4690" xr:uid="{00000000-0005-0000-0000-0000E56B0000}"/>
    <cellStyle name="40% - Accent3 4 2 4 3 2" xfId="10340" xr:uid="{00000000-0005-0000-0000-0000E66B0000}"/>
    <cellStyle name="40% - Accent3 4 2 4 3 2 2" xfId="21641" xr:uid="{00000000-0005-0000-0000-0000E76B0000}"/>
    <cellStyle name="40% - Accent3 4 2 4 3 2 2 2" xfId="44243" xr:uid="{00000000-0005-0000-0000-0000E86B0000}"/>
    <cellStyle name="40% - Accent3 4 2 4 3 2 3" xfId="32942" xr:uid="{00000000-0005-0000-0000-0000E96B0000}"/>
    <cellStyle name="40% - Accent3 4 2 4 3 3" xfId="15991" xr:uid="{00000000-0005-0000-0000-0000EA6B0000}"/>
    <cellStyle name="40% - Accent3 4 2 4 3 3 2" xfId="38593" xr:uid="{00000000-0005-0000-0000-0000EB6B0000}"/>
    <cellStyle name="40% - Accent3 4 2 4 3 4" xfId="27292" xr:uid="{00000000-0005-0000-0000-0000EC6B0000}"/>
    <cellStyle name="40% - Accent3 4 2 4 4" xfId="6877" xr:uid="{00000000-0005-0000-0000-0000ED6B0000}"/>
    <cellStyle name="40% - Accent3 4 2 4 4 2" xfId="18178" xr:uid="{00000000-0005-0000-0000-0000EE6B0000}"/>
    <cellStyle name="40% - Accent3 4 2 4 4 2 2" xfId="40780" xr:uid="{00000000-0005-0000-0000-0000EF6B0000}"/>
    <cellStyle name="40% - Accent3 4 2 4 4 3" xfId="29479" xr:uid="{00000000-0005-0000-0000-0000F06B0000}"/>
    <cellStyle name="40% - Accent3 4 2 4 5" xfId="12528" xr:uid="{00000000-0005-0000-0000-0000F16B0000}"/>
    <cellStyle name="40% - Accent3 4 2 4 5 2" xfId="35130" xr:uid="{00000000-0005-0000-0000-0000F26B0000}"/>
    <cellStyle name="40% - Accent3 4 2 4 6" xfId="23829" xr:uid="{00000000-0005-0000-0000-0000F36B0000}"/>
    <cellStyle name="40% - Accent3 4 2 5" xfId="1914" xr:uid="{00000000-0005-0000-0000-0000F46B0000}"/>
    <cellStyle name="40% - Accent3 4 2 5 2" xfId="3757" xr:uid="{00000000-0005-0000-0000-0000F56B0000}"/>
    <cellStyle name="40% - Accent3 4 2 5 2 2" xfId="9467" xr:uid="{00000000-0005-0000-0000-0000F66B0000}"/>
    <cellStyle name="40% - Accent3 4 2 5 2 2 2" xfId="20768" xr:uid="{00000000-0005-0000-0000-0000F76B0000}"/>
    <cellStyle name="40% - Accent3 4 2 5 2 2 2 2" xfId="43370" xr:uid="{00000000-0005-0000-0000-0000F86B0000}"/>
    <cellStyle name="40% - Accent3 4 2 5 2 2 3" xfId="32069" xr:uid="{00000000-0005-0000-0000-0000F96B0000}"/>
    <cellStyle name="40% - Accent3 4 2 5 2 3" xfId="15118" xr:uid="{00000000-0005-0000-0000-0000FA6B0000}"/>
    <cellStyle name="40% - Accent3 4 2 5 2 3 2" xfId="37720" xr:uid="{00000000-0005-0000-0000-0000FB6B0000}"/>
    <cellStyle name="40% - Accent3 4 2 5 2 4" xfId="26419" xr:uid="{00000000-0005-0000-0000-0000FC6B0000}"/>
    <cellStyle name="40% - Accent3 4 2 5 3" xfId="5300" xr:uid="{00000000-0005-0000-0000-0000FD6B0000}"/>
    <cellStyle name="40% - Accent3 4 2 5 3 2" xfId="10950" xr:uid="{00000000-0005-0000-0000-0000FE6B0000}"/>
    <cellStyle name="40% - Accent3 4 2 5 3 2 2" xfId="22251" xr:uid="{00000000-0005-0000-0000-0000FF6B0000}"/>
    <cellStyle name="40% - Accent3 4 2 5 3 2 2 2" xfId="44853" xr:uid="{00000000-0005-0000-0000-0000006C0000}"/>
    <cellStyle name="40% - Accent3 4 2 5 3 2 3" xfId="33552" xr:uid="{00000000-0005-0000-0000-0000016C0000}"/>
    <cellStyle name="40% - Accent3 4 2 5 3 3" xfId="16601" xr:uid="{00000000-0005-0000-0000-0000026C0000}"/>
    <cellStyle name="40% - Accent3 4 2 5 3 3 2" xfId="39203" xr:uid="{00000000-0005-0000-0000-0000036C0000}"/>
    <cellStyle name="40% - Accent3 4 2 5 3 4" xfId="27902" xr:uid="{00000000-0005-0000-0000-0000046C0000}"/>
    <cellStyle name="40% - Accent3 4 2 5 4" xfId="7770" xr:uid="{00000000-0005-0000-0000-0000056C0000}"/>
    <cellStyle name="40% - Accent3 4 2 5 4 2" xfId="19071" xr:uid="{00000000-0005-0000-0000-0000066C0000}"/>
    <cellStyle name="40% - Accent3 4 2 5 4 2 2" xfId="41673" xr:uid="{00000000-0005-0000-0000-0000076C0000}"/>
    <cellStyle name="40% - Accent3 4 2 5 4 3" xfId="30372" xr:uid="{00000000-0005-0000-0000-0000086C0000}"/>
    <cellStyle name="40% - Accent3 4 2 5 5" xfId="13421" xr:uid="{00000000-0005-0000-0000-0000096C0000}"/>
    <cellStyle name="40% - Accent3 4 2 5 5 2" xfId="36023" xr:uid="{00000000-0005-0000-0000-00000A6C0000}"/>
    <cellStyle name="40% - Accent3 4 2 5 6" xfId="24722" xr:uid="{00000000-0005-0000-0000-00000B6C0000}"/>
    <cellStyle name="40% - Accent3 4 2 6" xfId="2279" xr:uid="{00000000-0005-0000-0000-00000C6C0000}"/>
    <cellStyle name="40% - Accent3 4 2 6 2" xfId="8115" xr:uid="{00000000-0005-0000-0000-00000D6C0000}"/>
    <cellStyle name="40% - Accent3 4 2 6 2 2" xfId="19416" xr:uid="{00000000-0005-0000-0000-00000E6C0000}"/>
    <cellStyle name="40% - Accent3 4 2 6 2 2 2" xfId="42018" xr:uid="{00000000-0005-0000-0000-00000F6C0000}"/>
    <cellStyle name="40% - Accent3 4 2 6 2 3" xfId="30717" xr:uid="{00000000-0005-0000-0000-0000106C0000}"/>
    <cellStyle name="40% - Accent3 4 2 6 3" xfId="13766" xr:uid="{00000000-0005-0000-0000-0000116C0000}"/>
    <cellStyle name="40% - Accent3 4 2 6 3 2" xfId="36368" xr:uid="{00000000-0005-0000-0000-0000126C0000}"/>
    <cellStyle name="40% - Accent3 4 2 6 4" xfId="25067" xr:uid="{00000000-0005-0000-0000-0000136C0000}"/>
    <cellStyle name="40% - Accent3 4 2 7" xfId="4066" xr:uid="{00000000-0005-0000-0000-0000146C0000}"/>
    <cellStyle name="40% - Accent3 4 2 7 2" xfId="9716" xr:uid="{00000000-0005-0000-0000-0000156C0000}"/>
    <cellStyle name="40% - Accent3 4 2 7 2 2" xfId="21017" xr:uid="{00000000-0005-0000-0000-0000166C0000}"/>
    <cellStyle name="40% - Accent3 4 2 7 2 2 2" xfId="43619" xr:uid="{00000000-0005-0000-0000-0000176C0000}"/>
    <cellStyle name="40% - Accent3 4 2 7 2 3" xfId="32318" xr:uid="{00000000-0005-0000-0000-0000186C0000}"/>
    <cellStyle name="40% - Accent3 4 2 7 3" xfId="15367" xr:uid="{00000000-0005-0000-0000-0000196C0000}"/>
    <cellStyle name="40% - Accent3 4 2 7 3 2" xfId="37969" xr:uid="{00000000-0005-0000-0000-00001A6C0000}"/>
    <cellStyle name="40% - Accent3 4 2 7 4" xfId="26668" xr:uid="{00000000-0005-0000-0000-00001B6C0000}"/>
    <cellStyle name="40% - Accent3 4 2 8" xfId="6517" xr:uid="{00000000-0005-0000-0000-00001C6C0000}"/>
    <cellStyle name="40% - Accent3 4 2 8 2" xfId="17818" xr:uid="{00000000-0005-0000-0000-00001D6C0000}"/>
    <cellStyle name="40% - Accent3 4 2 8 2 2" xfId="40420" xr:uid="{00000000-0005-0000-0000-00001E6C0000}"/>
    <cellStyle name="40% - Accent3 4 2 8 3" xfId="29119" xr:uid="{00000000-0005-0000-0000-00001F6C0000}"/>
    <cellStyle name="40% - Accent3 4 2 9" xfId="12168" xr:uid="{00000000-0005-0000-0000-0000206C0000}"/>
    <cellStyle name="40% - Accent3 4 2 9 2" xfId="34770" xr:uid="{00000000-0005-0000-0000-0000216C0000}"/>
    <cellStyle name="40% - Accent3 4 3" xfId="423" xr:uid="{00000000-0005-0000-0000-0000226C0000}"/>
    <cellStyle name="40% - Accent3 4 3 10" xfId="23518" xr:uid="{00000000-0005-0000-0000-0000236C0000}"/>
    <cellStyle name="40% - Accent3 4 3 2" xfId="668" xr:uid="{00000000-0005-0000-0000-0000246C0000}"/>
    <cellStyle name="40% - Accent3 4 3 2 2" xfId="1378" xr:uid="{00000000-0005-0000-0000-0000256C0000}"/>
    <cellStyle name="40% - Accent3 4 3 2 2 2" xfId="1920" xr:uid="{00000000-0005-0000-0000-0000266C0000}"/>
    <cellStyle name="40% - Accent3 4 3 2 2 2 2" xfId="3447" xr:uid="{00000000-0005-0000-0000-0000276C0000}"/>
    <cellStyle name="40% - Accent3 4 3 2 2 2 2 2" xfId="6419" xr:uid="{00000000-0005-0000-0000-0000286C0000}"/>
    <cellStyle name="40% - Accent3 4 3 2 2 2 2 2 2" xfId="12069" xr:uid="{00000000-0005-0000-0000-0000296C0000}"/>
    <cellStyle name="40% - Accent3 4 3 2 2 2 2 2 2 2" xfId="23370" xr:uid="{00000000-0005-0000-0000-00002A6C0000}"/>
    <cellStyle name="40% - Accent3 4 3 2 2 2 2 2 2 2 2" xfId="45972" xr:uid="{00000000-0005-0000-0000-00002B6C0000}"/>
    <cellStyle name="40% - Accent3 4 3 2 2 2 2 2 2 3" xfId="34671" xr:uid="{00000000-0005-0000-0000-00002C6C0000}"/>
    <cellStyle name="40% - Accent3 4 3 2 2 2 2 2 3" xfId="17720" xr:uid="{00000000-0005-0000-0000-00002D6C0000}"/>
    <cellStyle name="40% - Accent3 4 3 2 2 2 2 2 3 2" xfId="40322" xr:uid="{00000000-0005-0000-0000-00002E6C0000}"/>
    <cellStyle name="40% - Accent3 4 3 2 2 2 2 2 4" xfId="29021" xr:uid="{00000000-0005-0000-0000-00002F6C0000}"/>
    <cellStyle name="40% - Accent3 4 3 2 2 2 2 3" xfId="9237" xr:uid="{00000000-0005-0000-0000-0000306C0000}"/>
    <cellStyle name="40% - Accent3 4 3 2 2 2 2 3 2" xfId="20538" xr:uid="{00000000-0005-0000-0000-0000316C0000}"/>
    <cellStyle name="40% - Accent3 4 3 2 2 2 2 3 2 2" xfId="43140" xr:uid="{00000000-0005-0000-0000-0000326C0000}"/>
    <cellStyle name="40% - Accent3 4 3 2 2 2 2 3 3" xfId="31839" xr:uid="{00000000-0005-0000-0000-0000336C0000}"/>
    <cellStyle name="40% - Accent3 4 3 2 2 2 2 4" xfId="14888" xr:uid="{00000000-0005-0000-0000-0000346C0000}"/>
    <cellStyle name="40% - Accent3 4 3 2 2 2 2 4 2" xfId="37490" xr:uid="{00000000-0005-0000-0000-0000356C0000}"/>
    <cellStyle name="40% - Accent3 4 3 2 2 2 2 5" xfId="26189" xr:uid="{00000000-0005-0000-0000-0000366C0000}"/>
    <cellStyle name="40% - Accent3 4 3 2 2 2 3" xfId="5185" xr:uid="{00000000-0005-0000-0000-0000376C0000}"/>
    <cellStyle name="40% - Accent3 4 3 2 2 2 3 2" xfId="10835" xr:uid="{00000000-0005-0000-0000-0000386C0000}"/>
    <cellStyle name="40% - Accent3 4 3 2 2 2 3 2 2" xfId="22136" xr:uid="{00000000-0005-0000-0000-0000396C0000}"/>
    <cellStyle name="40% - Accent3 4 3 2 2 2 3 2 2 2" xfId="44738" xr:uid="{00000000-0005-0000-0000-00003A6C0000}"/>
    <cellStyle name="40% - Accent3 4 3 2 2 2 3 2 3" xfId="33437" xr:uid="{00000000-0005-0000-0000-00003B6C0000}"/>
    <cellStyle name="40% - Accent3 4 3 2 2 2 3 3" xfId="16486" xr:uid="{00000000-0005-0000-0000-00003C6C0000}"/>
    <cellStyle name="40% - Accent3 4 3 2 2 2 3 3 2" xfId="39088" xr:uid="{00000000-0005-0000-0000-00003D6C0000}"/>
    <cellStyle name="40% - Accent3 4 3 2 2 2 3 4" xfId="27787" xr:uid="{00000000-0005-0000-0000-00003E6C0000}"/>
    <cellStyle name="40% - Accent3 4 3 2 2 2 4" xfId="7776" xr:uid="{00000000-0005-0000-0000-00003F6C0000}"/>
    <cellStyle name="40% - Accent3 4 3 2 2 2 4 2" xfId="19077" xr:uid="{00000000-0005-0000-0000-0000406C0000}"/>
    <cellStyle name="40% - Accent3 4 3 2 2 2 4 2 2" xfId="41679" xr:uid="{00000000-0005-0000-0000-0000416C0000}"/>
    <cellStyle name="40% - Accent3 4 3 2 2 2 4 3" xfId="30378" xr:uid="{00000000-0005-0000-0000-0000426C0000}"/>
    <cellStyle name="40% - Accent3 4 3 2 2 2 5" xfId="13427" xr:uid="{00000000-0005-0000-0000-0000436C0000}"/>
    <cellStyle name="40% - Accent3 4 3 2 2 2 5 2" xfId="36029" xr:uid="{00000000-0005-0000-0000-0000446C0000}"/>
    <cellStyle name="40% - Accent3 4 3 2 2 2 6" xfId="24728" xr:uid="{00000000-0005-0000-0000-0000456C0000}"/>
    <cellStyle name="40% - Accent3 4 3 2 2 3" xfId="2776" xr:uid="{00000000-0005-0000-0000-0000466C0000}"/>
    <cellStyle name="40% - Accent3 4 3 2 2 3 2" xfId="5795" xr:uid="{00000000-0005-0000-0000-0000476C0000}"/>
    <cellStyle name="40% - Accent3 4 3 2 2 3 2 2" xfId="11445" xr:uid="{00000000-0005-0000-0000-0000486C0000}"/>
    <cellStyle name="40% - Accent3 4 3 2 2 3 2 2 2" xfId="22746" xr:uid="{00000000-0005-0000-0000-0000496C0000}"/>
    <cellStyle name="40% - Accent3 4 3 2 2 3 2 2 2 2" xfId="45348" xr:uid="{00000000-0005-0000-0000-00004A6C0000}"/>
    <cellStyle name="40% - Accent3 4 3 2 2 3 2 2 3" xfId="34047" xr:uid="{00000000-0005-0000-0000-00004B6C0000}"/>
    <cellStyle name="40% - Accent3 4 3 2 2 3 2 3" xfId="17096" xr:uid="{00000000-0005-0000-0000-00004C6C0000}"/>
    <cellStyle name="40% - Accent3 4 3 2 2 3 2 3 2" xfId="39698" xr:uid="{00000000-0005-0000-0000-00004D6C0000}"/>
    <cellStyle name="40% - Accent3 4 3 2 2 3 2 4" xfId="28397" xr:uid="{00000000-0005-0000-0000-00004E6C0000}"/>
    <cellStyle name="40% - Accent3 4 3 2 2 3 3" xfId="8612" xr:uid="{00000000-0005-0000-0000-00004F6C0000}"/>
    <cellStyle name="40% - Accent3 4 3 2 2 3 3 2" xfId="19913" xr:uid="{00000000-0005-0000-0000-0000506C0000}"/>
    <cellStyle name="40% - Accent3 4 3 2 2 3 3 2 2" xfId="42515" xr:uid="{00000000-0005-0000-0000-0000516C0000}"/>
    <cellStyle name="40% - Accent3 4 3 2 2 3 3 3" xfId="31214" xr:uid="{00000000-0005-0000-0000-0000526C0000}"/>
    <cellStyle name="40% - Accent3 4 3 2 2 3 4" xfId="14263" xr:uid="{00000000-0005-0000-0000-0000536C0000}"/>
    <cellStyle name="40% - Accent3 4 3 2 2 3 4 2" xfId="36865" xr:uid="{00000000-0005-0000-0000-0000546C0000}"/>
    <cellStyle name="40% - Accent3 4 3 2 2 3 5" xfId="25564" xr:uid="{00000000-0005-0000-0000-0000556C0000}"/>
    <cellStyle name="40% - Accent3 4 3 2 2 4" xfId="4561" xr:uid="{00000000-0005-0000-0000-0000566C0000}"/>
    <cellStyle name="40% - Accent3 4 3 2 2 4 2" xfId="10211" xr:uid="{00000000-0005-0000-0000-0000576C0000}"/>
    <cellStyle name="40% - Accent3 4 3 2 2 4 2 2" xfId="21512" xr:uid="{00000000-0005-0000-0000-0000586C0000}"/>
    <cellStyle name="40% - Accent3 4 3 2 2 4 2 2 2" xfId="44114" xr:uid="{00000000-0005-0000-0000-0000596C0000}"/>
    <cellStyle name="40% - Accent3 4 3 2 2 4 2 3" xfId="32813" xr:uid="{00000000-0005-0000-0000-00005A6C0000}"/>
    <cellStyle name="40% - Accent3 4 3 2 2 4 3" xfId="15862" xr:uid="{00000000-0005-0000-0000-00005B6C0000}"/>
    <cellStyle name="40% - Accent3 4 3 2 2 4 3 2" xfId="38464" xr:uid="{00000000-0005-0000-0000-00005C6C0000}"/>
    <cellStyle name="40% - Accent3 4 3 2 2 4 4" xfId="27163" xr:uid="{00000000-0005-0000-0000-00005D6C0000}"/>
    <cellStyle name="40% - Accent3 4 3 2 2 5" xfId="7357" xr:uid="{00000000-0005-0000-0000-00005E6C0000}"/>
    <cellStyle name="40% - Accent3 4 3 2 2 5 2" xfId="18658" xr:uid="{00000000-0005-0000-0000-00005F6C0000}"/>
    <cellStyle name="40% - Accent3 4 3 2 2 5 2 2" xfId="41260" xr:uid="{00000000-0005-0000-0000-0000606C0000}"/>
    <cellStyle name="40% - Accent3 4 3 2 2 5 3" xfId="29959" xr:uid="{00000000-0005-0000-0000-0000616C0000}"/>
    <cellStyle name="40% - Accent3 4 3 2 2 6" xfId="13008" xr:uid="{00000000-0005-0000-0000-0000626C0000}"/>
    <cellStyle name="40% - Accent3 4 3 2 2 6 2" xfId="35610" xr:uid="{00000000-0005-0000-0000-0000636C0000}"/>
    <cellStyle name="40% - Accent3 4 3 2 2 7" xfId="24309" xr:uid="{00000000-0005-0000-0000-0000646C0000}"/>
    <cellStyle name="40% - Accent3 4 3 2 3" xfId="1076" xr:uid="{00000000-0005-0000-0000-0000656C0000}"/>
    <cellStyle name="40% - Accent3 4 3 2 3 2" xfId="3139" xr:uid="{00000000-0005-0000-0000-0000666C0000}"/>
    <cellStyle name="40% - Accent3 4 3 2 3 2 2" xfId="6111" xr:uid="{00000000-0005-0000-0000-0000676C0000}"/>
    <cellStyle name="40% - Accent3 4 3 2 3 2 2 2" xfId="11761" xr:uid="{00000000-0005-0000-0000-0000686C0000}"/>
    <cellStyle name="40% - Accent3 4 3 2 3 2 2 2 2" xfId="23062" xr:uid="{00000000-0005-0000-0000-0000696C0000}"/>
    <cellStyle name="40% - Accent3 4 3 2 3 2 2 2 2 2" xfId="45664" xr:uid="{00000000-0005-0000-0000-00006A6C0000}"/>
    <cellStyle name="40% - Accent3 4 3 2 3 2 2 2 3" xfId="34363" xr:uid="{00000000-0005-0000-0000-00006B6C0000}"/>
    <cellStyle name="40% - Accent3 4 3 2 3 2 2 3" xfId="17412" xr:uid="{00000000-0005-0000-0000-00006C6C0000}"/>
    <cellStyle name="40% - Accent3 4 3 2 3 2 2 3 2" xfId="40014" xr:uid="{00000000-0005-0000-0000-00006D6C0000}"/>
    <cellStyle name="40% - Accent3 4 3 2 3 2 2 4" xfId="28713" xr:uid="{00000000-0005-0000-0000-00006E6C0000}"/>
    <cellStyle name="40% - Accent3 4 3 2 3 2 3" xfId="8929" xr:uid="{00000000-0005-0000-0000-00006F6C0000}"/>
    <cellStyle name="40% - Accent3 4 3 2 3 2 3 2" xfId="20230" xr:uid="{00000000-0005-0000-0000-0000706C0000}"/>
    <cellStyle name="40% - Accent3 4 3 2 3 2 3 2 2" xfId="42832" xr:uid="{00000000-0005-0000-0000-0000716C0000}"/>
    <cellStyle name="40% - Accent3 4 3 2 3 2 3 3" xfId="31531" xr:uid="{00000000-0005-0000-0000-0000726C0000}"/>
    <cellStyle name="40% - Accent3 4 3 2 3 2 4" xfId="14580" xr:uid="{00000000-0005-0000-0000-0000736C0000}"/>
    <cellStyle name="40% - Accent3 4 3 2 3 2 4 2" xfId="37182" xr:uid="{00000000-0005-0000-0000-0000746C0000}"/>
    <cellStyle name="40% - Accent3 4 3 2 3 2 5" xfId="25881" xr:uid="{00000000-0005-0000-0000-0000756C0000}"/>
    <cellStyle name="40% - Accent3 4 3 2 3 3" xfId="4877" xr:uid="{00000000-0005-0000-0000-0000766C0000}"/>
    <cellStyle name="40% - Accent3 4 3 2 3 3 2" xfId="10527" xr:uid="{00000000-0005-0000-0000-0000776C0000}"/>
    <cellStyle name="40% - Accent3 4 3 2 3 3 2 2" xfId="21828" xr:uid="{00000000-0005-0000-0000-0000786C0000}"/>
    <cellStyle name="40% - Accent3 4 3 2 3 3 2 2 2" xfId="44430" xr:uid="{00000000-0005-0000-0000-0000796C0000}"/>
    <cellStyle name="40% - Accent3 4 3 2 3 3 2 3" xfId="33129" xr:uid="{00000000-0005-0000-0000-00007A6C0000}"/>
    <cellStyle name="40% - Accent3 4 3 2 3 3 3" xfId="16178" xr:uid="{00000000-0005-0000-0000-00007B6C0000}"/>
    <cellStyle name="40% - Accent3 4 3 2 3 3 3 2" xfId="38780" xr:uid="{00000000-0005-0000-0000-00007C6C0000}"/>
    <cellStyle name="40% - Accent3 4 3 2 3 3 4" xfId="27479" xr:uid="{00000000-0005-0000-0000-00007D6C0000}"/>
    <cellStyle name="40% - Accent3 4 3 2 3 4" xfId="7064" xr:uid="{00000000-0005-0000-0000-00007E6C0000}"/>
    <cellStyle name="40% - Accent3 4 3 2 3 4 2" xfId="18365" xr:uid="{00000000-0005-0000-0000-00007F6C0000}"/>
    <cellStyle name="40% - Accent3 4 3 2 3 4 2 2" xfId="40967" xr:uid="{00000000-0005-0000-0000-0000806C0000}"/>
    <cellStyle name="40% - Accent3 4 3 2 3 4 3" xfId="29666" xr:uid="{00000000-0005-0000-0000-0000816C0000}"/>
    <cellStyle name="40% - Accent3 4 3 2 3 5" xfId="12715" xr:uid="{00000000-0005-0000-0000-0000826C0000}"/>
    <cellStyle name="40% - Accent3 4 3 2 3 5 2" xfId="35317" xr:uid="{00000000-0005-0000-0000-0000836C0000}"/>
    <cellStyle name="40% - Accent3 4 3 2 3 6" xfId="24016" xr:uid="{00000000-0005-0000-0000-0000846C0000}"/>
    <cellStyle name="40% - Accent3 4 3 2 4" xfId="1919" xr:uid="{00000000-0005-0000-0000-0000856C0000}"/>
    <cellStyle name="40% - Accent3 4 3 2 4 2" xfId="3760" xr:uid="{00000000-0005-0000-0000-0000866C0000}"/>
    <cellStyle name="40% - Accent3 4 3 2 4 2 2" xfId="9470" xr:uid="{00000000-0005-0000-0000-0000876C0000}"/>
    <cellStyle name="40% - Accent3 4 3 2 4 2 2 2" xfId="20771" xr:uid="{00000000-0005-0000-0000-0000886C0000}"/>
    <cellStyle name="40% - Accent3 4 3 2 4 2 2 2 2" xfId="43373" xr:uid="{00000000-0005-0000-0000-0000896C0000}"/>
    <cellStyle name="40% - Accent3 4 3 2 4 2 2 3" xfId="32072" xr:uid="{00000000-0005-0000-0000-00008A6C0000}"/>
    <cellStyle name="40% - Accent3 4 3 2 4 2 3" xfId="15121" xr:uid="{00000000-0005-0000-0000-00008B6C0000}"/>
    <cellStyle name="40% - Accent3 4 3 2 4 2 3 2" xfId="37723" xr:uid="{00000000-0005-0000-0000-00008C6C0000}"/>
    <cellStyle name="40% - Accent3 4 3 2 4 2 4" xfId="26422" xr:uid="{00000000-0005-0000-0000-00008D6C0000}"/>
    <cellStyle name="40% - Accent3 4 3 2 4 3" xfId="5487" xr:uid="{00000000-0005-0000-0000-00008E6C0000}"/>
    <cellStyle name="40% - Accent3 4 3 2 4 3 2" xfId="11137" xr:uid="{00000000-0005-0000-0000-00008F6C0000}"/>
    <cellStyle name="40% - Accent3 4 3 2 4 3 2 2" xfId="22438" xr:uid="{00000000-0005-0000-0000-0000906C0000}"/>
    <cellStyle name="40% - Accent3 4 3 2 4 3 2 2 2" xfId="45040" xr:uid="{00000000-0005-0000-0000-0000916C0000}"/>
    <cellStyle name="40% - Accent3 4 3 2 4 3 2 3" xfId="33739" xr:uid="{00000000-0005-0000-0000-0000926C0000}"/>
    <cellStyle name="40% - Accent3 4 3 2 4 3 3" xfId="16788" xr:uid="{00000000-0005-0000-0000-0000936C0000}"/>
    <cellStyle name="40% - Accent3 4 3 2 4 3 3 2" xfId="39390" xr:uid="{00000000-0005-0000-0000-0000946C0000}"/>
    <cellStyle name="40% - Accent3 4 3 2 4 3 4" xfId="28089" xr:uid="{00000000-0005-0000-0000-0000956C0000}"/>
    <cellStyle name="40% - Accent3 4 3 2 4 4" xfId="7775" xr:uid="{00000000-0005-0000-0000-0000966C0000}"/>
    <cellStyle name="40% - Accent3 4 3 2 4 4 2" xfId="19076" xr:uid="{00000000-0005-0000-0000-0000976C0000}"/>
    <cellStyle name="40% - Accent3 4 3 2 4 4 2 2" xfId="41678" xr:uid="{00000000-0005-0000-0000-0000986C0000}"/>
    <cellStyle name="40% - Accent3 4 3 2 4 4 3" xfId="30377" xr:uid="{00000000-0005-0000-0000-0000996C0000}"/>
    <cellStyle name="40% - Accent3 4 3 2 4 5" xfId="13426" xr:uid="{00000000-0005-0000-0000-00009A6C0000}"/>
    <cellStyle name="40% - Accent3 4 3 2 4 5 2" xfId="36028" xr:uid="{00000000-0005-0000-0000-00009B6C0000}"/>
    <cellStyle name="40% - Accent3 4 3 2 4 6" xfId="24727" xr:uid="{00000000-0005-0000-0000-00009C6C0000}"/>
    <cellStyle name="40% - Accent3 4 3 2 5" xfId="2468" xr:uid="{00000000-0005-0000-0000-00009D6C0000}"/>
    <cellStyle name="40% - Accent3 4 3 2 5 2" xfId="8304" xr:uid="{00000000-0005-0000-0000-00009E6C0000}"/>
    <cellStyle name="40% - Accent3 4 3 2 5 2 2" xfId="19605" xr:uid="{00000000-0005-0000-0000-00009F6C0000}"/>
    <cellStyle name="40% - Accent3 4 3 2 5 2 2 2" xfId="42207" xr:uid="{00000000-0005-0000-0000-0000A06C0000}"/>
    <cellStyle name="40% - Accent3 4 3 2 5 2 3" xfId="30906" xr:uid="{00000000-0005-0000-0000-0000A16C0000}"/>
    <cellStyle name="40% - Accent3 4 3 2 5 3" xfId="13955" xr:uid="{00000000-0005-0000-0000-0000A26C0000}"/>
    <cellStyle name="40% - Accent3 4 3 2 5 3 2" xfId="36557" xr:uid="{00000000-0005-0000-0000-0000A36C0000}"/>
    <cellStyle name="40% - Accent3 4 3 2 5 4" xfId="25256" xr:uid="{00000000-0005-0000-0000-0000A46C0000}"/>
    <cellStyle name="40% - Accent3 4 3 2 6" xfId="4253" xr:uid="{00000000-0005-0000-0000-0000A56C0000}"/>
    <cellStyle name="40% - Accent3 4 3 2 6 2" xfId="9903" xr:uid="{00000000-0005-0000-0000-0000A66C0000}"/>
    <cellStyle name="40% - Accent3 4 3 2 6 2 2" xfId="21204" xr:uid="{00000000-0005-0000-0000-0000A76C0000}"/>
    <cellStyle name="40% - Accent3 4 3 2 6 2 2 2" xfId="43806" xr:uid="{00000000-0005-0000-0000-0000A86C0000}"/>
    <cellStyle name="40% - Accent3 4 3 2 6 2 3" xfId="32505" xr:uid="{00000000-0005-0000-0000-0000A96C0000}"/>
    <cellStyle name="40% - Accent3 4 3 2 6 3" xfId="15554" xr:uid="{00000000-0005-0000-0000-0000AA6C0000}"/>
    <cellStyle name="40% - Accent3 4 3 2 6 3 2" xfId="38156" xr:uid="{00000000-0005-0000-0000-0000AB6C0000}"/>
    <cellStyle name="40% - Accent3 4 3 2 6 4" xfId="26855" xr:uid="{00000000-0005-0000-0000-0000AC6C0000}"/>
    <cellStyle name="40% - Accent3 4 3 2 7" xfId="6733" xr:uid="{00000000-0005-0000-0000-0000AD6C0000}"/>
    <cellStyle name="40% - Accent3 4 3 2 7 2" xfId="18034" xr:uid="{00000000-0005-0000-0000-0000AE6C0000}"/>
    <cellStyle name="40% - Accent3 4 3 2 7 2 2" xfId="40636" xr:uid="{00000000-0005-0000-0000-0000AF6C0000}"/>
    <cellStyle name="40% - Accent3 4 3 2 7 3" xfId="29335" xr:uid="{00000000-0005-0000-0000-0000B06C0000}"/>
    <cellStyle name="40% - Accent3 4 3 2 8" xfId="12384" xr:uid="{00000000-0005-0000-0000-0000B16C0000}"/>
    <cellStyle name="40% - Accent3 4 3 2 8 2" xfId="34986" xr:uid="{00000000-0005-0000-0000-0000B26C0000}"/>
    <cellStyle name="40% - Accent3 4 3 2 9" xfId="23685" xr:uid="{00000000-0005-0000-0000-0000B36C0000}"/>
    <cellStyle name="40% - Accent3 4 3 3" xfId="1240" xr:uid="{00000000-0005-0000-0000-0000B46C0000}"/>
    <cellStyle name="40% - Accent3 4 3 3 2" xfId="1921" xr:uid="{00000000-0005-0000-0000-0000B56C0000}"/>
    <cellStyle name="40% - Accent3 4 3 3 2 2" xfId="3308" xr:uid="{00000000-0005-0000-0000-0000B66C0000}"/>
    <cellStyle name="40% - Accent3 4 3 3 2 2 2" xfId="6280" xr:uid="{00000000-0005-0000-0000-0000B76C0000}"/>
    <cellStyle name="40% - Accent3 4 3 3 2 2 2 2" xfId="11930" xr:uid="{00000000-0005-0000-0000-0000B86C0000}"/>
    <cellStyle name="40% - Accent3 4 3 3 2 2 2 2 2" xfId="23231" xr:uid="{00000000-0005-0000-0000-0000B96C0000}"/>
    <cellStyle name="40% - Accent3 4 3 3 2 2 2 2 2 2" xfId="45833" xr:uid="{00000000-0005-0000-0000-0000BA6C0000}"/>
    <cellStyle name="40% - Accent3 4 3 3 2 2 2 2 3" xfId="34532" xr:uid="{00000000-0005-0000-0000-0000BB6C0000}"/>
    <cellStyle name="40% - Accent3 4 3 3 2 2 2 3" xfId="17581" xr:uid="{00000000-0005-0000-0000-0000BC6C0000}"/>
    <cellStyle name="40% - Accent3 4 3 3 2 2 2 3 2" xfId="40183" xr:uid="{00000000-0005-0000-0000-0000BD6C0000}"/>
    <cellStyle name="40% - Accent3 4 3 3 2 2 2 4" xfId="28882" xr:uid="{00000000-0005-0000-0000-0000BE6C0000}"/>
    <cellStyle name="40% - Accent3 4 3 3 2 2 3" xfId="9098" xr:uid="{00000000-0005-0000-0000-0000BF6C0000}"/>
    <cellStyle name="40% - Accent3 4 3 3 2 2 3 2" xfId="20399" xr:uid="{00000000-0005-0000-0000-0000C06C0000}"/>
    <cellStyle name="40% - Accent3 4 3 3 2 2 3 2 2" xfId="43001" xr:uid="{00000000-0005-0000-0000-0000C16C0000}"/>
    <cellStyle name="40% - Accent3 4 3 3 2 2 3 3" xfId="31700" xr:uid="{00000000-0005-0000-0000-0000C26C0000}"/>
    <cellStyle name="40% - Accent3 4 3 3 2 2 4" xfId="14749" xr:uid="{00000000-0005-0000-0000-0000C36C0000}"/>
    <cellStyle name="40% - Accent3 4 3 3 2 2 4 2" xfId="37351" xr:uid="{00000000-0005-0000-0000-0000C46C0000}"/>
    <cellStyle name="40% - Accent3 4 3 3 2 2 5" xfId="26050" xr:uid="{00000000-0005-0000-0000-0000C56C0000}"/>
    <cellStyle name="40% - Accent3 4 3 3 2 3" xfId="5046" xr:uid="{00000000-0005-0000-0000-0000C66C0000}"/>
    <cellStyle name="40% - Accent3 4 3 3 2 3 2" xfId="10696" xr:uid="{00000000-0005-0000-0000-0000C76C0000}"/>
    <cellStyle name="40% - Accent3 4 3 3 2 3 2 2" xfId="21997" xr:uid="{00000000-0005-0000-0000-0000C86C0000}"/>
    <cellStyle name="40% - Accent3 4 3 3 2 3 2 2 2" xfId="44599" xr:uid="{00000000-0005-0000-0000-0000C96C0000}"/>
    <cellStyle name="40% - Accent3 4 3 3 2 3 2 3" xfId="33298" xr:uid="{00000000-0005-0000-0000-0000CA6C0000}"/>
    <cellStyle name="40% - Accent3 4 3 3 2 3 3" xfId="16347" xr:uid="{00000000-0005-0000-0000-0000CB6C0000}"/>
    <cellStyle name="40% - Accent3 4 3 3 2 3 3 2" xfId="38949" xr:uid="{00000000-0005-0000-0000-0000CC6C0000}"/>
    <cellStyle name="40% - Accent3 4 3 3 2 3 4" xfId="27648" xr:uid="{00000000-0005-0000-0000-0000CD6C0000}"/>
    <cellStyle name="40% - Accent3 4 3 3 2 4" xfId="7777" xr:uid="{00000000-0005-0000-0000-0000CE6C0000}"/>
    <cellStyle name="40% - Accent3 4 3 3 2 4 2" xfId="19078" xr:uid="{00000000-0005-0000-0000-0000CF6C0000}"/>
    <cellStyle name="40% - Accent3 4 3 3 2 4 2 2" xfId="41680" xr:uid="{00000000-0005-0000-0000-0000D06C0000}"/>
    <cellStyle name="40% - Accent3 4 3 3 2 4 3" xfId="30379" xr:uid="{00000000-0005-0000-0000-0000D16C0000}"/>
    <cellStyle name="40% - Accent3 4 3 3 2 5" xfId="13428" xr:uid="{00000000-0005-0000-0000-0000D26C0000}"/>
    <cellStyle name="40% - Accent3 4 3 3 2 5 2" xfId="36030" xr:uid="{00000000-0005-0000-0000-0000D36C0000}"/>
    <cellStyle name="40% - Accent3 4 3 3 2 6" xfId="24729" xr:uid="{00000000-0005-0000-0000-0000D46C0000}"/>
    <cellStyle name="40% - Accent3 4 3 3 3" xfId="2637" xr:uid="{00000000-0005-0000-0000-0000D56C0000}"/>
    <cellStyle name="40% - Accent3 4 3 3 3 2" xfId="5656" xr:uid="{00000000-0005-0000-0000-0000D66C0000}"/>
    <cellStyle name="40% - Accent3 4 3 3 3 2 2" xfId="11306" xr:uid="{00000000-0005-0000-0000-0000D76C0000}"/>
    <cellStyle name="40% - Accent3 4 3 3 3 2 2 2" xfId="22607" xr:uid="{00000000-0005-0000-0000-0000D86C0000}"/>
    <cellStyle name="40% - Accent3 4 3 3 3 2 2 2 2" xfId="45209" xr:uid="{00000000-0005-0000-0000-0000D96C0000}"/>
    <cellStyle name="40% - Accent3 4 3 3 3 2 2 3" xfId="33908" xr:uid="{00000000-0005-0000-0000-0000DA6C0000}"/>
    <cellStyle name="40% - Accent3 4 3 3 3 2 3" xfId="16957" xr:uid="{00000000-0005-0000-0000-0000DB6C0000}"/>
    <cellStyle name="40% - Accent3 4 3 3 3 2 3 2" xfId="39559" xr:uid="{00000000-0005-0000-0000-0000DC6C0000}"/>
    <cellStyle name="40% - Accent3 4 3 3 3 2 4" xfId="28258" xr:uid="{00000000-0005-0000-0000-0000DD6C0000}"/>
    <cellStyle name="40% - Accent3 4 3 3 3 3" xfId="8473" xr:uid="{00000000-0005-0000-0000-0000DE6C0000}"/>
    <cellStyle name="40% - Accent3 4 3 3 3 3 2" xfId="19774" xr:uid="{00000000-0005-0000-0000-0000DF6C0000}"/>
    <cellStyle name="40% - Accent3 4 3 3 3 3 2 2" xfId="42376" xr:uid="{00000000-0005-0000-0000-0000E06C0000}"/>
    <cellStyle name="40% - Accent3 4 3 3 3 3 3" xfId="31075" xr:uid="{00000000-0005-0000-0000-0000E16C0000}"/>
    <cellStyle name="40% - Accent3 4 3 3 3 4" xfId="14124" xr:uid="{00000000-0005-0000-0000-0000E26C0000}"/>
    <cellStyle name="40% - Accent3 4 3 3 3 4 2" xfId="36726" xr:uid="{00000000-0005-0000-0000-0000E36C0000}"/>
    <cellStyle name="40% - Accent3 4 3 3 3 5" xfId="25425" xr:uid="{00000000-0005-0000-0000-0000E46C0000}"/>
    <cellStyle name="40% - Accent3 4 3 3 4" xfId="4422" xr:uid="{00000000-0005-0000-0000-0000E56C0000}"/>
    <cellStyle name="40% - Accent3 4 3 3 4 2" xfId="10072" xr:uid="{00000000-0005-0000-0000-0000E66C0000}"/>
    <cellStyle name="40% - Accent3 4 3 3 4 2 2" xfId="21373" xr:uid="{00000000-0005-0000-0000-0000E76C0000}"/>
    <cellStyle name="40% - Accent3 4 3 3 4 2 2 2" xfId="43975" xr:uid="{00000000-0005-0000-0000-0000E86C0000}"/>
    <cellStyle name="40% - Accent3 4 3 3 4 2 3" xfId="32674" xr:uid="{00000000-0005-0000-0000-0000E96C0000}"/>
    <cellStyle name="40% - Accent3 4 3 3 4 3" xfId="15723" xr:uid="{00000000-0005-0000-0000-0000EA6C0000}"/>
    <cellStyle name="40% - Accent3 4 3 3 4 3 2" xfId="38325" xr:uid="{00000000-0005-0000-0000-0000EB6C0000}"/>
    <cellStyle name="40% - Accent3 4 3 3 4 4" xfId="27024" xr:uid="{00000000-0005-0000-0000-0000EC6C0000}"/>
    <cellStyle name="40% - Accent3 4 3 3 5" xfId="7219" xr:uid="{00000000-0005-0000-0000-0000ED6C0000}"/>
    <cellStyle name="40% - Accent3 4 3 3 5 2" xfId="18520" xr:uid="{00000000-0005-0000-0000-0000EE6C0000}"/>
    <cellStyle name="40% - Accent3 4 3 3 5 2 2" xfId="41122" xr:uid="{00000000-0005-0000-0000-0000EF6C0000}"/>
    <cellStyle name="40% - Accent3 4 3 3 5 3" xfId="29821" xr:uid="{00000000-0005-0000-0000-0000F06C0000}"/>
    <cellStyle name="40% - Accent3 4 3 3 6" xfId="12870" xr:uid="{00000000-0005-0000-0000-0000F16C0000}"/>
    <cellStyle name="40% - Accent3 4 3 3 6 2" xfId="35472" xr:uid="{00000000-0005-0000-0000-0000F26C0000}"/>
    <cellStyle name="40% - Accent3 4 3 3 7" xfId="24171" xr:uid="{00000000-0005-0000-0000-0000F36C0000}"/>
    <cellStyle name="40% - Accent3 4 3 4" xfId="931" xr:uid="{00000000-0005-0000-0000-0000F46C0000}"/>
    <cellStyle name="40% - Accent3 4 3 4 2" xfId="3001" xr:uid="{00000000-0005-0000-0000-0000F56C0000}"/>
    <cellStyle name="40% - Accent3 4 3 4 2 2" xfId="5973" xr:uid="{00000000-0005-0000-0000-0000F66C0000}"/>
    <cellStyle name="40% - Accent3 4 3 4 2 2 2" xfId="11623" xr:uid="{00000000-0005-0000-0000-0000F76C0000}"/>
    <cellStyle name="40% - Accent3 4 3 4 2 2 2 2" xfId="22924" xr:uid="{00000000-0005-0000-0000-0000F86C0000}"/>
    <cellStyle name="40% - Accent3 4 3 4 2 2 2 2 2" xfId="45526" xr:uid="{00000000-0005-0000-0000-0000F96C0000}"/>
    <cellStyle name="40% - Accent3 4 3 4 2 2 2 3" xfId="34225" xr:uid="{00000000-0005-0000-0000-0000FA6C0000}"/>
    <cellStyle name="40% - Accent3 4 3 4 2 2 3" xfId="17274" xr:uid="{00000000-0005-0000-0000-0000FB6C0000}"/>
    <cellStyle name="40% - Accent3 4 3 4 2 2 3 2" xfId="39876" xr:uid="{00000000-0005-0000-0000-0000FC6C0000}"/>
    <cellStyle name="40% - Accent3 4 3 4 2 2 4" xfId="28575" xr:uid="{00000000-0005-0000-0000-0000FD6C0000}"/>
    <cellStyle name="40% - Accent3 4 3 4 2 3" xfId="8791" xr:uid="{00000000-0005-0000-0000-0000FE6C0000}"/>
    <cellStyle name="40% - Accent3 4 3 4 2 3 2" xfId="20092" xr:uid="{00000000-0005-0000-0000-0000FF6C0000}"/>
    <cellStyle name="40% - Accent3 4 3 4 2 3 2 2" xfId="42694" xr:uid="{00000000-0005-0000-0000-0000006D0000}"/>
    <cellStyle name="40% - Accent3 4 3 4 2 3 3" xfId="31393" xr:uid="{00000000-0005-0000-0000-0000016D0000}"/>
    <cellStyle name="40% - Accent3 4 3 4 2 4" xfId="14442" xr:uid="{00000000-0005-0000-0000-0000026D0000}"/>
    <cellStyle name="40% - Accent3 4 3 4 2 4 2" xfId="37044" xr:uid="{00000000-0005-0000-0000-0000036D0000}"/>
    <cellStyle name="40% - Accent3 4 3 4 2 5" xfId="25743" xr:uid="{00000000-0005-0000-0000-0000046D0000}"/>
    <cellStyle name="40% - Accent3 4 3 4 3" xfId="4739" xr:uid="{00000000-0005-0000-0000-0000056D0000}"/>
    <cellStyle name="40% - Accent3 4 3 4 3 2" xfId="10389" xr:uid="{00000000-0005-0000-0000-0000066D0000}"/>
    <cellStyle name="40% - Accent3 4 3 4 3 2 2" xfId="21690" xr:uid="{00000000-0005-0000-0000-0000076D0000}"/>
    <cellStyle name="40% - Accent3 4 3 4 3 2 2 2" xfId="44292" xr:uid="{00000000-0005-0000-0000-0000086D0000}"/>
    <cellStyle name="40% - Accent3 4 3 4 3 2 3" xfId="32991" xr:uid="{00000000-0005-0000-0000-0000096D0000}"/>
    <cellStyle name="40% - Accent3 4 3 4 3 3" xfId="16040" xr:uid="{00000000-0005-0000-0000-00000A6D0000}"/>
    <cellStyle name="40% - Accent3 4 3 4 3 3 2" xfId="38642" xr:uid="{00000000-0005-0000-0000-00000B6D0000}"/>
    <cellStyle name="40% - Accent3 4 3 4 3 4" xfId="27341" xr:uid="{00000000-0005-0000-0000-00000C6D0000}"/>
    <cellStyle name="40% - Accent3 4 3 4 4" xfId="6926" xr:uid="{00000000-0005-0000-0000-00000D6D0000}"/>
    <cellStyle name="40% - Accent3 4 3 4 4 2" xfId="18227" xr:uid="{00000000-0005-0000-0000-00000E6D0000}"/>
    <cellStyle name="40% - Accent3 4 3 4 4 2 2" xfId="40829" xr:uid="{00000000-0005-0000-0000-00000F6D0000}"/>
    <cellStyle name="40% - Accent3 4 3 4 4 3" xfId="29528" xr:uid="{00000000-0005-0000-0000-0000106D0000}"/>
    <cellStyle name="40% - Accent3 4 3 4 5" xfId="12577" xr:uid="{00000000-0005-0000-0000-0000116D0000}"/>
    <cellStyle name="40% - Accent3 4 3 4 5 2" xfId="35179" xr:uid="{00000000-0005-0000-0000-0000126D0000}"/>
    <cellStyle name="40% - Accent3 4 3 4 6" xfId="23878" xr:uid="{00000000-0005-0000-0000-0000136D0000}"/>
    <cellStyle name="40% - Accent3 4 3 5" xfId="1918" xr:uid="{00000000-0005-0000-0000-0000146D0000}"/>
    <cellStyle name="40% - Accent3 4 3 5 2" xfId="3759" xr:uid="{00000000-0005-0000-0000-0000156D0000}"/>
    <cellStyle name="40% - Accent3 4 3 5 2 2" xfId="9469" xr:uid="{00000000-0005-0000-0000-0000166D0000}"/>
    <cellStyle name="40% - Accent3 4 3 5 2 2 2" xfId="20770" xr:uid="{00000000-0005-0000-0000-0000176D0000}"/>
    <cellStyle name="40% - Accent3 4 3 5 2 2 2 2" xfId="43372" xr:uid="{00000000-0005-0000-0000-0000186D0000}"/>
    <cellStyle name="40% - Accent3 4 3 5 2 2 3" xfId="32071" xr:uid="{00000000-0005-0000-0000-0000196D0000}"/>
    <cellStyle name="40% - Accent3 4 3 5 2 3" xfId="15120" xr:uid="{00000000-0005-0000-0000-00001A6D0000}"/>
    <cellStyle name="40% - Accent3 4 3 5 2 3 2" xfId="37722" xr:uid="{00000000-0005-0000-0000-00001B6D0000}"/>
    <cellStyle name="40% - Accent3 4 3 5 2 4" xfId="26421" xr:uid="{00000000-0005-0000-0000-00001C6D0000}"/>
    <cellStyle name="40% - Accent3 4 3 5 3" xfId="5349" xr:uid="{00000000-0005-0000-0000-00001D6D0000}"/>
    <cellStyle name="40% - Accent3 4 3 5 3 2" xfId="10999" xr:uid="{00000000-0005-0000-0000-00001E6D0000}"/>
    <cellStyle name="40% - Accent3 4 3 5 3 2 2" xfId="22300" xr:uid="{00000000-0005-0000-0000-00001F6D0000}"/>
    <cellStyle name="40% - Accent3 4 3 5 3 2 2 2" xfId="44902" xr:uid="{00000000-0005-0000-0000-0000206D0000}"/>
    <cellStyle name="40% - Accent3 4 3 5 3 2 3" xfId="33601" xr:uid="{00000000-0005-0000-0000-0000216D0000}"/>
    <cellStyle name="40% - Accent3 4 3 5 3 3" xfId="16650" xr:uid="{00000000-0005-0000-0000-0000226D0000}"/>
    <cellStyle name="40% - Accent3 4 3 5 3 3 2" xfId="39252" xr:uid="{00000000-0005-0000-0000-0000236D0000}"/>
    <cellStyle name="40% - Accent3 4 3 5 3 4" xfId="27951" xr:uid="{00000000-0005-0000-0000-0000246D0000}"/>
    <cellStyle name="40% - Accent3 4 3 5 4" xfId="7774" xr:uid="{00000000-0005-0000-0000-0000256D0000}"/>
    <cellStyle name="40% - Accent3 4 3 5 4 2" xfId="19075" xr:uid="{00000000-0005-0000-0000-0000266D0000}"/>
    <cellStyle name="40% - Accent3 4 3 5 4 2 2" xfId="41677" xr:uid="{00000000-0005-0000-0000-0000276D0000}"/>
    <cellStyle name="40% - Accent3 4 3 5 4 3" xfId="30376" xr:uid="{00000000-0005-0000-0000-0000286D0000}"/>
    <cellStyle name="40% - Accent3 4 3 5 5" xfId="13425" xr:uid="{00000000-0005-0000-0000-0000296D0000}"/>
    <cellStyle name="40% - Accent3 4 3 5 5 2" xfId="36027" xr:uid="{00000000-0005-0000-0000-00002A6D0000}"/>
    <cellStyle name="40% - Accent3 4 3 5 6" xfId="24726" xr:uid="{00000000-0005-0000-0000-00002B6D0000}"/>
    <cellStyle name="40% - Accent3 4 3 6" xfId="2328" xr:uid="{00000000-0005-0000-0000-00002C6D0000}"/>
    <cellStyle name="40% - Accent3 4 3 6 2" xfId="8164" xr:uid="{00000000-0005-0000-0000-00002D6D0000}"/>
    <cellStyle name="40% - Accent3 4 3 6 2 2" xfId="19465" xr:uid="{00000000-0005-0000-0000-00002E6D0000}"/>
    <cellStyle name="40% - Accent3 4 3 6 2 2 2" xfId="42067" xr:uid="{00000000-0005-0000-0000-00002F6D0000}"/>
    <cellStyle name="40% - Accent3 4 3 6 2 3" xfId="30766" xr:uid="{00000000-0005-0000-0000-0000306D0000}"/>
    <cellStyle name="40% - Accent3 4 3 6 3" xfId="13815" xr:uid="{00000000-0005-0000-0000-0000316D0000}"/>
    <cellStyle name="40% - Accent3 4 3 6 3 2" xfId="36417" xr:uid="{00000000-0005-0000-0000-0000326D0000}"/>
    <cellStyle name="40% - Accent3 4 3 6 4" xfId="25116" xr:uid="{00000000-0005-0000-0000-0000336D0000}"/>
    <cellStyle name="40% - Accent3 4 3 7" xfId="4115" xr:uid="{00000000-0005-0000-0000-0000346D0000}"/>
    <cellStyle name="40% - Accent3 4 3 7 2" xfId="9765" xr:uid="{00000000-0005-0000-0000-0000356D0000}"/>
    <cellStyle name="40% - Accent3 4 3 7 2 2" xfId="21066" xr:uid="{00000000-0005-0000-0000-0000366D0000}"/>
    <cellStyle name="40% - Accent3 4 3 7 2 2 2" xfId="43668" xr:uid="{00000000-0005-0000-0000-0000376D0000}"/>
    <cellStyle name="40% - Accent3 4 3 7 2 3" xfId="32367" xr:uid="{00000000-0005-0000-0000-0000386D0000}"/>
    <cellStyle name="40% - Accent3 4 3 7 3" xfId="15416" xr:uid="{00000000-0005-0000-0000-0000396D0000}"/>
    <cellStyle name="40% - Accent3 4 3 7 3 2" xfId="38018" xr:uid="{00000000-0005-0000-0000-00003A6D0000}"/>
    <cellStyle name="40% - Accent3 4 3 7 4" xfId="26717" xr:uid="{00000000-0005-0000-0000-00003B6D0000}"/>
    <cellStyle name="40% - Accent3 4 3 8" xfId="6566" xr:uid="{00000000-0005-0000-0000-00003C6D0000}"/>
    <cellStyle name="40% - Accent3 4 3 8 2" xfId="17867" xr:uid="{00000000-0005-0000-0000-00003D6D0000}"/>
    <cellStyle name="40% - Accent3 4 3 8 2 2" xfId="40469" xr:uid="{00000000-0005-0000-0000-00003E6D0000}"/>
    <cellStyle name="40% - Accent3 4 3 8 3" xfId="29168" xr:uid="{00000000-0005-0000-0000-00003F6D0000}"/>
    <cellStyle name="40% - Accent3 4 3 9" xfId="12217" xr:uid="{00000000-0005-0000-0000-0000406D0000}"/>
    <cellStyle name="40% - Accent3 4 3 9 2" xfId="34819" xr:uid="{00000000-0005-0000-0000-0000416D0000}"/>
    <cellStyle name="40% - Accent3 4 4" xfId="570" xr:uid="{00000000-0005-0000-0000-0000426D0000}"/>
    <cellStyle name="40% - Accent3 4 4 2" xfId="1144" xr:uid="{00000000-0005-0000-0000-0000436D0000}"/>
    <cellStyle name="40% - Accent3 4 4 2 2" xfId="1923" xr:uid="{00000000-0005-0000-0000-0000446D0000}"/>
    <cellStyle name="40% - Accent3 4 4 2 2 2" xfId="3212" xr:uid="{00000000-0005-0000-0000-0000456D0000}"/>
    <cellStyle name="40% - Accent3 4 4 2 2 2 2" xfId="6184" xr:uid="{00000000-0005-0000-0000-0000466D0000}"/>
    <cellStyle name="40% - Accent3 4 4 2 2 2 2 2" xfId="11834" xr:uid="{00000000-0005-0000-0000-0000476D0000}"/>
    <cellStyle name="40% - Accent3 4 4 2 2 2 2 2 2" xfId="23135" xr:uid="{00000000-0005-0000-0000-0000486D0000}"/>
    <cellStyle name="40% - Accent3 4 4 2 2 2 2 2 2 2" xfId="45737" xr:uid="{00000000-0005-0000-0000-0000496D0000}"/>
    <cellStyle name="40% - Accent3 4 4 2 2 2 2 2 3" xfId="34436" xr:uid="{00000000-0005-0000-0000-00004A6D0000}"/>
    <cellStyle name="40% - Accent3 4 4 2 2 2 2 3" xfId="17485" xr:uid="{00000000-0005-0000-0000-00004B6D0000}"/>
    <cellStyle name="40% - Accent3 4 4 2 2 2 2 3 2" xfId="40087" xr:uid="{00000000-0005-0000-0000-00004C6D0000}"/>
    <cellStyle name="40% - Accent3 4 4 2 2 2 2 4" xfId="28786" xr:uid="{00000000-0005-0000-0000-00004D6D0000}"/>
    <cellStyle name="40% - Accent3 4 4 2 2 2 3" xfId="9002" xr:uid="{00000000-0005-0000-0000-00004E6D0000}"/>
    <cellStyle name="40% - Accent3 4 4 2 2 2 3 2" xfId="20303" xr:uid="{00000000-0005-0000-0000-00004F6D0000}"/>
    <cellStyle name="40% - Accent3 4 4 2 2 2 3 2 2" xfId="42905" xr:uid="{00000000-0005-0000-0000-0000506D0000}"/>
    <cellStyle name="40% - Accent3 4 4 2 2 2 3 3" xfId="31604" xr:uid="{00000000-0005-0000-0000-0000516D0000}"/>
    <cellStyle name="40% - Accent3 4 4 2 2 2 4" xfId="14653" xr:uid="{00000000-0005-0000-0000-0000526D0000}"/>
    <cellStyle name="40% - Accent3 4 4 2 2 2 4 2" xfId="37255" xr:uid="{00000000-0005-0000-0000-0000536D0000}"/>
    <cellStyle name="40% - Accent3 4 4 2 2 2 5" xfId="25954" xr:uid="{00000000-0005-0000-0000-0000546D0000}"/>
    <cellStyle name="40% - Accent3 4 4 2 2 3" xfId="4950" xr:uid="{00000000-0005-0000-0000-0000556D0000}"/>
    <cellStyle name="40% - Accent3 4 4 2 2 3 2" xfId="10600" xr:uid="{00000000-0005-0000-0000-0000566D0000}"/>
    <cellStyle name="40% - Accent3 4 4 2 2 3 2 2" xfId="21901" xr:uid="{00000000-0005-0000-0000-0000576D0000}"/>
    <cellStyle name="40% - Accent3 4 4 2 2 3 2 2 2" xfId="44503" xr:uid="{00000000-0005-0000-0000-0000586D0000}"/>
    <cellStyle name="40% - Accent3 4 4 2 2 3 2 3" xfId="33202" xr:uid="{00000000-0005-0000-0000-0000596D0000}"/>
    <cellStyle name="40% - Accent3 4 4 2 2 3 3" xfId="16251" xr:uid="{00000000-0005-0000-0000-00005A6D0000}"/>
    <cellStyle name="40% - Accent3 4 4 2 2 3 3 2" xfId="38853" xr:uid="{00000000-0005-0000-0000-00005B6D0000}"/>
    <cellStyle name="40% - Accent3 4 4 2 2 3 4" xfId="27552" xr:uid="{00000000-0005-0000-0000-00005C6D0000}"/>
    <cellStyle name="40% - Accent3 4 4 2 2 4" xfId="7779" xr:uid="{00000000-0005-0000-0000-00005D6D0000}"/>
    <cellStyle name="40% - Accent3 4 4 2 2 4 2" xfId="19080" xr:uid="{00000000-0005-0000-0000-00005E6D0000}"/>
    <cellStyle name="40% - Accent3 4 4 2 2 4 2 2" xfId="41682" xr:uid="{00000000-0005-0000-0000-00005F6D0000}"/>
    <cellStyle name="40% - Accent3 4 4 2 2 4 3" xfId="30381" xr:uid="{00000000-0005-0000-0000-0000606D0000}"/>
    <cellStyle name="40% - Accent3 4 4 2 2 5" xfId="13430" xr:uid="{00000000-0005-0000-0000-0000616D0000}"/>
    <cellStyle name="40% - Accent3 4 4 2 2 5 2" xfId="36032" xr:uid="{00000000-0005-0000-0000-0000626D0000}"/>
    <cellStyle name="40% - Accent3 4 4 2 2 6" xfId="24731" xr:uid="{00000000-0005-0000-0000-0000636D0000}"/>
    <cellStyle name="40% - Accent3 4 4 2 3" xfId="2541" xr:uid="{00000000-0005-0000-0000-0000646D0000}"/>
    <cellStyle name="40% - Accent3 4 4 2 3 2" xfId="5560" xr:uid="{00000000-0005-0000-0000-0000656D0000}"/>
    <cellStyle name="40% - Accent3 4 4 2 3 2 2" xfId="11210" xr:uid="{00000000-0005-0000-0000-0000666D0000}"/>
    <cellStyle name="40% - Accent3 4 4 2 3 2 2 2" xfId="22511" xr:uid="{00000000-0005-0000-0000-0000676D0000}"/>
    <cellStyle name="40% - Accent3 4 4 2 3 2 2 2 2" xfId="45113" xr:uid="{00000000-0005-0000-0000-0000686D0000}"/>
    <cellStyle name="40% - Accent3 4 4 2 3 2 2 3" xfId="33812" xr:uid="{00000000-0005-0000-0000-0000696D0000}"/>
    <cellStyle name="40% - Accent3 4 4 2 3 2 3" xfId="16861" xr:uid="{00000000-0005-0000-0000-00006A6D0000}"/>
    <cellStyle name="40% - Accent3 4 4 2 3 2 3 2" xfId="39463" xr:uid="{00000000-0005-0000-0000-00006B6D0000}"/>
    <cellStyle name="40% - Accent3 4 4 2 3 2 4" xfId="28162" xr:uid="{00000000-0005-0000-0000-00006C6D0000}"/>
    <cellStyle name="40% - Accent3 4 4 2 3 3" xfId="8377" xr:uid="{00000000-0005-0000-0000-00006D6D0000}"/>
    <cellStyle name="40% - Accent3 4 4 2 3 3 2" xfId="19678" xr:uid="{00000000-0005-0000-0000-00006E6D0000}"/>
    <cellStyle name="40% - Accent3 4 4 2 3 3 2 2" xfId="42280" xr:uid="{00000000-0005-0000-0000-00006F6D0000}"/>
    <cellStyle name="40% - Accent3 4 4 2 3 3 3" xfId="30979" xr:uid="{00000000-0005-0000-0000-0000706D0000}"/>
    <cellStyle name="40% - Accent3 4 4 2 3 4" xfId="14028" xr:uid="{00000000-0005-0000-0000-0000716D0000}"/>
    <cellStyle name="40% - Accent3 4 4 2 3 4 2" xfId="36630" xr:uid="{00000000-0005-0000-0000-0000726D0000}"/>
    <cellStyle name="40% - Accent3 4 4 2 3 5" xfId="25329" xr:uid="{00000000-0005-0000-0000-0000736D0000}"/>
    <cellStyle name="40% - Accent3 4 4 2 4" xfId="4326" xr:uid="{00000000-0005-0000-0000-0000746D0000}"/>
    <cellStyle name="40% - Accent3 4 4 2 4 2" xfId="9976" xr:uid="{00000000-0005-0000-0000-0000756D0000}"/>
    <cellStyle name="40% - Accent3 4 4 2 4 2 2" xfId="21277" xr:uid="{00000000-0005-0000-0000-0000766D0000}"/>
    <cellStyle name="40% - Accent3 4 4 2 4 2 2 2" xfId="43879" xr:uid="{00000000-0005-0000-0000-0000776D0000}"/>
    <cellStyle name="40% - Accent3 4 4 2 4 2 3" xfId="32578" xr:uid="{00000000-0005-0000-0000-0000786D0000}"/>
    <cellStyle name="40% - Accent3 4 4 2 4 3" xfId="15627" xr:uid="{00000000-0005-0000-0000-0000796D0000}"/>
    <cellStyle name="40% - Accent3 4 4 2 4 3 2" xfId="38229" xr:uid="{00000000-0005-0000-0000-00007A6D0000}"/>
    <cellStyle name="40% - Accent3 4 4 2 4 4" xfId="26928" xr:uid="{00000000-0005-0000-0000-00007B6D0000}"/>
    <cellStyle name="40% - Accent3 4 4 2 5" xfId="7123" xr:uid="{00000000-0005-0000-0000-00007C6D0000}"/>
    <cellStyle name="40% - Accent3 4 4 2 5 2" xfId="18424" xr:uid="{00000000-0005-0000-0000-00007D6D0000}"/>
    <cellStyle name="40% - Accent3 4 4 2 5 2 2" xfId="41026" xr:uid="{00000000-0005-0000-0000-00007E6D0000}"/>
    <cellStyle name="40% - Accent3 4 4 2 5 3" xfId="29725" xr:uid="{00000000-0005-0000-0000-00007F6D0000}"/>
    <cellStyle name="40% - Accent3 4 4 2 6" xfId="12774" xr:uid="{00000000-0005-0000-0000-0000806D0000}"/>
    <cellStyle name="40% - Accent3 4 4 2 6 2" xfId="35376" xr:uid="{00000000-0005-0000-0000-0000816D0000}"/>
    <cellStyle name="40% - Accent3 4 4 2 7" xfId="24075" xr:uid="{00000000-0005-0000-0000-0000826D0000}"/>
    <cellStyle name="40% - Accent3 4 4 3" xfId="818" xr:uid="{00000000-0005-0000-0000-0000836D0000}"/>
    <cellStyle name="40% - Accent3 4 4 3 2" xfId="2905" xr:uid="{00000000-0005-0000-0000-0000846D0000}"/>
    <cellStyle name="40% - Accent3 4 4 3 2 2" xfId="5877" xr:uid="{00000000-0005-0000-0000-0000856D0000}"/>
    <cellStyle name="40% - Accent3 4 4 3 2 2 2" xfId="11527" xr:uid="{00000000-0005-0000-0000-0000866D0000}"/>
    <cellStyle name="40% - Accent3 4 4 3 2 2 2 2" xfId="22828" xr:uid="{00000000-0005-0000-0000-0000876D0000}"/>
    <cellStyle name="40% - Accent3 4 4 3 2 2 2 2 2" xfId="45430" xr:uid="{00000000-0005-0000-0000-0000886D0000}"/>
    <cellStyle name="40% - Accent3 4 4 3 2 2 2 3" xfId="34129" xr:uid="{00000000-0005-0000-0000-0000896D0000}"/>
    <cellStyle name="40% - Accent3 4 4 3 2 2 3" xfId="17178" xr:uid="{00000000-0005-0000-0000-00008A6D0000}"/>
    <cellStyle name="40% - Accent3 4 4 3 2 2 3 2" xfId="39780" xr:uid="{00000000-0005-0000-0000-00008B6D0000}"/>
    <cellStyle name="40% - Accent3 4 4 3 2 2 4" xfId="28479" xr:uid="{00000000-0005-0000-0000-00008C6D0000}"/>
    <cellStyle name="40% - Accent3 4 4 3 2 3" xfId="8695" xr:uid="{00000000-0005-0000-0000-00008D6D0000}"/>
    <cellStyle name="40% - Accent3 4 4 3 2 3 2" xfId="19996" xr:uid="{00000000-0005-0000-0000-00008E6D0000}"/>
    <cellStyle name="40% - Accent3 4 4 3 2 3 2 2" xfId="42598" xr:uid="{00000000-0005-0000-0000-00008F6D0000}"/>
    <cellStyle name="40% - Accent3 4 4 3 2 3 3" xfId="31297" xr:uid="{00000000-0005-0000-0000-0000906D0000}"/>
    <cellStyle name="40% - Accent3 4 4 3 2 4" xfId="14346" xr:uid="{00000000-0005-0000-0000-0000916D0000}"/>
    <cellStyle name="40% - Accent3 4 4 3 2 4 2" xfId="36948" xr:uid="{00000000-0005-0000-0000-0000926D0000}"/>
    <cellStyle name="40% - Accent3 4 4 3 2 5" xfId="25647" xr:uid="{00000000-0005-0000-0000-0000936D0000}"/>
    <cellStyle name="40% - Accent3 4 4 3 3" xfId="4643" xr:uid="{00000000-0005-0000-0000-0000946D0000}"/>
    <cellStyle name="40% - Accent3 4 4 3 3 2" xfId="10293" xr:uid="{00000000-0005-0000-0000-0000956D0000}"/>
    <cellStyle name="40% - Accent3 4 4 3 3 2 2" xfId="21594" xr:uid="{00000000-0005-0000-0000-0000966D0000}"/>
    <cellStyle name="40% - Accent3 4 4 3 3 2 2 2" xfId="44196" xr:uid="{00000000-0005-0000-0000-0000976D0000}"/>
    <cellStyle name="40% - Accent3 4 4 3 3 2 3" xfId="32895" xr:uid="{00000000-0005-0000-0000-0000986D0000}"/>
    <cellStyle name="40% - Accent3 4 4 3 3 3" xfId="15944" xr:uid="{00000000-0005-0000-0000-0000996D0000}"/>
    <cellStyle name="40% - Accent3 4 4 3 3 3 2" xfId="38546" xr:uid="{00000000-0005-0000-0000-00009A6D0000}"/>
    <cellStyle name="40% - Accent3 4 4 3 3 4" xfId="27245" xr:uid="{00000000-0005-0000-0000-00009B6D0000}"/>
    <cellStyle name="40% - Accent3 4 4 3 4" xfId="6826" xr:uid="{00000000-0005-0000-0000-00009C6D0000}"/>
    <cellStyle name="40% - Accent3 4 4 3 4 2" xfId="18127" xr:uid="{00000000-0005-0000-0000-00009D6D0000}"/>
    <cellStyle name="40% - Accent3 4 4 3 4 2 2" xfId="40729" xr:uid="{00000000-0005-0000-0000-00009E6D0000}"/>
    <cellStyle name="40% - Accent3 4 4 3 4 3" xfId="29428" xr:uid="{00000000-0005-0000-0000-00009F6D0000}"/>
    <cellStyle name="40% - Accent3 4 4 3 5" xfId="12477" xr:uid="{00000000-0005-0000-0000-0000A06D0000}"/>
    <cellStyle name="40% - Accent3 4 4 3 5 2" xfId="35079" xr:uid="{00000000-0005-0000-0000-0000A16D0000}"/>
    <cellStyle name="40% - Accent3 4 4 3 6" xfId="23778" xr:uid="{00000000-0005-0000-0000-0000A26D0000}"/>
    <cellStyle name="40% - Accent3 4 4 4" xfId="1922" xr:uid="{00000000-0005-0000-0000-0000A36D0000}"/>
    <cellStyle name="40% - Accent3 4 4 4 2" xfId="3761" xr:uid="{00000000-0005-0000-0000-0000A46D0000}"/>
    <cellStyle name="40% - Accent3 4 4 4 2 2" xfId="9471" xr:uid="{00000000-0005-0000-0000-0000A56D0000}"/>
    <cellStyle name="40% - Accent3 4 4 4 2 2 2" xfId="20772" xr:uid="{00000000-0005-0000-0000-0000A66D0000}"/>
    <cellStyle name="40% - Accent3 4 4 4 2 2 2 2" xfId="43374" xr:uid="{00000000-0005-0000-0000-0000A76D0000}"/>
    <cellStyle name="40% - Accent3 4 4 4 2 2 3" xfId="32073" xr:uid="{00000000-0005-0000-0000-0000A86D0000}"/>
    <cellStyle name="40% - Accent3 4 4 4 2 3" xfId="15122" xr:uid="{00000000-0005-0000-0000-0000A96D0000}"/>
    <cellStyle name="40% - Accent3 4 4 4 2 3 2" xfId="37724" xr:uid="{00000000-0005-0000-0000-0000AA6D0000}"/>
    <cellStyle name="40% - Accent3 4 4 4 2 4" xfId="26423" xr:uid="{00000000-0005-0000-0000-0000AB6D0000}"/>
    <cellStyle name="40% - Accent3 4 4 4 3" xfId="5253" xr:uid="{00000000-0005-0000-0000-0000AC6D0000}"/>
    <cellStyle name="40% - Accent3 4 4 4 3 2" xfId="10903" xr:uid="{00000000-0005-0000-0000-0000AD6D0000}"/>
    <cellStyle name="40% - Accent3 4 4 4 3 2 2" xfId="22204" xr:uid="{00000000-0005-0000-0000-0000AE6D0000}"/>
    <cellStyle name="40% - Accent3 4 4 4 3 2 2 2" xfId="44806" xr:uid="{00000000-0005-0000-0000-0000AF6D0000}"/>
    <cellStyle name="40% - Accent3 4 4 4 3 2 3" xfId="33505" xr:uid="{00000000-0005-0000-0000-0000B06D0000}"/>
    <cellStyle name="40% - Accent3 4 4 4 3 3" xfId="16554" xr:uid="{00000000-0005-0000-0000-0000B16D0000}"/>
    <cellStyle name="40% - Accent3 4 4 4 3 3 2" xfId="39156" xr:uid="{00000000-0005-0000-0000-0000B26D0000}"/>
    <cellStyle name="40% - Accent3 4 4 4 3 4" xfId="27855" xr:uid="{00000000-0005-0000-0000-0000B36D0000}"/>
    <cellStyle name="40% - Accent3 4 4 4 4" xfId="7778" xr:uid="{00000000-0005-0000-0000-0000B46D0000}"/>
    <cellStyle name="40% - Accent3 4 4 4 4 2" xfId="19079" xr:uid="{00000000-0005-0000-0000-0000B56D0000}"/>
    <cellStyle name="40% - Accent3 4 4 4 4 2 2" xfId="41681" xr:uid="{00000000-0005-0000-0000-0000B66D0000}"/>
    <cellStyle name="40% - Accent3 4 4 4 4 3" xfId="30380" xr:uid="{00000000-0005-0000-0000-0000B76D0000}"/>
    <cellStyle name="40% - Accent3 4 4 4 5" xfId="13429" xr:uid="{00000000-0005-0000-0000-0000B86D0000}"/>
    <cellStyle name="40% - Accent3 4 4 4 5 2" xfId="36031" xr:uid="{00000000-0005-0000-0000-0000B96D0000}"/>
    <cellStyle name="40% - Accent3 4 4 4 6" xfId="24730" xr:uid="{00000000-0005-0000-0000-0000BA6D0000}"/>
    <cellStyle name="40% - Accent3 4 4 5" xfId="2225" xr:uid="{00000000-0005-0000-0000-0000BB6D0000}"/>
    <cellStyle name="40% - Accent3 4 4 5 2" xfId="8067" xr:uid="{00000000-0005-0000-0000-0000BC6D0000}"/>
    <cellStyle name="40% - Accent3 4 4 5 2 2" xfId="19368" xr:uid="{00000000-0005-0000-0000-0000BD6D0000}"/>
    <cellStyle name="40% - Accent3 4 4 5 2 2 2" xfId="41970" xr:uid="{00000000-0005-0000-0000-0000BE6D0000}"/>
    <cellStyle name="40% - Accent3 4 4 5 2 3" xfId="30669" xr:uid="{00000000-0005-0000-0000-0000BF6D0000}"/>
    <cellStyle name="40% - Accent3 4 4 5 3" xfId="13718" xr:uid="{00000000-0005-0000-0000-0000C06D0000}"/>
    <cellStyle name="40% - Accent3 4 4 5 3 2" xfId="36320" xr:uid="{00000000-0005-0000-0000-0000C16D0000}"/>
    <cellStyle name="40% - Accent3 4 4 5 4" xfId="25019" xr:uid="{00000000-0005-0000-0000-0000C26D0000}"/>
    <cellStyle name="40% - Accent3 4 4 6" xfId="4019" xr:uid="{00000000-0005-0000-0000-0000C36D0000}"/>
    <cellStyle name="40% - Accent3 4 4 6 2" xfId="9669" xr:uid="{00000000-0005-0000-0000-0000C46D0000}"/>
    <cellStyle name="40% - Accent3 4 4 6 2 2" xfId="20970" xr:uid="{00000000-0005-0000-0000-0000C56D0000}"/>
    <cellStyle name="40% - Accent3 4 4 6 2 2 2" xfId="43572" xr:uid="{00000000-0005-0000-0000-0000C66D0000}"/>
    <cellStyle name="40% - Accent3 4 4 6 2 3" xfId="32271" xr:uid="{00000000-0005-0000-0000-0000C76D0000}"/>
    <cellStyle name="40% - Accent3 4 4 6 3" xfId="15320" xr:uid="{00000000-0005-0000-0000-0000C86D0000}"/>
    <cellStyle name="40% - Accent3 4 4 6 3 2" xfId="37922" xr:uid="{00000000-0005-0000-0000-0000C96D0000}"/>
    <cellStyle name="40% - Accent3 4 4 6 4" xfId="26621" xr:uid="{00000000-0005-0000-0000-0000CA6D0000}"/>
    <cellStyle name="40% - Accent3 4 4 7" xfId="6637" xr:uid="{00000000-0005-0000-0000-0000CB6D0000}"/>
    <cellStyle name="40% - Accent3 4 4 7 2" xfId="17938" xr:uid="{00000000-0005-0000-0000-0000CC6D0000}"/>
    <cellStyle name="40% - Accent3 4 4 7 2 2" xfId="40540" xr:uid="{00000000-0005-0000-0000-0000CD6D0000}"/>
    <cellStyle name="40% - Accent3 4 4 7 3" xfId="29239" xr:uid="{00000000-0005-0000-0000-0000CE6D0000}"/>
    <cellStyle name="40% - Accent3 4 4 8" xfId="12288" xr:uid="{00000000-0005-0000-0000-0000CF6D0000}"/>
    <cellStyle name="40% - Accent3 4 4 8 2" xfId="34890" xr:uid="{00000000-0005-0000-0000-0000D06D0000}"/>
    <cellStyle name="40% - Accent3 4 4 9" xfId="23589" xr:uid="{00000000-0005-0000-0000-0000D16D0000}"/>
    <cellStyle name="40% - Accent3 4 5" xfId="514" xr:uid="{00000000-0005-0000-0000-0000D26D0000}"/>
    <cellStyle name="40% - Accent3 4 5 2" xfId="1283" xr:uid="{00000000-0005-0000-0000-0000D36D0000}"/>
    <cellStyle name="40% - Accent3 4 5 2 2" xfId="1925" xr:uid="{00000000-0005-0000-0000-0000D46D0000}"/>
    <cellStyle name="40% - Accent3 4 5 2 2 2" xfId="3352" xr:uid="{00000000-0005-0000-0000-0000D56D0000}"/>
    <cellStyle name="40% - Accent3 4 5 2 2 2 2" xfId="6324" xr:uid="{00000000-0005-0000-0000-0000D66D0000}"/>
    <cellStyle name="40% - Accent3 4 5 2 2 2 2 2" xfId="11974" xr:uid="{00000000-0005-0000-0000-0000D76D0000}"/>
    <cellStyle name="40% - Accent3 4 5 2 2 2 2 2 2" xfId="23275" xr:uid="{00000000-0005-0000-0000-0000D86D0000}"/>
    <cellStyle name="40% - Accent3 4 5 2 2 2 2 2 2 2" xfId="45877" xr:uid="{00000000-0005-0000-0000-0000D96D0000}"/>
    <cellStyle name="40% - Accent3 4 5 2 2 2 2 2 3" xfId="34576" xr:uid="{00000000-0005-0000-0000-0000DA6D0000}"/>
    <cellStyle name="40% - Accent3 4 5 2 2 2 2 3" xfId="17625" xr:uid="{00000000-0005-0000-0000-0000DB6D0000}"/>
    <cellStyle name="40% - Accent3 4 5 2 2 2 2 3 2" xfId="40227" xr:uid="{00000000-0005-0000-0000-0000DC6D0000}"/>
    <cellStyle name="40% - Accent3 4 5 2 2 2 2 4" xfId="28926" xr:uid="{00000000-0005-0000-0000-0000DD6D0000}"/>
    <cellStyle name="40% - Accent3 4 5 2 2 2 3" xfId="9142" xr:uid="{00000000-0005-0000-0000-0000DE6D0000}"/>
    <cellStyle name="40% - Accent3 4 5 2 2 2 3 2" xfId="20443" xr:uid="{00000000-0005-0000-0000-0000DF6D0000}"/>
    <cellStyle name="40% - Accent3 4 5 2 2 2 3 2 2" xfId="43045" xr:uid="{00000000-0005-0000-0000-0000E06D0000}"/>
    <cellStyle name="40% - Accent3 4 5 2 2 2 3 3" xfId="31744" xr:uid="{00000000-0005-0000-0000-0000E16D0000}"/>
    <cellStyle name="40% - Accent3 4 5 2 2 2 4" xfId="14793" xr:uid="{00000000-0005-0000-0000-0000E26D0000}"/>
    <cellStyle name="40% - Accent3 4 5 2 2 2 4 2" xfId="37395" xr:uid="{00000000-0005-0000-0000-0000E36D0000}"/>
    <cellStyle name="40% - Accent3 4 5 2 2 2 5" xfId="26094" xr:uid="{00000000-0005-0000-0000-0000E46D0000}"/>
    <cellStyle name="40% - Accent3 4 5 2 2 3" xfId="5090" xr:uid="{00000000-0005-0000-0000-0000E56D0000}"/>
    <cellStyle name="40% - Accent3 4 5 2 2 3 2" xfId="10740" xr:uid="{00000000-0005-0000-0000-0000E66D0000}"/>
    <cellStyle name="40% - Accent3 4 5 2 2 3 2 2" xfId="22041" xr:uid="{00000000-0005-0000-0000-0000E76D0000}"/>
    <cellStyle name="40% - Accent3 4 5 2 2 3 2 2 2" xfId="44643" xr:uid="{00000000-0005-0000-0000-0000E86D0000}"/>
    <cellStyle name="40% - Accent3 4 5 2 2 3 2 3" xfId="33342" xr:uid="{00000000-0005-0000-0000-0000E96D0000}"/>
    <cellStyle name="40% - Accent3 4 5 2 2 3 3" xfId="16391" xr:uid="{00000000-0005-0000-0000-0000EA6D0000}"/>
    <cellStyle name="40% - Accent3 4 5 2 2 3 3 2" xfId="38993" xr:uid="{00000000-0005-0000-0000-0000EB6D0000}"/>
    <cellStyle name="40% - Accent3 4 5 2 2 3 4" xfId="27692" xr:uid="{00000000-0005-0000-0000-0000EC6D0000}"/>
    <cellStyle name="40% - Accent3 4 5 2 2 4" xfId="7781" xr:uid="{00000000-0005-0000-0000-0000ED6D0000}"/>
    <cellStyle name="40% - Accent3 4 5 2 2 4 2" xfId="19082" xr:uid="{00000000-0005-0000-0000-0000EE6D0000}"/>
    <cellStyle name="40% - Accent3 4 5 2 2 4 2 2" xfId="41684" xr:uid="{00000000-0005-0000-0000-0000EF6D0000}"/>
    <cellStyle name="40% - Accent3 4 5 2 2 4 3" xfId="30383" xr:uid="{00000000-0005-0000-0000-0000F06D0000}"/>
    <cellStyle name="40% - Accent3 4 5 2 2 5" xfId="13432" xr:uid="{00000000-0005-0000-0000-0000F16D0000}"/>
    <cellStyle name="40% - Accent3 4 5 2 2 5 2" xfId="36034" xr:uid="{00000000-0005-0000-0000-0000F26D0000}"/>
    <cellStyle name="40% - Accent3 4 5 2 2 6" xfId="24733" xr:uid="{00000000-0005-0000-0000-0000F36D0000}"/>
    <cellStyle name="40% - Accent3 4 5 2 3" xfId="2681" xr:uid="{00000000-0005-0000-0000-0000F46D0000}"/>
    <cellStyle name="40% - Accent3 4 5 2 3 2" xfId="5700" xr:uid="{00000000-0005-0000-0000-0000F56D0000}"/>
    <cellStyle name="40% - Accent3 4 5 2 3 2 2" xfId="11350" xr:uid="{00000000-0005-0000-0000-0000F66D0000}"/>
    <cellStyle name="40% - Accent3 4 5 2 3 2 2 2" xfId="22651" xr:uid="{00000000-0005-0000-0000-0000F76D0000}"/>
    <cellStyle name="40% - Accent3 4 5 2 3 2 2 2 2" xfId="45253" xr:uid="{00000000-0005-0000-0000-0000F86D0000}"/>
    <cellStyle name="40% - Accent3 4 5 2 3 2 2 3" xfId="33952" xr:uid="{00000000-0005-0000-0000-0000F96D0000}"/>
    <cellStyle name="40% - Accent3 4 5 2 3 2 3" xfId="17001" xr:uid="{00000000-0005-0000-0000-0000FA6D0000}"/>
    <cellStyle name="40% - Accent3 4 5 2 3 2 3 2" xfId="39603" xr:uid="{00000000-0005-0000-0000-0000FB6D0000}"/>
    <cellStyle name="40% - Accent3 4 5 2 3 2 4" xfId="28302" xr:uid="{00000000-0005-0000-0000-0000FC6D0000}"/>
    <cellStyle name="40% - Accent3 4 5 2 3 3" xfId="8517" xr:uid="{00000000-0005-0000-0000-0000FD6D0000}"/>
    <cellStyle name="40% - Accent3 4 5 2 3 3 2" xfId="19818" xr:uid="{00000000-0005-0000-0000-0000FE6D0000}"/>
    <cellStyle name="40% - Accent3 4 5 2 3 3 2 2" xfId="42420" xr:uid="{00000000-0005-0000-0000-0000FF6D0000}"/>
    <cellStyle name="40% - Accent3 4 5 2 3 3 3" xfId="31119" xr:uid="{00000000-0005-0000-0000-0000006E0000}"/>
    <cellStyle name="40% - Accent3 4 5 2 3 4" xfId="14168" xr:uid="{00000000-0005-0000-0000-0000016E0000}"/>
    <cellStyle name="40% - Accent3 4 5 2 3 4 2" xfId="36770" xr:uid="{00000000-0005-0000-0000-0000026E0000}"/>
    <cellStyle name="40% - Accent3 4 5 2 3 5" xfId="25469" xr:uid="{00000000-0005-0000-0000-0000036E0000}"/>
    <cellStyle name="40% - Accent3 4 5 2 4" xfId="4466" xr:uid="{00000000-0005-0000-0000-0000046E0000}"/>
    <cellStyle name="40% - Accent3 4 5 2 4 2" xfId="10116" xr:uid="{00000000-0005-0000-0000-0000056E0000}"/>
    <cellStyle name="40% - Accent3 4 5 2 4 2 2" xfId="21417" xr:uid="{00000000-0005-0000-0000-0000066E0000}"/>
    <cellStyle name="40% - Accent3 4 5 2 4 2 2 2" xfId="44019" xr:uid="{00000000-0005-0000-0000-0000076E0000}"/>
    <cellStyle name="40% - Accent3 4 5 2 4 2 3" xfId="32718" xr:uid="{00000000-0005-0000-0000-0000086E0000}"/>
    <cellStyle name="40% - Accent3 4 5 2 4 3" xfId="15767" xr:uid="{00000000-0005-0000-0000-0000096E0000}"/>
    <cellStyle name="40% - Accent3 4 5 2 4 3 2" xfId="38369" xr:uid="{00000000-0005-0000-0000-00000A6E0000}"/>
    <cellStyle name="40% - Accent3 4 5 2 4 4" xfId="27068" xr:uid="{00000000-0005-0000-0000-00000B6E0000}"/>
    <cellStyle name="40% - Accent3 4 5 2 5" xfId="7262" xr:uid="{00000000-0005-0000-0000-00000C6E0000}"/>
    <cellStyle name="40% - Accent3 4 5 2 5 2" xfId="18563" xr:uid="{00000000-0005-0000-0000-00000D6E0000}"/>
    <cellStyle name="40% - Accent3 4 5 2 5 2 2" xfId="41165" xr:uid="{00000000-0005-0000-0000-00000E6E0000}"/>
    <cellStyle name="40% - Accent3 4 5 2 5 3" xfId="29864" xr:uid="{00000000-0005-0000-0000-00000F6E0000}"/>
    <cellStyle name="40% - Accent3 4 5 2 6" xfId="12913" xr:uid="{00000000-0005-0000-0000-0000106E0000}"/>
    <cellStyle name="40% - Accent3 4 5 2 6 2" xfId="35515" xr:uid="{00000000-0005-0000-0000-0000116E0000}"/>
    <cellStyle name="40% - Accent3 4 5 2 7" xfId="24214" xr:uid="{00000000-0005-0000-0000-0000126E0000}"/>
    <cellStyle name="40% - Accent3 4 5 3" xfId="981" xr:uid="{00000000-0005-0000-0000-0000136E0000}"/>
    <cellStyle name="40% - Accent3 4 5 3 2" xfId="3044" xr:uid="{00000000-0005-0000-0000-0000146E0000}"/>
    <cellStyle name="40% - Accent3 4 5 3 2 2" xfId="6016" xr:uid="{00000000-0005-0000-0000-0000156E0000}"/>
    <cellStyle name="40% - Accent3 4 5 3 2 2 2" xfId="11666" xr:uid="{00000000-0005-0000-0000-0000166E0000}"/>
    <cellStyle name="40% - Accent3 4 5 3 2 2 2 2" xfId="22967" xr:uid="{00000000-0005-0000-0000-0000176E0000}"/>
    <cellStyle name="40% - Accent3 4 5 3 2 2 2 2 2" xfId="45569" xr:uid="{00000000-0005-0000-0000-0000186E0000}"/>
    <cellStyle name="40% - Accent3 4 5 3 2 2 2 3" xfId="34268" xr:uid="{00000000-0005-0000-0000-0000196E0000}"/>
    <cellStyle name="40% - Accent3 4 5 3 2 2 3" xfId="17317" xr:uid="{00000000-0005-0000-0000-00001A6E0000}"/>
    <cellStyle name="40% - Accent3 4 5 3 2 2 3 2" xfId="39919" xr:uid="{00000000-0005-0000-0000-00001B6E0000}"/>
    <cellStyle name="40% - Accent3 4 5 3 2 2 4" xfId="28618" xr:uid="{00000000-0005-0000-0000-00001C6E0000}"/>
    <cellStyle name="40% - Accent3 4 5 3 2 3" xfId="8834" xr:uid="{00000000-0005-0000-0000-00001D6E0000}"/>
    <cellStyle name="40% - Accent3 4 5 3 2 3 2" xfId="20135" xr:uid="{00000000-0005-0000-0000-00001E6E0000}"/>
    <cellStyle name="40% - Accent3 4 5 3 2 3 2 2" xfId="42737" xr:uid="{00000000-0005-0000-0000-00001F6E0000}"/>
    <cellStyle name="40% - Accent3 4 5 3 2 3 3" xfId="31436" xr:uid="{00000000-0005-0000-0000-0000206E0000}"/>
    <cellStyle name="40% - Accent3 4 5 3 2 4" xfId="14485" xr:uid="{00000000-0005-0000-0000-0000216E0000}"/>
    <cellStyle name="40% - Accent3 4 5 3 2 4 2" xfId="37087" xr:uid="{00000000-0005-0000-0000-0000226E0000}"/>
    <cellStyle name="40% - Accent3 4 5 3 2 5" xfId="25786" xr:uid="{00000000-0005-0000-0000-0000236E0000}"/>
    <cellStyle name="40% - Accent3 4 5 3 3" xfId="4782" xr:uid="{00000000-0005-0000-0000-0000246E0000}"/>
    <cellStyle name="40% - Accent3 4 5 3 3 2" xfId="10432" xr:uid="{00000000-0005-0000-0000-0000256E0000}"/>
    <cellStyle name="40% - Accent3 4 5 3 3 2 2" xfId="21733" xr:uid="{00000000-0005-0000-0000-0000266E0000}"/>
    <cellStyle name="40% - Accent3 4 5 3 3 2 2 2" xfId="44335" xr:uid="{00000000-0005-0000-0000-0000276E0000}"/>
    <cellStyle name="40% - Accent3 4 5 3 3 2 3" xfId="33034" xr:uid="{00000000-0005-0000-0000-0000286E0000}"/>
    <cellStyle name="40% - Accent3 4 5 3 3 3" xfId="16083" xr:uid="{00000000-0005-0000-0000-0000296E0000}"/>
    <cellStyle name="40% - Accent3 4 5 3 3 3 2" xfId="38685" xr:uid="{00000000-0005-0000-0000-00002A6E0000}"/>
    <cellStyle name="40% - Accent3 4 5 3 3 4" xfId="27384" xr:uid="{00000000-0005-0000-0000-00002B6E0000}"/>
    <cellStyle name="40% - Accent3 4 5 3 4" xfId="6969" xr:uid="{00000000-0005-0000-0000-00002C6E0000}"/>
    <cellStyle name="40% - Accent3 4 5 3 4 2" xfId="18270" xr:uid="{00000000-0005-0000-0000-00002D6E0000}"/>
    <cellStyle name="40% - Accent3 4 5 3 4 2 2" xfId="40872" xr:uid="{00000000-0005-0000-0000-00002E6E0000}"/>
    <cellStyle name="40% - Accent3 4 5 3 4 3" xfId="29571" xr:uid="{00000000-0005-0000-0000-00002F6E0000}"/>
    <cellStyle name="40% - Accent3 4 5 3 5" xfId="12620" xr:uid="{00000000-0005-0000-0000-0000306E0000}"/>
    <cellStyle name="40% - Accent3 4 5 3 5 2" xfId="35222" xr:uid="{00000000-0005-0000-0000-0000316E0000}"/>
    <cellStyle name="40% - Accent3 4 5 3 6" xfId="23921" xr:uid="{00000000-0005-0000-0000-0000326E0000}"/>
    <cellStyle name="40% - Accent3 4 5 4" xfId="1924" xr:uid="{00000000-0005-0000-0000-0000336E0000}"/>
    <cellStyle name="40% - Accent3 4 5 4 2" xfId="3762" xr:uid="{00000000-0005-0000-0000-0000346E0000}"/>
    <cellStyle name="40% - Accent3 4 5 4 2 2" xfId="9472" xr:uid="{00000000-0005-0000-0000-0000356E0000}"/>
    <cellStyle name="40% - Accent3 4 5 4 2 2 2" xfId="20773" xr:uid="{00000000-0005-0000-0000-0000366E0000}"/>
    <cellStyle name="40% - Accent3 4 5 4 2 2 2 2" xfId="43375" xr:uid="{00000000-0005-0000-0000-0000376E0000}"/>
    <cellStyle name="40% - Accent3 4 5 4 2 2 3" xfId="32074" xr:uid="{00000000-0005-0000-0000-0000386E0000}"/>
    <cellStyle name="40% - Accent3 4 5 4 2 3" xfId="15123" xr:uid="{00000000-0005-0000-0000-0000396E0000}"/>
    <cellStyle name="40% - Accent3 4 5 4 2 3 2" xfId="37725" xr:uid="{00000000-0005-0000-0000-00003A6E0000}"/>
    <cellStyle name="40% - Accent3 4 5 4 2 4" xfId="26424" xr:uid="{00000000-0005-0000-0000-00003B6E0000}"/>
    <cellStyle name="40% - Accent3 4 5 4 3" xfId="5392" xr:uid="{00000000-0005-0000-0000-00003C6E0000}"/>
    <cellStyle name="40% - Accent3 4 5 4 3 2" xfId="11042" xr:uid="{00000000-0005-0000-0000-00003D6E0000}"/>
    <cellStyle name="40% - Accent3 4 5 4 3 2 2" xfId="22343" xr:uid="{00000000-0005-0000-0000-00003E6E0000}"/>
    <cellStyle name="40% - Accent3 4 5 4 3 2 2 2" xfId="44945" xr:uid="{00000000-0005-0000-0000-00003F6E0000}"/>
    <cellStyle name="40% - Accent3 4 5 4 3 2 3" xfId="33644" xr:uid="{00000000-0005-0000-0000-0000406E0000}"/>
    <cellStyle name="40% - Accent3 4 5 4 3 3" xfId="16693" xr:uid="{00000000-0005-0000-0000-0000416E0000}"/>
    <cellStyle name="40% - Accent3 4 5 4 3 3 2" xfId="39295" xr:uid="{00000000-0005-0000-0000-0000426E0000}"/>
    <cellStyle name="40% - Accent3 4 5 4 3 4" xfId="27994" xr:uid="{00000000-0005-0000-0000-0000436E0000}"/>
    <cellStyle name="40% - Accent3 4 5 4 4" xfId="7780" xr:uid="{00000000-0005-0000-0000-0000446E0000}"/>
    <cellStyle name="40% - Accent3 4 5 4 4 2" xfId="19081" xr:uid="{00000000-0005-0000-0000-0000456E0000}"/>
    <cellStyle name="40% - Accent3 4 5 4 4 2 2" xfId="41683" xr:uid="{00000000-0005-0000-0000-0000466E0000}"/>
    <cellStyle name="40% - Accent3 4 5 4 4 3" xfId="30382" xr:uid="{00000000-0005-0000-0000-0000476E0000}"/>
    <cellStyle name="40% - Accent3 4 5 4 5" xfId="13431" xr:uid="{00000000-0005-0000-0000-0000486E0000}"/>
    <cellStyle name="40% - Accent3 4 5 4 5 2" xfId="36033" xr:uid="{00000000-0005-0000-0000-0000496E0000}"/>
    <cellStyle name="40% - Accent3 4 5 4 6" xfId="24732" xr:uid="{00000000-0005-0000-0000-00004A6E0000}"/>
    <cellStyle name="40% - Accent3 4 5 5" xfId="2373" xr:uid="{00000000-0005-0000-0000-00004B6E0000}"/>
    <cellStyle name="40% - Accent3 4 5 5 2" xfId="8209" xr:uid="{00000000-0005-0000-0000-00004C6E0000}"/>
    <cellStyle name="40% - Accent3 4 5 5 2 2" xfId="19510" xr:uid="{00000000-0005-0000-0000-00004D6E0000}"/>
    <cellStyle name="40% - Accent3 4 5 5 2 2 2" xfId="42112" xr:uid="{00000000-0005-0000-0000-00004E6E0000}"/>
    <cellStyle name="40% - Accent3 4 5 5 2 3" xfId="30811" xr:uid="{00000000-0005-0000-0000-00004F6E0000}"/>
    <cellStyle name="40% - Accent3 4 5 5 3" xfId="13860" xr:uid="{00000000-0005-0000-0000-0000506E0000}"/>
    <cellStyle name="40% - Accent3 4 5 5 3 2" xfId="36462" xr:uid="{00000000-0005-0000-0000-0000516E0000}"/>
    <cellStyle name="40% - Accent3 4 5 5 4" xfId="25161" xr:uid="{00000000-0005-0000-0000-0000526E0000}"/>
    <cellStyle name="40% - Accent3 4 5 6" xfId="4158" xr:uid="{00000000-0005-0000-0000-0000536E0000}"/>
    <cellStyle name="40% - Accent3 4 5 6 2" xfId="9808" xr:uid="{00000000-0005-0000-0000-0000546E0000}"/>
    <cellStyle name="40% - Accent3 4 5 6 2 2" xfId="21109" xr:uid="{00000000-0005-0000-0000-0000556E0000}"/>
    <cellStyle name="40% - Accent3 4 5 6 2 2 2" xfId="43711" xr:uid="{00000000-0005-0000-0000-0000566E0000}"/>
    <cellStyle name="40% - Accent3 4 5 6 2 3" xfId="32410" xr:uid="{00000000-0005-0000-0000-0000576E0000}"/>
    <cellStyle name="40% - Accent3 4 5 6 3" xfId="15459" xr:uid="{00000000-0005-0000-0000-0000586E0000}"/>
    <cellStyle name="40% - Accent3 4 5 6 3 2" xfId="38061" xr:uid="{00000000-0005-0000-0000-0000596E0000}"/>
    <cellStyle name="40% - Accent3 4 5 6 4" xfId="26760" xr:uid="{00000000-0005-0000-0000-00005A6E0000}"/>
    <cellStyle name="40% - Accent3 4 5 7" xfId="6609" xr:uid="{00000000-0005-0000-0000-00005B6E0000}"/>
    <cellStyle name="40% - Accent3 4 5 7 2" xfId="17910" xr:uid="{00000000-0005-0000-0000-00005C6E0000}"/>
    <cellStyle name="40% - Accent3 4 5 7 2 2" xfId="40512" xr:uid="{00000000-0005-0000-0000-00005D6E0000}"/>
    <cellStyle name="40% - Accent3 4 5 7 3" xfId="29211" xr:uid="{00000000-0005-0000-0000-00005E6E0000}"/>
    <cellStyle name="40% - Accent3 4 5 8" xfId="12260" xr:uid="{00000000-0005-0000-0000-00005F6E0000}"/>
    <cellStyle name="40% - Accent3 4 5 8 2" xfId="34862" xr:uid="{00000000-0005-0000-0000-0000606E0000}"/>
    <cellStyle name="40% - Accent3 4 5 9" xfId="23561" xr:uid="{00000000-0005-0000-0000-0000616E0000}"/>
    <cellStyle name="40% - Accent3 4 6" xfId="1116" xr:uid="{00000000-0005-0000-0000-0000626E0000}"/>
    <cellStyle name="40% - Accent3 4 6 2" xfId="1926" xr:uid="{00000000-0005-0000-0000-0000636E0000}"/>
    <cellStyle name="40% - Accent3 4 6 2 2" xfId="3183" xr:uid="{00000000-0005-0000-0000-0000646E0000}"/>
    <cellStyle name="40% - Accent3 4 6 2 2 2" xfId="6155" xr:uid="{00000000-0005-0000-0000-0000656E0000}"/>
    <cellStyle name="40% - Accent3 4 6 2 2 2 2" xfId="11805" xr:uid="{00000000-0005-0000-0000-0000666E0000}"/>
    <cellStyle name="40% - Accent3 4 6 2 2 2 2 2" xfId="23106" xr:uid="{00000000-0005-0000-0000-0000676E0000}"/>
    <cellStyle name="40% - Accent3 4 6 2 2 2 2 2 2" xfId="45708" xr:uid="{00000000-0005-0000-0000-0000686E0000}"/>
    <cellStyle name="40% - Accent3 4 6 2 2 2 2 3" xfId="34407" xr:uid="{00000000-0005-0000-0000-0000696E0000}"/>
    <cellStyle name="40% - Accent3 4 6 2 2 2 3" xfId="17456" xr:uid="{00000000-0005-0000-0000-00006A6E0000}"/>
    <cellStyle name="40% - Accent3 4 6 2 2 2 3 2" xfId="40058" xr:uid="{00000000-0005-0000-0000-00006B6E0000}"/>
    <cellStyle name="40% - Accent3 4 6 2 2 2 4" xfId="28757" xr:uid="{00000000-0005-0000-0000-00006C6E0000}"/>
    <cellStyle name="40% - Accent3 4 6 2 2 3" xfId="8973" xr:uid="{00000000-0005-0000-0000-00006D6E0000}"/>
    <cellStyle name="40% - Accent3 4 6 2 2 3 2" xfId="20274" xr:uid="{00000000-0005-0000-0000-00006E6E0000}"/>
    <cellStyle name="40% - Accent3 4 6 2 2 3 2 2" xfId="42876" xr:uid="{00000000-0005-0000-0000-00006F6E0000}"/>
    <cellStyle name="40% - Accent3 4 6 2 2 3 3" xfId="31575" xr:uid="{00000000-0005-0000-0000-0000706E0000}"/>
    <cellStyle name="40% - Accent3 4 6 2 2 4" xfId="14624" xr:uid="{00000000-0005-0000-0000-0000716E0000}"/>
    <cellStyle name="40% - Accent3 4 6 2 2 4 2" xfId="37226" xr:uid="{00000000-0005-0000-0000-0000726E0000}"/>
    <cellStyle name="40% - Accent3 4 6 2 2 5" xfId="25925" xr:uid="{00000000-0005-0000-0000-0000736E0000}"/>
    <cellStyle name="40% - Accent3 4 6 2 3" xfId="4921" xr:uid="{00000000-0005-0000-0000-0000746E0000}"/>
    <cellStyle name="40% - Accent3 4 6 2 3 2" xfId="10571" xr:uid="{00000000-0005-0000-0000-0000756E0000}"/>
    <cellStyle name="40% - Accent3 4 6 2 3 2 2" xfId="21872" xr:uid="{00000000-0005-0000-0000-0000766E0000}"/>
    <cellStyle name="40% - Accent3 4 6 2 3 2 2 2" xfId="44474" xr:uid="{00000000-0005-0000-0000-0000776E0000}"/>
    <cellStyle name="40% - Accent3 4 6 2 3 2 3" xfId="33173" xr:uid="{00000000-0005-0000-0000-0000786E0000}"/>
    <cellStyle name="40% - Accent3 4 6 2 3 3" xfId="16222" xr:uid="{00000000-0005-0000-0000-0000796E0000}"/>
    <cellStyle name="40% - Accent3 4 6 2 3 3 2" xfId="38824" xr:uid="{00000000-0005-0000-0000-00007A6E0000}"/>
    <cellStyle name="40% - Accent3 4 6 2 3 4" xfId="27523" xr:uid="{00000000-0005-0000-0000-00007B6E0000}"/>
    <cellStyle name="40% - Accent3 4 6 2 4" xfId="7782" xr:uid="{00000000-0005-0000-0000-00007C6E0000}"/>
    <cellStyle name="40% - Accent3 4 6 2 4 2" xfId="19083" xr:uid="{00000000-0005-0000-0000-00007D6E0000}"/>
    <cellStyle name="40% - Accent3 4 6 2 4 2 2" xfId="41685" xr:uid="{00000000-0005-0000-0000-00007E6E0000}"/>
    <cellStyle name="40% - Accent3 4 6 2 4 3" xfId="30384" xr:uid="{00000000-0005-0000-0000-00007F6E0000}"/>
    <cellStyle name="40% - Accent3 4 6 2 5" xfId="13433" xr:uid="{00000000-0005-0000-0000-0000806E0000}"/>
    <cellStyle name="40% - Accent3 4 6 2 5 2" xfId="36035" xr:uid="{00000000-0005-0000-0000-0000816E0000}"/>
    <cellStyle name="40% - Accent3 4 6 2 6" xfId="24734" xr:uid="{00000000-0005-0000-0000-0000826E0000}"/>
    <cellStyle name="40% - Accent3 4 6 3" xfId="2512" xr:uid="{00000000-0005-0000-0000-0000836E0000}"/>
    <cellStyle name="40% - Accent3 4 6 3 2" xfId="5531" xr:uid="{00000000-0005-0000-0000-0000846E0000}"/>
    <cellStyle name="40% - Accent3 4 6 3 2 2" xfId="11181" xr:uid="{00000000-0005-0000-0000-0000856E0000}"/>
    <cellStyle name="40% - Accent3 4 6 3 2 2 2" xfId="22482" xr:uid="{00000000-0005-0000-0000-0000866E0000}"/>
    <cellStyle name="40% - Accent3 4 6 3 2 2 2 2" xfId="45084" xr:uid="{00000000-0005-0000-0000-0000876E0000}"/>
    <cellStyle name="40% - Accent3 4 6 3 2 2 3" xfId="33783" xr:uid="{00000000-0005-0000-0000-0000886E0000}"/>
    <cellStyle name="40% - Accent3 4 6 3 2 3" xfId="16832" xr:uid="{00000000-0005-0000-0000-0000896E0000}"/>
    <cellStyle name="40% - Accent3 4 6 3 2 3 2" xfId="39434" xr:uid="{00000000-0005-0000-0000-00008A6E0000}"/>
    <cellStyle name="40% - Accent3 4 6 3 2 4" xfId="28133" xr:uid="{00000000-0005-0000-0000-00008B6E0000}"/>
    <cellStyle name="40% - Accent3 4 6 3 3" xfId="8348" xr:uid="{00000000-0005-0000-0000-00008C6E0000}"/>
    <cellStyle name="40% - Accent3 4 6 3 3 2" xfId="19649" xr:uid="{00000000-0005-0000-0000-00008D6E0000}"/>
    <cellStyle name="40% - Accent3 4 6 3 3 2 2" xfId="42251" xr:uid="{00000000-0005-0000-0000-00008E6E0000}"/>
    <cellStyle name="40% - Accent3 4 6 3 3 3" xfId="30950" xr:uid="{00000000-0005-0000-0000-00008F6E0000}"/>
    <cellStyle name="40% - Accent3 4 6 3 4" xfId="13999" xr:uid="{00000000-0005-0000-0000-0000906E0000}"/>
    <cellStyle name="40% - Accent3 4 6 3 4 2" xfId="36601" xr:uid="{00000000-0005-0000-0000-0000916E0000}"/>
    <cellStyle name="40% - Accent3 4 6 3 5" xfId="25300" xr:uid="{00000000-0005-0000-0000-0000926E0000}"/>
    <cellStyle name="40% - Accent3 4 6 4" xfId="4297" xr:uid="{00000000-0005-0000-0000-0000936E0000}"/>
    <cellStyle name="40% - Accent3 4 6 4 2" xfId="9947" xr:uid="{00000000-0005-0000-0000-0000946E0000}"/>
    <cellStyle name="40% - Accent3 4 6 4 2 2" xfId="21248" xr:uid="{00000000-0005-0000-0000-0000956E0000}"/>
    <cellStyle name="40% - Accent3 4 6 4 2 2 2" xfId="43850" xr:uid="{00000000-0005-0000-0000-0000966E0000}"/>
    <cellStyle name="40% - Accent3 4 6 4 2 3" xfId="32549" xr:uid="{00000000-0005-0000-0000-0000976E0000}"/>
    <cellStyle name="40% - Accent3 4 6 4 3" xfId="15598" xr:uid="{00000000-0005-0000-0000-0000986E0000}"/>
    <cellStyle name="40% - Accent3 4 6 4 3 2" xfId="38200" xr:uid="{00000000-0005-0000-0000-0000996E0000}"/>
    <cellStyle name="40% - Accent3 4 6 4 4" xfId="26899" xr:uid="{00000000-0005-0000-0000-00009A6E0000}"/>
    <cellStyle name="40% - Accent3 4 6 5" xfId="7095" xr:uid="{00000000-0005-0000-0000-00009B6E0000}"/>
    <cellStyle name="40% - Accent3 4 6 5 2" xfId="18396" xr:uid="{00000000-0005-0000-0000-00009C6E0000}"/>
    <cellStyle name="40% - Accent3 4 6 5 2 2" xfId="40998" xr:uid="{00000000-0005-0000-0000-00009D6E0000}"/>
    <cellStyle name="40% - Accent3 4 6 5 3" xfId="29697" xr:uid="{00000000-0005-0000-0000-00009E6E0000}"/>
    <cellStyle name="40% - Accent3 4 6 6" xfId="12746" xr:uid="{00000000-0005-0000-0000-00009F6E0000}"/>
    <cellStyle name="40% - Accent3 4 6 6 2" xfId="35348" xr:uid="{00000000-0005-0000-0000-0000A06E0000}"/>
    <cellStyle name="40% - Accent3 4 6 7" xfId="24047" xr:uid="{00000000-0005-0000-0000-0000A16E0000}"/>
    <cellStyle name="40% - Accent3 4 7" xfId="780" xr:uid="{00000000-0005-0000-0000-0000A26E0000}"/>
    <cellStyle name="40% - Accent3 4 7 2" xfId="2877" xr:uid="{00000000-0005-0000-0000-0000A36E0000}"/>
    <cellStyle name="40% - Accent3 4 7 2 2" xfId="5849" xr:uid="{00000000-0005-0000-0000-0000A46E0000}"/>
    <cellStyle name="40% - Accent3 4 7 2 2 2" xfId="11499" xr:uid="{00000000-0005-0000-0000-0000A56E0000}"/>
    <cellStyle name="40% - Accent3 4 7 2 2 2 2" xfId="22800" xr:uid="{00000000-0005-0000-0000-0000A66E0000}"/>
    <cellStyle name="40% - Accent3 4 7 2 2 2 2 2" xfId="45402" xr:uid="{00000000-0005-0000-0000-0000A76E0000}"/>
    <cellStyle name="40% - Accent3 4 7 2 2 2 3" xfId="34101" xr:uid="{00000000-0005-0000-0000-0000A86E0000}"/>
    <cellStyle name="40% - Accent3 4 7 2 2 3" xfId="17150" xr:uid="{00000000-0005-0000-0000-0000A96E0000}"/>
    <cellStyle name="40% - Accent3 4 7 2 2 3 2" xfId="39752" xr:uid="{00000000-0005-0000-0000-0000AA6E0000}"/>
    <cellStyle name="40% - Accent3 4 7 2 2 4" xfId="28451" xr:uid="{00000000-0005-0000-0000-0000AB6E0000}"/>
    <cellStyle name="40% - Accent3 4 7 2 3" xfId="8667" xr:uid="{00000000-0005-0000-0000-0000AC6E0000}"/>
    <cellStyle name="40% - Accent3 4 7 2 3 2" xfId="19968" xr:uid="{00000000-0005-0000-0000-0000AD6E0000}"/>
    <cellStyle name="40% - Accent3 4 7 2 3 2 2" xfId="42570" xr:uid="{00000000-0005-0000-0000-0000AE6E0000}"/>
    <cellStyle name="40% - Accent3 4 7 2 3 3" xfId="31269" xr:uid="{00000000-0005-0000-0000-0000AF6E0000}"/>
    <cellStyle name="40% - Accent3 4 7 2 4" xfId="14318" xr:uid="{00000000-0005-0000-0000-0000B06E0000}"/>
    <cellStyle name="40% - Accent3 4 7 2 4 2" xfId="36920" xr:uid="{00000000-0005-0000-0000-0000B16E0000}"/>
    <cellStyle name="40% - Accent3 4 7 2 5" xfId="25619" xr:uid="{00000000-0005-0000-0000-0000B26E0000}"/>
    <cellStyle name="40% - Accent3 4 7 3" xfId="4615" xr:uid="{00000000-0005-0000-0000-0000B36E0000}"/>
    <cellStyle name="40% - Accent3 4 7 3 2" xfId="10265" xr:uid="{00000000-0005-0000-0000-0000B46E0000}"/>
    <cellStyle name="40% - Accent3 4 7 3 2 2" xfId="21566" xr:uid="{00000000-0005-0000-0000-0000B56E0000}"/>
    <cellStyle name="40% - Accent3 4 7 3 2 2 2" xfId="44168" xr:uid="{00000000-0005-0000-0000-0000B66E0000}"/>
    <cellStyle name="40% - Accent3 4 7 3 2 3" xfId="32867" xr:uid="{00000000-0005-0000-0000-0000B76E0000}"/>
    <cellStyle name="40% - Accent3 4 7 3 3" xfId="15916" xr:uid="{00000000-0005-0000-0000-0000B86E0000}"/>
    <cellStyle name="40% - Accent3 4 7 3 3 2" xfId="38518" xr:uid="{00000000-0005-0000-0000-0000B96E0000}"/>
    <cellStyle name="40% - Accent3 4 7 3 4" xfId="27217" xr:uid="{00000000-0005-0000-0000-0000BA6E0000}"/>
    <cellStyle name="40% - Accent3 4 7 4" xfId="6797" xr:uid="{00000000-0005-0000-0000-0000BB6E0000}"/>
    <cellStyle name="40% - Accent3 4 7 4 2" xfId="18098" xr:uid="{00000000-0005-0000-0000-0000BC6E0000}"/>
    <cellStyle name="40% - Accent3 4 7 4 2 2" xfId="40700" xr:uid="{00000000-0005-0000-0000-0000BD6E0000}"/>
    <cellStyle name="40% - Accent3 4 7 4 3" xfId="29399" xr:uid="{00000000-0005-0000-0000-0000BE6E0000}"/>
    <cellStyle name="40% - Accent3 4 7 5" xfId="12448" xr:uid="{00000000-0005-0000-0000-0000BF6E0000}"/>
    <cellStyle name="40% - Accent3 4 7 5 2" xfId="35050" xr:uid="{00000000-0005-0000-0000-0000C06E0000}"/>
    <cellStyle name="40% - Accent3 4 7 6" xfId="23749" xr:uid="{00000000-0005-0000-0000-0000C16E0000}"/>
    <cellStyle name="40% - Accent3 4 8" xfId="1913" xr:uid="{00000000-0005-0000-0000-0000C26E0000}"/>
    <cellStyle name="40% - Accent3 4 8 2" xfId="3756" xr:uid="{00000000-0005-0000-0000-0000C36E0000}"/>
    <cellStyle name="40% - Accent3 4 8 2 2" xfId="9466" xr:uid="{00000000-0005-0000-0000-0000C46E0000}"/>
    <cellStyle name="40% - Accent3 4 8 2 2 2" xfId="20767" xr:uid="{00000000-0005-0000-0000-0000C56E0000}"/>
    <cellStyle name="40% - Accent3 4 8 2 2 2 2" xfId="43369" xr:uid="{00000000-0005-0000-0000-0000C66E0000}"/>
    <cellStyle name="40% - Accent3 4 8 2 2 3" xfId="32068" xr:uid="{00000000-0005-0000-0000-0000C76E0000}"/>
    <cellStyle name="40% - Accent3 4 8 2 3" xfId="15117" xr:uid="{00000000-0005-0000-0000-0000C86E0000}"/>
    <cellStyle name="40% - Accent3 4 8 2 3 2" xfId="37719" xr:uid="{00000000-0005-0000-0000-0000C96E0000}"/>
    <cellStyle name="40% - Accent3 4 8 2 4" xfId="26418" xr:uid="{00000000-0005-0000-0000-0000CA6E0000}"/>
    <cellStyle name="40% - Accent3 4 8 3" xfId="5225" xr:uid="{00000000-0005-0000-0000-0000CB6E0000}"/>
    <cellStyle name="40% - Accent3 4 8 3 2" xfId="10875" xr:uid="{00000000-0005-0000-0000-0000CC6E0000}"/>
    <cellStyle name="40% - Accent3 4 8 3 2 2" xfId="22176" xr:uid="{00000000-0005-0000-0000-0000CD6E0000}"/>
    <cellStyle name="40% - Accent3 4 8 3 2 2 2" xfId="44778" xr:uid="{00000000-0005-0000-0000-0000CE6E0000}"/>
    <cellStyle name="40% - Accent3 4 8 3 2 3" xfId="33477" xr:uid="{00000000-0005-0000-0000-0000CF6E0000}"/>
    <cellStyle name="40% - Accent3 4 8 3 3" xfId="16526" xr:uid="{00000000-0005-0000-0000-0000D06E0000}"/>
    <cellStyle name="40% - Accent3 4 8 3 3 2" xfId="39128" xr:uid="{00000000-0005-0000-0000-0000D16E0000}"/>
    <cellStyle name="40% - Accent3 4 8 3 4" xfId="27827" xr:uid="{00000000-0005-0000-0000-0000D26E0000}"/>
    <cellStyle name="40% - Accent3 4 8 4" xfId="7769" xr:uid="{00000000-0005-0000-0000-0000D36E0000}"/>
    <cellStyle name="40% - Accent3 4 8 4 2" xfId="19070" xr:uid="{00000000-0005-0000-0000-0000D46E0000}"/>
    <cellStyle name="40% - Accent3 4 8 4 2 2" xfId="41672" xr:uid="{00000000-0005-0000-0000-0000D56E0000}"/>
    <cellStyle name="40% - Accent3 4 8 4 3" xfId="30371" xr:uid="{00000000-0005-0000-0000-0000D66E0000}"/>
    <cellStyle name="40% - Accent3 4 8 5" xfId="13420" xr:uid="{00000000-0005-0000-0000-0000D76E0000}"/>
    <cellStyle name="40% - Accent3 4 8 5 2" xfId="36022" xr:uid="{00000000-0005-0000-0000-0000D86E0000}"/>
    <cellStyle name="40% - Accent3 4 8 6" xfId="24721" xr:uid="{00000000-0005-0000-0000-0000D96E0000}"/>
    <cellStyle name="40% - Accent3 4 9" xfId="2196" xr:uid="{00000000-0005-0000-0000-0000DA6E0000}"/>
    <cellStyle name="40% - Accent3 4 9 2" xfId="8039" xr:uid="{00000000-0005-0000-0000-0000DB6E0000}"/>
    <cellStyle name="40% - Accent3 4 9 2 2" xfId="19340" xr:uid="{00000000-0005-0000-0000-0000DC6E0000}"/>
    <cellStyle name="40% - Accent3 4 9 2 2 2" xfId="41942" xr:uid="{00000000-0005-0000-0000-0000DD6E0000}"/>
    <cellStyle name="40% - Accent3 4 9 2 3" xfId="30641" xr:uid="{00000000-0005-0000-0000-0000DE6E0000}"/>
    <cellStyle name="40% - Accent3 4 9 3" xfId="13690" xr:uid="{00000000-0005-0000-0000-0000DF6E0000}"/>
    <cellStyle name="40% - Accent3 4 9 3 2" xfId="36292" xr:uid="{00000000-0005-0000-0000-0000E06E0000}"/>
    <cellStyle name="40% - Accent3 4 9 4" xfId="24991" xr:uid="{00000000-0005-0000-0000-0000E16E0000}"/>
    <cellStyle name="40% - Accent3 5" xfId="268" xr:uid="{00000000-0005-0000-0000-0000E26E0000}"/>
    <cellStyle name="40% - Accent3 5 10" xfId="12133" xr:uid="{00000000-0005-0000-0000-0000E36E0000}"/>
    <cellStyle name="40% - Accent3 5 10 2" xfId="34735" xr:uid="{00000000-0005-0000-0000-0000E46E0000}"/>
    <cellStyle name="40% - Accent3 5 11" xfId="23434" xr:uid="{00000000-0005-0000-0000-0000E56E0000}"/>
    <cellStyle name="40% - Accent3 5 2" xfId="435" xr:uid="{00000000-0005-0000-0000-0000E66E0000}"/>
    <cellStyle name="40% - Accent3 5 2 10" xfId="23530" xr:uid="{00000000-0005-0000-0000-0000E76E0000}"/>
    <cellStyle name="40% - Accent3 5 2 2" xfId="680" xr:uid="{00000000-0005-0000-0000-0000E86E0000}"/>
    <cellStyle name="40% - Accent3 5 2 2 2" xfId="1390" xr:uid="{00000000-0005-0000-0000-0000E96E0000}"/>
    <cellStyle name="40% - Accent3 5 2 2 2 2" xfId="1930" xr:uid="{00000000-0005-0000-0000-0000EA6E0000}"/>
    <cellStyle name="40% - Accent3 5 2 2 2 2 2" xfId="3459" xr:uid="{00000000-0005-0000-0000-0000EB6E0000}"/>
    <cellStyle name="40% - Accent3 5 2 2 2 2 2 2" xfId="6431" xr:uid="{00000000-0005-0000-0000-0000EC6E0000}"/>
    <cellStyle name="40% - Accent3 5 2 2 2 2 2 2 2" xfId="12081" xr:uid="{00000000-0005-0000-0000-0000ED6E0000}"/>
    <cellStyle name="40% - Accent3 5 2 2 2 2 2 2 2 2" xfId="23382" xr:uid="{00000000-0005-0000-0000-0000EE6E0000}"/>
    <cellStyle name="40% - Accent3 5 2 2 2 2 2 2 2 2 2" xfId="45984" xr:uid="{00000000-0005-0000-0000-0000EF6E0000}"/>
    <cellStyle name="40% - Accent3 5 2 2 2 2 2 2 2 3" xfId="34683" xr:uid="{00000000-0005-0000-0000-0000F06E0000}"/>
    <cellStyle name="40% - Accent3 5 2 2 2 2 2 2 3" xfId="17732" xr:uid="{00000000-0005-0000-0000-0000F16E0000}"/>
    <cellStyle name="40% - Accent3 5 2 2 2 2 2 2 3 2" xfId="40334" xr:uid="{00000000-0005-0000-0000-0000F26E0000}"/>
    <cellStyle name="40% - Accent3 5 2 2 2 2 2 2 4" xfId="29033" xr:uid="{00000000-0005-0000-0000-0000F36E0000}"/>
    <cellStyle name="40% - Accent3 5 2 2 2 2 2 3" xfId="9249" xr:uid="{00000000-0005-0000-0000-0000F46E0000}"/>
    <cellStyle name="40% - Accent3 5 2 2 2 2 2 3 2" xfId="20550" xr:uid="{00000000-0005-0000-0000-0000F56E0000}"/>
    <cellStyle name="40% - Accent3 5 2 2 2 2 2 3 2 2" xfId="43152" xr:uid="{00000000-0005-0000-0000-0000F66E0000}"/>
    <cellStyle name="40% - Accent3 5 2 2 2 2 2 3 3" xfId="31851" xr:uid="{00000000-0005-0000-0000-0000F76E0000}"/>
    <cellStyle name="40% - Accent3 5 2 2 2 2 2 4" xfId="14900" xr:uid="{00000000-0005-0000-0000-0000F86E0000}"/>
    <cellStyle name="40% - Accent3 5 2 2 2 2 2 4 2" xfId="37502" xr:uid="{00000000-0005-0000-0000-0000F96E0000}"/>
    <cellStyle name="40% - Accent3 5 2 2 2 2 2 5" xfId="26201" xr:uid="{00000000-0005-0000-0000-0000FA6E0000}"/>
    <cellStyle name="40% - Accent3 5 2 2 2 2 3" xfId="5197" xr:uid="{00000000-0005-0000-0000-0000FB6E0000}"/>
    <cellStyle name="40% - Accent3 5 2 2 2 2 3 2" xfId="10847" xr:uid="{00000000-0005-0000-0000-0000FC6E0000}"/>
    <cellStyle name="40% - Accent3 5 2 2 2 2 3 2 2" xfId="22148" xr:uid="{00000000-0005-0000-0000-0000FD6E0000}"/>
    <cellStyle name="40% - Accent3 5 2 2 2 2 3 2 2 2" xfId="44750" xr:uid="{00000000-0005-0000-0000-0000FE6E0000}"/>
    <cellStyle name="40% - Accent3 5 2 2 2 2 3 2 3" xfId="33449" xr:uid="{00000000-0005-0000-0000-0000FF6E0000}"/>
    <cellStyle name="40% - Accent3 5 2 2 2 2 3 3" xfId="16498" xr:uid="{00000000-0005-0000-0000-0000006F0000}"/>
    <cellStyle name="40% - Accent3 5 2 2 2 2 3 3 2" xfId="39100" xr:uid="{00000000-0005-0000-0000-0000016F0000}"/>
    <cellStyle name="40% - Accent3 5 2 2 2 2 3 4" xfId="27799" xr:uid="{00000000-0005-0000-0000-0000026F0000}"/>
    <cellStyle name="40% - Accent3 5 2 2 2 2 4" xfId="7786" xr:uid="{00000000-0005-0000-0000-0000036F0000}"/>
    <cellStyle name="40% - Accent3 5 2 2 2 2 4 2" xfId="19087" xr:uid="{00000000-0005-0000-0000-0000046F0000}"/>
    <cellStyle name="40% - Accent3 5 2 2 2 2 4 2 2" xfId="41689" xr:uid="{00000000-0005-0000-0000-0000056F0000}"/>
    <cellStyle name="40% - Accent3 5 2 2 2 2 4 3" xfId="30388" xr:uid="{00000000-0005-0000-0000-0000066F0000}"/>
    <cellStyle name="40% - Accent3 5 2 2 2 2 5" xfId="13437" xr:uid="{00000000-0005-0000-0000-0000076F0000}"/>
    <cellStyle name="40% - Accent3 5 2 2 2 2 5 2" xfId="36039" xr:uid="{00000000-0005-0000-0000-0000086F0000}"/>
    <cellStyle name="40% - Accent3 5 2 2 2 2 6" xfId="24738" xr:uid="{00000000-0005-0000-0000-0000096F0000}"/>
    <cellStyle name="40% - Accent3 5 2 2 2 3" xfId="2788" xr:uid="{00000000-0005-0000-0000-00000A6F0000}"/>
    <cellStyle name="40% - Accent3 5 2 2 2 3 2" xfId="5807" xr:uid="{00000000-0005-0000-0000-00000B6F0000}"/>
    <cellStyle name="40% - Accent3 5 2 2 2 3 2 2" xfId="11457" xr:uid="{00000000-0005-0000-0000-00000C6F0000}"/>
    <cellStyle name="40% - Accent3 5 2 2 2 3 2 2 2" xfId="22758" xr:uid="{00000000-0005-0000-0000-00000D6F0000}"/>
    <cellStyle name="40% - Accent3 5 2 2 2 3 2 2 2 2" xfId="45360" xr:uid="{00000000-0005-0000-0000-00000E6F0000}"/>
    <cellStyle name="40% - Accent3 5 2 2 2 3 2 2 3" xfId="34059" xr:uid="{00000000-0005-0000-0000-00000F6F0000}"/>
    <cellStyle name="40% - Accent3 5 2 2 2 3 2 3" xfId="17108" xr:uid="{00000000-0005-0000-0000-0000106F0000}"/>
    <cellStyle name="40% - Accent3 5 2 2 2 3 2 3 2" xfId="39710" xr:uid="{00000000-0005-0000-0000-0000116F0000}"/>
    <cellStyle name="40% - Accent3 5 2 2 2 3 2 4" xfId="28409" xr:uid="{00000000-0005-0000-0000-0000126F0000}"/>
    <cellStyle name="40% - Accent3 5 2 2 2 3 3" xfId="8624" xr:uid="{00000000-0005-0000-0000-0000136F0000}"/>
    <cellStyle name="40% - Accent3 5 2 2 2 3 3 2" xfId="19925" xr:uid="{00000000-0005-0000-0000-0000146F0000}"/>
    <cellStyle name="40% - Accent3 5 2 2 2 3 3 2 2" xfId="42527" xr:uid="{00000000-0005-0000-0000-0000156F0000}"/>
    <cellStyle name="40% - Accent3 5 2 2 2 3 3 3" xfId="31226" xr:uid="{00000000-0005-0000-0000-0000166F0000}"/>
    <cellStyle name="40% - Accent3 5 2 2 2 3 4" xfId="14275" xr:uid="{00000000-0005-0000-0000-0000176F0000}"/>
    <cellStyle name="40% - Accent3 5 2 2 2 3 4 2" xfId="36877" xr:uid="{00000000-0005-0000-0000-0000186F0000}"/>
    <cellStyle name="40% - Accent3 5 2 2 2 3 5" xfId="25576" xr:uid="{00000000-0005-0000-0000-0000196F0000}"/>
    <cellStyle name="40% - Accent3 5 2 2 2 4" xfId="4573" xr:uid="{00000000-0005-0000-0000-00001A6F0000}"/>
    <cellStyle name="40% - Accent3 5 2 2 2 4 2" xfId="10223" xr:uid="{00000000-0005-0000-0000-00001B6F0000}"/>
    <cellStyle name="40% - Accent3 5 2 2 2 4 2 2" xfId="21524" xr:uid="{00000000-0005-0000-0000-00001C6F0000}"/>
    <cellStyle name="40% - Accent3 5 2 2 2 4 2 2 2" xfId="44126" xr:uid="{00000000-0005-0000-0000-00001D6F0000}"/>
    <cellStyle name="40% - Accent3 5 2 2 2 4 2 3" xfId="32825" xr:uid="{00000000-0005-0000-0000-00001E6F0000}"/>
    <cellStyle name="40% - Accent3 5 2 2 2 4 3" xfId="15874" xr:uid="{00000000-0005-0000-0000-00001F6F0000}"/>
    <cellStyle name="40% - Accent3 5 2 2 2 4 3 2" xfId="38476" xr:uid="{00000000-0005-0000-0000-0000206F0000}"/>
    <cellStyle name="40% - Accent3 5 2 2 2 4 4" xfId="27175" xr:uid="{00000000-0005-0000-0000-0000216F0000}"/>
    <cellStyle name="40% - Accent3 5 2 2 2 5" xfId="7369" xr:uid="{00000000-0005-0000-0000-0000226F0000}"/>
    <cellStyle name="40% - Accent3 5 2 2 2 5 2" xfId="18670" xr:uid="{00000000-0005-0000-0000-0000236F0000}"/>
    <cellStyle name="40% - Accent3 5 2 2 2 5 2 2" xfId="41272" xr:uid="{00000000-0005-0000-0000-0000246F0000}"/>
    <cellStyle name="40% - Accent3 5 2 2 2 5 3" xfId="29971" xr:uid="{00000000-0005-0000-0000-0000256F0000}"/>
    <cellStyle name="40% - Accent3 5 2 2 2 6" xfId="13020" xr:uid="{00000000-0005-0000-0000-0000266F0000}"/>
    <cellStyle name="40% - Accent3 5 2 2 2 6 2" xfId="35622" xr:uid="{00000000-0005-0000-0000-0000276F0000}"/>
    <cellStyle name="40% - Accent3 5 2 2 2 7" xfId="24321" xr:uid="{00000000-0005-0000-0000-0000286F0000}"/>
    <cellStyle name="40% - Accent3 5 2 2 3" xfId="1088" xr:uid="{00000000-0005-0000-0000-0000296F0000}"/>
    <cellStyle name="40% - Accent3 5 2 2 3 2" xfId="3151" xr:uid="{00000000-0005-0000-0000-00002A6F0000}"/>
    <cellStyle name="40% - Accent3 5 2 2 3 2 2" xfId="6123" xr:uid="{00000000-0005-0000-0000-00002B6F0000}"/>
    <cellStyle name="40% - Accent3 5 2 2 3 2 2 2" xfId="11773" xr:uid="{00000000-0005-0000-0000-00002C6F0000}"/>
    <cellStyle name="40% - Accent3 5 2 2 3 2 2 2 2" xfId="23074" xr:uid="{00000000-0005-0000-0000-00002D6F0000}"/>
    <cellStyle name="40% - Accent3 5 2 2 3 2 2 2 2 2" xfId="45676" xr:uid="{00000000-0005-0000-0000-00002E6F0000}"/>
    <cellStyle name="40% - Accent3 5 2 2 3 2 2 2 3" xfId="34375" xr:uid="{00000000-0005-0000-0000-00002F6F0000}"/>
    <cellStyle name="40% - Accent3 5 2 2 3 2 2 3" xfId="17424" xr:uid="{00000000-0005-0000-0000-0000306F0000}"/>
    <cellStyle name="40% - Accent3 5 2 2 3 2 2 3 2" xfId="40026" xr:uid="{00000000-0005-0000-0000-0000316F0000}"/>
    <cellStyle name="40% - Accent3 5 2 2 3 2 2 4" xfId="28725" xr:uid="{00000000-0005-0000-0000-0000326F0000}"/>
    <cellStyle name="40% - Accent3 5 2 2 3 2 3" xfId="8941" xr:uid="{00000000-0005-0000-0000-0000336F0000}"/>
    <cellStyle name="40% - Accent3 5 2 2 3 2 3 2" xfId="20242" xr:uid="{00000000-0005-0000-0000-0000346F0000}"/>
    <cellStyle name="40% - Accent3 5 2 2 3 2 3 2 2" xfId="42844" xr:uid="{00000000-0005-0000-0000-0000356F0000}"/>
    <cellStyle name="40% - Accent3 5 2 2 3 2 3 3" xfId="31543" xr:uid="{00000000-0005-0000-0000-0000366F0000}"/>
    <cellStyle name="40% - Accent3 5 2 2 3 2 4" xfId="14592" xr:uid="{00000000-0005-0000-0000-0000376F0000}"/>
    <cellStyle name="40% - Accent3 5 2 2 3 2 4 2" xfId="37194" xr:uid="{00000000-0005-0000-0000-0000386F0000}"/>
    <cellStyle name="40% - Accent3 5 2 2 3 2 5" xfId="25893" xr:uid="{00000000-0005-0000-0000-0000396F0000}"/>
    <cellStyle name="40% - Accent3 5 2 2 3 3" xfId="4889" xr:uid="{00000000-0005-0000-0000-00003A6F0000}"/>
    <cellStyle name="40% - Accent3 5 2 2 3 3 2" xfId="10539" xr:uid="{00000000-0005-0000-0000-00003B6F0000}"/>
    <cellStyle name="40% - Accent3 5 2 2 3 3 2 2" xfId="21840" xr:uid="{00000000-0005-0000-0000-00003C6F0000}"/>
    <cellStyle name="40% - Accent3 5 2 2 3 3 2 2 2" xfId="44442" xr:uid="{00000000-0005-0000-0000-00003D6F0000}"/>
    <cellStyle name="40% - Accent3 5 2 2 3 3 2 3" xfId="33141" xr:uid="{00000000-0005-0000-0000-00003E6F0000}"/>
    <cellStyle name="40% - Accent3 5 2 2 3 3 3" xfId="16190" xr:uid="{00000000-0005-0000-0000-00003F6F0000}"/>
    <cellStyle name="40% - Accent3 5 2 2 3 3 3 2" xfId="38792" xr:uid="{00000000-0005-0000-0000-0000406F0000}"/>
    <cellStyle name="40% - Accent3 5 2 2 3 3 4" xfId="27491" xr:uid="{00000000-0005-0000-0000-0000416F0000}"/>
    <cellStyle name="40% - Accent3 5 2 2 3 4" xfId="7076" xr:uid="{00000000-0005-0000-0000-0000426F0000}"/>
    <cellStyle name="40% - Accent3 5 2 2 3 4 2" xfId="18377" xr:uid="{00000000-0005-0000-0000-0000436F0000}"/>
    <cellStyle name="40% - Accent3 5 2 2 3 4 2 2" xfId="40979" xr:uid="{00000000-0005-0000-0000-0000446F0000}"/>
    <cellStyle name="40% - Accent3 5 2 2 3 4 3" xfId="29678" xr:uid="{00000000-0005-0000-0000-0000456F0000}"/>
    <cellStyle name="40% - Accent3 5 2 2 3 5" xfId="12727" xr:uid="{00000000-0005-0000-0000-0000466F0000}"/>
    <cellStyle name="40% - Accent3 5 2 2 3 5 2" xfId="35329" xr:uid="{00000000-0005-0000-0000-0000476F0000}"/>
    <cellStyle name="40% - Accent3 5 2 2 3 6" xfId="24028" xr:uid="{00000000-0005-0000-0000-0000486F0000}"/>
    <cellStyle name="40% - Accent3 5 2 2 4" xfId="1929" xr:uid="{00000000-0005-0000-0000-0000496F0000}"/>
    <cellStyle name="40% - Accent3 5 2 2 4 2" xfId="3765" xr:uid="{00000000-0005-0000-0000-00004A6F0000}"/>
    <cellStyle name="40% - Accent3 5 2 2 4 2 2" xfId="9475" xr:uid="{00000000-0005-0000-0000-00004B6F0000}"/>
    <cellStyle name="40% - Accent3 5 2 2 4 2 2 2" xfId="20776" xr:uid="{00000000-0005-0000-0000-00004C6F0000}"/>
    <cellStyle name="40% - Accent3 5 2 2 4 2 2 2 2" xfId="43378" xr:uid="{00000000-0005-0000-0000-00004D6F0000}"/>
    <cellStyle name="40% - Accent3 5 2 2 4 2 2 3" xfId="32077" xr:uid="{00000000-0005-0000-0000-00004E6F0000}"/>
    <cellStyle name="40% - Accent3 5 2 2 4 2 3" xfId="15126" xr:uid="{00000000-0005-0000-0000-00004F6F0000}"/>
    <cellStyle name="40% - Accent3 5 2 2 4 2 3 2" xfId="37728" xr:uid="{00000000-0005-0000-0000-0000506F0000}"/>
    <cellStyle name="40% - Accent3 5 2 2 4 2 4" xfId="26427" xr:uid="{00000000-0005-0000-0000-0000516F0000}"/>
    <cellStyle name="40% - Accent3 5 2 2 4 3" xfId="5499" xr:uid="{00000000-0005-0000-0000-0000526F0000}"/>
    <cellStyle name="40% - Accent3 5 2 2 4 3 2" xfId="11149" xr:uid="{00000000-0005-0000-0000-0000536F0000}"/>
    <cellStyle name="40% - Accent3 5 2 2 4 3 2 2" xfId="22450" xr:uid="{00000000-0005-0000-0000-0000546F0000}"/>
    <cellStyle name="40% - Accent3 5 2 2 4 3 2 2 2" xfId="45052" xr:uid="{00000000-0005-0000-0000-0000556F0000}"/>
    <cellStyle name="40% - Accent3 5 2 2 4 3 2 3" xfId="33751" xr:uid="{00000000-0005-0000-0000-0000566F0000}"/>
    <cellStyle name="40% - Accent3 5 2 2 4 3 3" xfId="16800" xr:uid="{00000000-0005-0000-0000-0000576F0000}"/>
    <cellStyle name="40% - Accent3 5 2 2 4 3 3 2" xfId="39402" xr:uid="{00000000-0005-0000-0000-0000586F0000}"/>
    <cellStyle name="40% - Accent3 5 2 2 4 3 4" xfId="28101" xr:uid="{00000000-0005-0000-0000-0000596F0000}"/>
    <cellStyle name="40% - Accent3 5 2 2 4 4" xfId="7785" xr:uid="{00000000-0005-0000-0000-00005A6F0000}"/>
    <cellStyle name="40% - Accent3 5 2 2 4 4 2" xfId="19086" xr:uid="{00000000-0005-0000-0000-00005B6F0000}"/>
    <cellStyle name="40% - Accent3 5 2 2 4 4 2 2" xfId="41688" xr:uid="{00000000-0005-0000-0000-00005C6F0000}"/>
    <cellStyle name="40% - Accent3 5 2 2 4 4 3" xfId="30387" xr:uid="{00000000-0005-0000-0000-00005D6F0000}"/>
    <cellStyle name="40% - Accent3 5 2 2 4 5" xfId="13436" xr:uid="{00000000-0005-0000-0000-00005E6F0000}"/>
    <cellStyle name="40% - Accent3 5 2 2 4 5 2" xfId="36038" xr:uid="{00000000-0005-0000-0000-00005F6F0000}"/>
    <cellStyle name="40% - Accent3 5 2 2 4 6" xfId="24737" xr:uid="{00000000-0005-0000-0000-0000606F0000}"/>
    <cellStyle name="40% - Accent3 5 2 2 5" xfId="2480" xr:uid="{00000000-0005-0000-0000-0000616F0000}"/>
    <cellStyle name="40% - Accent3 5 2 2 5 2" xfId="8316" xr:uid="{00000000-0005-0000-0000-0000626F0000}"/>
    <cellStyle name="40% - Accent3 5 2 2 5 2 2" xfId="19617" xr:uid="{00000000-0005-0000-0000-0000636F0000}"/>
    <cellStyle name="40% - Accent3 5 2 2 5 2 2 2" xfId="42219" xr:uid="{00000000-0005-0000-0000-0000646F0000}"/>
    <cellStyle name="40% - Accent3 5 2 2 5 2 3" xfId="30918" xr:uid="{00000000-0005-0000-0000-0000656F0000}"/>
    <cellStyle name="40% - Accent3 5 2 2 5 3" xfId="13967" xr:uid="{00000000-0005-0000-0000-0000666F0000}"/>
    <cellStyle name="40% - Accent3 5 2 2 5 3 2" xfId="36569" xr:uid="{00000000-0005-0000-0000-0000676F0000}"/>
    <cellStyle name="40% - Accent3 5 2 2 5 4" xfId="25268" xr:uid="{00000000-0005-0000-0000-0000686F0000}"/>
    <cellStyle name="40% - Accent3 5 2 2 6" xfId="4265" xr:uid="{00000000-0005-0000-0000-0000696F0000}"/>
    <cellStyle name="40% - Accent3 5 2 2 6 2" xfId="9915" xr:uid="{00000000-0005-0000-0000-00006A6F0000}"/>
    <cellStyle name="40% - Accent3 5 2 2 6 2 2" xfId="21216" xr:uid="{00000000-0005-0000-0000-00006B6F0000}"/>
    <cellStyle name="40% - Accent3 5 2 2 6 2 2 2" xfId="43818" xr:uid="{00000000-0005-0000-0000-00006C6F0000}"/>
    <cellStyle name="40% - Accent3 5 2 2 6 2 3" xfId="32517" xr:uid="{00000000-0005-0000-0000-00006D6F0000}"/>
    <cellStyle name="40% - Accent3 5 2 2 6 3" xfId="15566" xr:uid="{00000000-0005-0000-0000-00006E6F0000}"/>
    <cellStyle name="40% - Accent3 5 2 2 6 3 2" xfId="38168" xr:uid="{00000000-0005-0000-0000-00006F6F0000}"/>
    <cellStyle name="40% - Accent3 5 2 2 6 4" xfId="26867" xr:uid="{00000000-0005-0000-0000-0000706F0000}"/>
    <cellStyle name="40% - Accent3 5 2 2 7" xfId="6745" xr:uid="{00000000-0005-0000-0000-0000716F0000}"/>
    <cellStyle name="40% - Accent3 5 2 2 7 2" xfId="18046" xr:uid="{00000000-0005-0000-0000-0000726F0000}"/>
    <cellStyle name="40% - Accent3 5 2 2 7 2 2" xfId="40648" xr:uid="{00000000-0005-0000-0000-0000736F0000}"/>
    <cellStyle name="40% - Accent3 5 2 2 7 3" xfId="29347" xr:uid="{00000000-0005-0000-0000-0000746F0000}"/>
    <cellStyle name="40% - Accent3 5 2 2 8" xfId="12396" xr:uid="{00000000-0005-0000-0000-0000756F0000}"/>
    <cellStyle name="40% - Accent3 5 2 2 8 2" xfId="34998" xr:uid="{00000000-0005-0000-0000-0000766F0000}"/>
    <cellStyle name="40% - Accent3 5 2 2 9" xfId="23697" xr:uid="{00000000-0005-0000-0000-0000776F0000}"/>
    <cellStyle name="40% - Accent3 5 2 3" xfId="1252" xr:uid="{00000000-0005-0000-0000-0000786F0000}"/>
    <cellStyle name="40% - Accent3 5 2 3 2" xfId="1931" xr:uid="{00000000-0005-0000-0000-0000796F0000}"/>
    <cellStyle name="40% - Accent3 5 2 3 2 2" xfId="3320" xr:uid="{00000000-0005-0000-0000-00007A6F0000}"/>
    <cellStyle name="40% - Accent3 5 2 3 2 2 2" xfId="6292" xr:uid="{00000000-0005-0000-0000-00007B6F0000}"/>
    <cellStyle name="40% - Accent3 5 2 3 2 2 2 2" xfId="11942" xr:uid="{00000000-0005-0000-0000-00007C6F0000}"/>
    <cellStyle name="40% - Accent3 5 2 3 2 2 2 2 2" xfId="23243" xr:uid="{00000000-0005-0000-0000-00007D6F0000}"/>
    <cellStyle name="40% - Accent3 5 2 3 2 2 2 2 2 2" xfId="45845" xr:uid="{00000000-0005-0000-0000-00007E6F0000}"/>
    <cellStyle name="40% - Accent3 5 2 3 2 2 2 2 3" xfId="34544" xr:uid="{00000000-0005-0000-0000-00007F6F0000}"/>
    <cellStyle name="40% - Accent3 5 2 3 2 2 2 3" xfId="17593" xr:uid="{00000000-0005-0000-0000-0000806F0000}"/>
    <cellStyle name="40% - Accent3 5 2 3 2 2 2 3 2" xfId="40195" xr:uid="{00000000-0005-0000-0000-0000816F0000}"/>
    <cellStyle name="40% - Accent3 5 2 3 2 2 2 4" xfId="28894" xr:uid="{00000000-0005-0000-0000-0000826F0000}"/>
    <cellStyle name="40% - Accent3 5 2 3 2 2 3" xfId="9110" xr:uid="{00000000-0005-0000-0000-0000836F0000}"/>
    <cellStyle name="40% - Accent3 5 2 3 2 2 3 2" xfId="20411" xr:uid="{00000000-0005-0000-0000-0000846F0000}"/>
    <cellStyle name="40% - Accent3 5 2 3 2 2 3 2 2" xfId="43013" xr:uid="{00000000-0005-0000-0000-0000856F0000}"/>
    <cellStyle name="40% - Accent3 5 2 3 2 2 3 3" xfId="31712" xr:uid="{00000000-0005-0000-0000-0000866F0000}"/>
    <cellStyle name="40% - Accent3 5 2 3 2 2 4" xfId="14761" xr:uid="{00000000-0005-0000-0000-0000876F0000}"/>
    <cellStyle name="40% - Accent3 5 2 3 2 2 4 2" xfId="37363" xr:uid="{00000000-0005-0000-0000-0000886F0000}"/>
    <cellStyle name="40% - Accent3 5 2 3 2 2 5" xfId="26062" xr:uid="{00000000-0005-0000-0000-0000896F0000}"/>
    <cellStyle name="40% - Accent3 5 2 3 2 3" xfId="5058" xr:uid="{00000000-0005-0000-0000-00008A6F0000}"/>
    <cellStyle name="40% - Accent3 5 2 3 2 3 2" xfId="10708" xr:uid="{00000000-0005-0000-0000-00008B6F0000}"/>
    <cellStyle name="40% - Accent3 5 2 3 2 3 2 2" xfId="22009" xr:uid="{00000000-0005-0000-0000-00008C6F0000}"/>
    <cellStyle name="40% - Accent3 5 2 3 2 3 2 2 2" xfId="44611" xr:uid="{00000000-0005-0000-0000-00008D6F0000}"/>
    <cellStyle name="40% - Accent3 5 2 3 2 3 2 3" xfId="33310" xr:uid="{00000000-0005-0000-0000-00008E6F0000}"/>
    <cellStyle name="40% - Accent3 5 2 3 2 3 3" xfId="16359" xr:uid="{00000000-0005-0000-0000-00008F6F0000}"/>
    <cellStyle name="40% - Accent3 5 2 3 2 3 3 2" xfId="38961" xr:uid="{00000000-0005-0000-0000-0000906F0000}"/>
    <cellStyle name="40% - Accent3 5 2 3 2 3 4" xfId="27660" xr:uid="{00000000-0005-0000-0000-0000916F0000}"/>
    <cellStyle name="40% - Accent3 5 2 3 2 4" xfId="7787" xr:uid="{00000000-0005-0000-0000-0000926F0000}"/>
    <cellStyle name="40% - Accent3 5 2 3 2 4 2" xfId="19088" xr:uid="{00000000-0005-0000-0000-0000936F0000}"/>
    <cellStyle name="40% - Accent3 5 2 3 2 4 2 2" xfId="41690" xr:uid="{00000000-0005-0000-0000-0000946F0000}"/>
    <cellStyle name="40% - Accent3 5 2 3 2 4 3" xfId="30389" xr:uid="{00000000-0005-0000-0000-0000956F0000}"/>
    <cellStyle name="40% - Accent3 5 2 3 2 5" xfId="13438" xr:uid="{00000000-0005-0000-0000-0000966F0000}"/>
    <cellStyle name="40% - Accent3 5 2 3 2 5 2" xfId="36040" xr:uid="{00000000-0005-0000-0000-0000976F0000}"/>
    <cellStyle name="40% - Accent3 5 2 3 2 6" xfId="24739" xr:uid="{00000000-0005-0000-0000-0000986F0000}"/>
    <cellStyle name="40% - Accent3 5 2 3 3" xfId="2649" xr:uid="{00000000-0005-0000-0000-0000996F0000}"/>
    <cellStyle name="40% - Accent3 5 2 3 3 2" xfId="5668" xr:uid="{00000000-0005-0000-0000-00009A6F0000}"/>
    <cellStyle name="40% - Accent3 5 2 3 3 2 2" xfId="11318" xr:uid="{00000000-0005-0000-0000-00009B6F0000}"/>
    <cellStyle name="40% - Accent3 5 2 3 3 2 2 2" xfId="22619" xr:uid="{00000000-0005-0000-0000-00009C6F0000}"/>
    <cellStyle name="40% - Accent3 5 2 3 3 2 2 2 2" xfId="45221" xr:uid="{00000000-0005-0000-0000-00009D6F0000}"/>
    <cellStyle name="40% - Accent3 5 2 3 3 2 2 3" xfId="33920" xr:uid="{00000000-0005-0000-0000-00009E6F0000}"/>
    <cellStyle name="40% - Accent3 5 2 3 3 2 3" xfId="16969" xr:uid="{00000000-0005-0000-0000-00009F6F0000}"/>
    <cellStyle name="40% - Accent3 5 2 3 3 2 3 2" xfId="39571" xr:uid="{00000000-0005-0000-0000-0000A06F0000}"/>
    <cellStyle name="40% - Accent3 5 2 3 3 2 4" xfId="28270" xr:uid="{00000000-0005-0000-0000-0000A16F0000}"/>
    <cellStyle name="40% - Accent3 5 2 3 3 3" xfId="8485" xr:uid="{00000000-0005-0000-0000-0000A26F0000}"/>
    <cellStyle name="40% - Accent3 5 2 3 3 3 2" xfId="19786" xr:uid="{00000000-0005-0000-0000-0000A36F0000}"/>
    <cellStyle name="40% - Accent3 5 2 3 3 3 2 2" xfId="42388" xr:uid="{00000000-0005-0000-0000-0000A46F0000}"/>
    <cellStyle name="40% - Accent3 5 2 3 3 3 3" xfId="31087" xr:uid="{00000000-0005-0000-0000-0000A56F0000}"/>
    <cellStyle name="40% - Accent3 5 2 3 3 4" xfId="14136" xr:uid="{00000000-0005-0000-0000-0000A66F0000}"/>
    <cellStyle name="40% - Accent3 5 2 3 3 4 2" xfId="36738" xr:uid="{00000000-0005-0000-0000-0000A76F0000}"/>
    <cellStyle name="40% - Accent3 5 2 3 3 5" xfId="25437" xr:uid="{00000000-0005-0000-0000-0000A86F0000}"/>
    <cellStyle name="40% - Accent3 5 2 3 4" xfId="4434" xr:uid="{00000000-0005-0000-0000-0000A96F0000}"/>
    <cellStyle name="40% - Accent3 5 2 3 4 2" xfId="10084" xr:uid="{00000000-0005-0000-0000-0000AA6F0000}"/>
    <cellStyle name="40% - Accent3 5 2 3 4 2 2" xfId="21385" xr:uid="{00000000-0005-0000-0000-0000AB6F0000}"/>
    <cellStyle name="40% - Accent3 5 2 3 4 2 2 2" xfId="43987" xr:uid="{00000000-0005-0000-0000-0000AC6F0000}"/>
    <cellStyle name="40% - Accent3 5 2 3 4 2 3" xfId="32686" xr:uid="{00000000-0005-0000-0000-0000AD6F0000}"/>
    <cellStyle name="40% - Accent3 5 2 3 4 3" xfId="15735" xr:uid="{00000000-0005-0000-0000-0000AE6F0000}"/>
    <cellStyle name="40% - Accent3 5 2 3 4 3 2" xfId="38337" xr:uid="{00000000-0005-0000-0000-0000AF6F0000}"/>
    <cellStyle name="40% - Accent3 5 2 3 4 4" xfId="27036" xr:uid="{00000000-0005-0000-0000-0000B06F0000}"/>
    <cellStyle name="40% - Accent3 5 2 3 5" xfId="7231" xr:uid="{00000000-0005-0000-0000-0000B16F0000}"/>
    <cellStyle name="40% - Accent3 5 2 3 5 2" xfId="18532" xr:uid="{00000000-0005-0000-0000-0000B26F0000}"/>
    <cellStyle name="40% - Accent3 5 2 3 5 2 2" xfId="41134" xr:uid="{00000000-0005-0000-0000-0000B36F0000}"/>
    <cellStyle name="40% - Accent3 5 2 3 5 3" xfId="29833" xr:uid="{00000000-0005-0000-0000-0000B46F0000}"/>
    <cellStyle name="40% - Accent3 5 2 3 6" xfId="12882" xr:uid="{00000000-0005-0000-0000-0000B56F0000}"/>
    <cellStyle name="40% - Accent3 5 2 3 6 2" xfId="35484" xr:uid="{00000000-0005-0000-0000-0000B66F0000}"/>
    <cellStyle name="40% - Accent3 5 2 3 7" xfId="24183" xr:uid="{00000000-0005-0000-0000-0000B76F0000}"/>
    <cellStyle name="40% - Accent3 5 2 4" xfId="943" xr:uid="{00000000-0005-0000-0000-0000B86F0000}"/>
    <cellStyle name="40% - Accent3 5 2 4 2" xfId="3013" xr:uid="{00000000-0005-0000-0000-0000B96F0000}"/>
    <cellStyle name="40% - Accent3 5 2 4 2 2" xfId="5985" xr:uid="{00000000-0005-0000-0000-0000BA6F0000}"/>
    <cellStyle name="40% - Accent3 5 2 4 2 2 2" xfId="11635" xr:uid="{00000000-0005-0000-0000-0000BB6F0000}"/>
    <cellStyle name="40% - Accent3 5 2 4 2 2 2 2" xfId="22936" xr:uid="{00000000-0005-0000-0000-0000BC6F0000}"/>
    <cellStyle name="40% - Accent3 5 2 4 2 2 2 2 2" xfId="45538" xr:uid="{00000000-0005-0000-0000-0000BD6F0000}"/>
    <cellStyle name="40% - Accent3 5 2 4 2 2 2 3" xfId="34237" xr:uid="{00000000-0005-0000-0000-0000BE6F0000}"/>
    <cellStyle name="40% - Accent3 5 2 4 2 2 3" xfId="17286" xr:uid="{00000000-0005-0000-0000-0000BF6F0000}"/>
    <cellStyle name="40% - Accent3 5 2 4 2 2 3 2" xfId="39888" xr:uid="{00000000-0005-0000-0000-0000C06F0000}"/>
    <cellStyle name="40% - Accent3 5 2 4 2 2 4" xfId="28587" xr:uid="{00000000-0005-0000-0000-0000C16F0000}"/>
    <cellStyle name="40% - Accent3 5 2 4 2 3" xfId="8803" xr:uid="{00000000-0005-0000-0000-0000C26F0000}"/>
    <cellStyle name="40% - Accent3 5 2 4 2 3 2" xfId="20104" xr:uid="{00000000-0005-0000-0000-0000C36F0000}"/>
    <cellStyle name="40% - Accent3 5 2 4 2 3 2 2" xfId="42706" xr:uid="{00000000-0005-0000-0000-0000C46F0000}"/>
    <cellStyle name="40% - Accent3 5 2 4 2 3 3" xfId="31405" xr:uid="{00000000-0005-0000-0000-0000C56F0000}"/>
    <cellStyle name="40% - Accent3 5 2 4 2 4" xfId="14454" xr:uid="{00000000-0005-0000-0000-0000C66F0000}"/>
    <cellStyle name="40% - Accent3 5 2 4 2 4 2" xfId="37056" xr:uid="{00000000-0005-0000-0000-0000C76F0000}"/>
    <cellStyle name="40% - Accent3 5 2 4 2 5" xfId="25755" xr:uid="{00000000-0005-0000-0000-0000C86F0000}"/>
    <cellStyle name="40% - Accent3 5 2 4 3" xfId="4751" xr:uid="{00000000-0005-0000-0000-0000C96F0000}"/>
    <cellStyle name="40% - Accent3 5 2 4 3 2" xfId="10401" xr:uid="{00000000-0005-0000-0000-0000CA6F0000}"/>
    <cellStyle name="40% - Accent3 5 2 4 3 2 2" xfId="21702" xr:uid="{00000000-0005-0000-0000-0000CB6F0000}"/>
    <cellStyle name="40% - Accent3 5 2 4 3 2 2 2" xfId="44304" xr:uid="{00000000-0005-0000-0000-0000CC6F0000}"/>
    <cellStyle name="40% - Accent3 5 2 4 3 2 3" xfId="33003" xr:uid="{00000000-0005-0000-0000-0000CD6F0000}"/>
    <cellStyle name="40% - Accent3 5 2 4 3 3" xfId="16052" xr:uid="{00000000-0005-0000-0000-0000CE6F0000}"/>
    <cellStyle name="40% - Accent3 5 2 4 3 3 2" xfId="38654" xr:uid="{00000000-0005-0000-0000-0000CF6F0000}"/>
    <cellStyle name="40% - Accent3 5 2 4 3 4" xfId="27353" xr:uid="{00000000-0005-0000-0000-0000D06F0000}"/>
    <cellStyle name="40% - Accent3 5 2 4 4" xfId="6938" xr:uid="{00000000-0005-0000-0000-0000D16F0000}"/>
    <cellStyle name="40% - Accent3 5 2 4 4 2" xfId="18239" xr:uid="{00000000-0005-0000-0000-0000D26F0000}"/>
    <cellStyle name="40% - Accent3 5 2 4 4 2 2" xfId="40841" xr:uid="{00000000-0005-0000-0000-0000D36F0000}"/>
    <cellStyle name="40% - Accent3 5 2 4 4 3" xfId="29540" xr:uid="{00000000-0005-0000-0000-0000D46F0000}"/>
    <cellStyle name="40% - Accent3 5 2 4 5" xfId="12589" xr:uid="{00000000-0005-0000-0000-0000D56F0000}"/>
    <cellStyle name="40% - Accent3 5 2 4 5 2" xfId="35191" xr:uid="{00000000-0005-0000-0000-0000D66F0000}"/>
    <cellStyle name="40% - Accent3 5 2 4 6" xfId="23890" xr:uid="{00000000-0005-0000-0000-0000D76F0000}"/>
    <cellStyle name="40% - Accent3 5 2 5" xfId="1928" xr:uid="{00000000-0005-0000-0000-0000D86F0000}"/>
    <cellStyle name="40% - Accent3 5 2 5 2" xfId="3764" xr:uid="{00000000-0005-0000-0000-0000D96F0000}"/>
    <cellStyle name="40% - Accent3 5 2 5 2 2" xfId="9474" xr:uid="{00000000-0005-0000-0000-0000DA6F0000}"/>
    <cellStyle name="40% - Accent3 5 2 5 2 2 2" xfId="20775" xr:uid="{00000000-0005-0000-0000-0000DB6F0000}"/>
    <cellStyle name="40% - Accent3 5 2 5 2 2 2 2" xfId="43377" xr:uid="{00000000-0005-0000-0000-0000DC6F0000}"/>
    <cellStyle name="40% - Accent3 5 2 5 2 2 3" xfId="32076" xr:uid="{00000000-0005-0000-0000-0000DD6F0000}"/>
    <cellStyle name="40% - Accent3 5 2 5 2 3" xfId="15125" xr:uid="{00000000-0005-0000-0000-0000DE6F0000}"/>
    <cellStyle name="40% - Accent3 5 2 5 2 3 2" xfId="37727" xr:uid="{00000000-0005-0000-0000-0000DF6F0000}"/>
    <cellStyle name="40% - Accent3 5 2 5 2 4" xfId="26426" xr:uid="{00000000-0005-0000-0000-0000E06F0000}"/>
    <cellStyle name="40% - Accent3 5 2 5 3" xfId="5361" xr:uid="{00000000-0005-0000-0000-0000E16F0000}"/>
    <cellStyle name="40% - Accent3 5 2 5 3 2" xfId="11011" xr:uid="{00000000-0005-0000-0000-0000E26F0000}"/>
    <cellStyle name="40% - Accent3 5 2 5 3 2 2" xfId="22312" xr:uid="{00000000-0005-0000-0000-0000E36F0000}"/>
    <cellStyle name="40% - Accent3 5 2 5 3 2 2 2" xfId="44914" xr:uid="{00000000-0005-0000-0000-0000E46F0000}"/>
    <cellStyle name="40% - Accent3 5 2 5 3 2 3" xfId="33613" xr:uid="{00000000-0005-0000-0000-0000E56F0000}"/>
    <cellStyle name="40% - Accent3 5 2 5 3 3" xfId="16662" xr:uid="{00000000-0005-0000-0000-0000E66F0000}"/>
    <cellStyle name="40% - Accent3 5 2 5 3 3 2" xfId="39264" xr:uid="{00000000-0005-0000-0000-0000E76F0000}"/>
    <cellStyle name="40% - Accent3 5 2 5 3 4" xfId="27963" xr:uid="{00000000-0005-0000-0000-0000E86F0000}"/>
    <cellStyle name="40% - Accent3 5 2 5 4" xfId="7784" xr:uid="{00000000-0005-0000-0000-0000E96F0000}"/>
    <cellStyle name="40% - Accent3 5 2 5 4 2" xfId="19085" xr:uid="{00000000-0005-0000-0000-0000EA6F0000}"/>
    <cellStyle name="40% - Accent3 5 2 5 4 2 2" xfId="41687" xr:uid="{00000000-0005-0000-0000-0000EB6F0000}"/>
    <cellStyle name="40% - Accent3 5 2 5 4 3" xfId="30386" xr:uid="{00000000-0005-0000-0000-0000EC6F0000}"/>
    <cellStyle name="40% - Accent3 5 2 5 5" xfId="13435" xr:uid="{00000000-0005-0000-0000-0000ED6F0000}"/>
    <cellStyle name="40% - Accent3 5 2 5 5 2" xfId="36037" xr:uid="{00000000-0005-0000-0000-0000EE6F0000}"/>
    <cellStyle name="40% - Accent3 5 2 5 6" xfId="24736" xr:uid="{00000000-0005-0000-0000-0000EF6F0000}"/>
    <cellStyle name="40% - Accent3 5 2 6" xfId="2340" xr:uid="{00000000-0005-0000-0000-0000F06F0000}"/>
    <cellStyle name="40% - Accent3 5 2 6 2" xfId="8176" xr:uid="{00000000-0005-0000-0000-0000F16F0000}"/>
    <cellStyle name="40% - Accent3 5 2 6 2 2" xfId="19477" xr:uid="{00000000-0005-0000-0000-0000F26F0000}"/>
    <cellStyle name="40% - Accent3 5 2 6 2 2 2" xfId="42079" xr:uid="{00000000-0005-0000-0000-0000F36F0000}"/>
    <cellStyle name="40% - Accent3 5 2 6 2 3" xfId="30778" xr:uid="{00000000-0005-0000-0000-0000F46F0000}"/>
    <cellStyle name="40% - Accent3 5 2 6 3" xfId="13827" xr:uid="{00000000-0005-0000-0000-0000F56F0000}"/>
    <cellStyle name="40% - Accent3 5 2 6 3 2" xfId="36429" xr:uid="{00000000-0005-0000-0000-0000F66F0000}"/>
    <cellStyle name="40% - Accent3 5 2 6 4" xfId="25128" xr:uid="{00000000-0005-0000-0000-0000F76F0000}"/>
    <cellStyle name="40% - Accent3 5 2 7" xfId="4127" xr:uid="{00000000-0005-0000-0000-0000F86F0000}"/>
    <cellStyle name="40% - Accent3 5 2 7 2" xfId="9777" xr:uid="{00000000-0005-0000-0000-0000F96F0000}"/>
    <cellStyle name="40% - Accent3 5 2 7 2 2" xfId="21078" xr:uid="{00000000-0005-0000-0000-0000FA6F0000}"/>
    <cellStyle name="40% - Accent3 5 2 7 2 2 2" xfId="43680" xr:uid="{00000000-0005-0000-0000-0000FB6F0000}"/>
    <cellStyle name="40% - Accent3 5 2 7 2 3" xfId="32379" xr:uid="{00000000-0005-0000-0000-0000FC6F0000}"/>
    <cellStyle name="40% - Accent3 5 2 7 3" xfId="15428" xr:uid="{00000000-0005-0000-0000-0000FD6F0000}"/>
    <cellStyle name="40% - Accent3 5 2 7 3 2" xfId="38030" xr:uid="{00000000-0005-0000-0000-0000FE6F0000}"/>
    <cellStyle name="40% - Accent3 5 2 7 4" xfId="26729" xr:uid="{00000000-0005-0000-0000-0000FF6F0000}"/>
    <cellStyle name="40% - Accent3 5 2 8" xfId="6578" xr:uid="{00000000-0005-0000-0000-000000700000}"/>
    <cellStyle name="40% - Accent3 5 2 8 2" xfId="17879" xr:uid="{00000000-0005-0000-0000-000001700000}"/>
    <cellStyle name="40% - Accent3 5 2 8 2 2" xfId="40481" xr:uid="{00000000-0005-0000-0000-000002700000}"/>
    <cellStyle name="40% - Accent3 5 2 8 3" xfId="29180" xr:uid="{00000000-0005-0000-0000-000003700000}"/>
    <cellStyle name="40% - Accent3 5 2 9" xfId="12229" xr:uid="{00000000-0005-0000-0000-000004700000}"/>
    <cellStyle name="40% - Accent3 5 2 9 2" xfId="34831" xr:uid="{00000000-0005-0000-0000-000005700000}"/>
    <cellStyle name="40% - Accent3 5 3" xfId="583" xr:uid="{00000000-0005-0000-0000-000006700000}"/>
    <cellStyle name="40% - Accent3 5 3 2" xfId="1296" xr:uid="{00000000-0005-0000-0000-000007700000}"/>
    <cellStyle name="40% - Accent3 5 3 2 2" xfId="1933" xr:uid="{00000000-0005-0000-0000-000008700000}"/>
    <cellStyle name="40% - Accent3 5 3 2 2 2" xfId="3365" xr:uid="{00000000-0005-0000-0000-000009700000}"/>
    <cellStyle name="40% - Accent3 5 3 2 2 2 2" xfId="6337" xr:uid="{00000000-0005-0000-0000-00000A700000}"/>
    <cellStyle name="40% - Accent3 5 3 2 2 2 2 2" xfId="11987" xr:uid="{00000000-0005-0000-0000-00000B700000}"/>
    <cellStyle name="40% - Accent3 5 3 2 2 2 2 2 2" xfId="23288" xr:uid="{00000000-0005-0000-0000-00000C700000}"/>
    <cellStyle name="40% - Accent3 5 3 2 2 2 2 2 2 2" xfId="45890" xr:uid="{00000000-0005-0000-0000-00000D700000}"/>
    <cellStyle name="40% - Accent3 5 3 2 2 2 2 2 3" xfId="34589" xr:uid="{00000000-0005-0000-0000-00000E700000}"/>
    <cellStyle name="40% - Accent3 5 3 2 2 2 2 3" xfId="17638" xr:uid="{00000000-0005-0000-0000-00000F700000}"/>
    <cellStyle name="40% - Accent3 5 3 2 2 2 2 3 2" xfId="40240" xr:uid="{00000000-0005-0000-0000-000010700000}"/>
    <cellStyle name="40% - Accent3 5 3 2 2 2 2 4" xfId="28939" xr:uid="{00000000-0005-0000-0000-000011700000}"/>
    <cellStyle name="40% - Accent3 5 3 2 2 2 3" xfId="9155" xr:uid="{00000000-0005-0000-0000-000012700000}"/>
    <cellStyle name="40% - Accent3 5 3 2 2 2 3 2" xfId="20456" xr:uid="{00000000-0005-0000-0000-000013700000}"/>
    <cellStyle name="40% - Accent3 5 3 2 2 2 3 2 2" xfId="43058" xr:uid="{00000000-0005-0000-0000-000014700000}"/>
    <cellStyle name="40% - Accent3 5 3 2 2 2 3 3" xfId="31757" xr:uid="{00000000-0005-0000-0000-000015700000}"/>
    <cellStyle name="40% - Accent3 5 3 2 2 2 4" xfId="14806" xr:uid="{00000000-0005-0000-0000-000016700000}"/>
    <cellStyle name="40% - Accent3 5 3 2 2 2 4 2" xfId="37408" xr:uid="{00000000-0005-0000-0000-000017700000}"/>
    <cellStyle name="40% - Accent3 5 3 2 2 2 5" xfId="26107" xr:uid="{00000000-0005-0000-0000-000018700000}"/>
    <cellStyle name="40% - Accent3 5 3 2 2 3" xfId="5103" xr:uid="{00000000-0005-0000-0000-000019700000}"/>
    <cellStyle name="40% - Accent3 5 3 2 2 3 2" xfId="10753" xr:uid="{00000000-0005-0000-0000-00001A700000}"/>
    <cellStyle name="40% - Accent3 5 3 2 2 3 2 2" xfId="22054" xr:uid="{00000000-0005-0000-0000-00001B700000}"/>
    <cellStyle name="40% - Accent3 5 3 2 2 3 2 2 2" xfId="44656" xr:uid="{00000000-0005-0000-0000-00001C700000}"/>
    <cellStyle name="40% - Accent3 5 3 2 2 3 2 3" xfId="33355" xr:uid="{00000000-0005-0000-0000-00001D700000}"/>
    <cellStyle name="40% - Accent3 5 3 2 2 3 3" xfId="16404" xr:uid="{00000000-0005-0000-0000-00001E700000}"/>
    <cellStyle name="40% - Accent3 5 3 2 2 3 3 2" xfId="39006" xr:uid="{00000000-0005-0000-0000-00001F700000}"/>
    <cellStyle name="40% - Accent3 5 3 2 2 3 4" xfId="27705" xr:uid="{00000000-0005-0000-0000-000020700000}"/>
    <cellStyle name="40% - Accent3 5 3 2 2 4" xfId="7789" xr:uid="{00000000-0005-0000-0000-000021700000}"/>
    <cellStyle name="40% - Accent3 5 3 2 2 4 2" xfId="19090" xr:uid="{00000000-0005-0000-0000-000022700000}"/>
    <cellStyle name="40% - Accent3 5 3 2 2 4 2 2" xfId="41692" xr:uid="{00000000-0005-0000-0000-000023700000}"/>
    <cellStyle name="40% - Accent3 5 3 2 2 4 3" xfId="30391" xr:uid="{00000000-0005-0000-0000-000024700000}"/>
    <cellStyle name="40% - Accent3 5 3 2 2 5" xfId="13440" xr:uid="{00000000-0005-0000-0000-000025700000}"/>
    <cellStyle name="40% - Accent3 5 3 2 2 5 2" xfId="36042" xr:uid="{00000000-0005-0000-0000-000026700000}"/>
    <cellStyle name="40% - Accent3 5 3 2 2 6" xfId="24741" xr:uid="{00000000-0005-0000-0000-000027700000}"/>
    <cellStyle name="40% - Accent3 5 3 2 3" xfId="2694" xr:uid="{00000000-0005-0000-0000-000028700000}"/>
    <cellStyle name="40% - Accent3 5 3 2 3 2" xfId="5713" xr:uid="{00000000-0005-0000-0000-000029700000}"/>
    <cellStyle name="40% - Accent3 5 3 2 3 2 2" xfId="11363" xr:uid="{00000000-0005-0000-0000-00002A700000}"/>
    <cellStyle name="40% - Accent3 5 3 2 3 2 2 2" xfId="22664" xr:uid="{00000000-0005-0000-0000-00002B700000}"/>
    <cellStyle name="40% - Accent3 5 3 2 3 2 2 2 2" xfId="45266" xr:uid="{00000000-0005-0000-0000-00002C700000}"/>
    <cellStyle name="40% - Accent3 5 3 2 3 2 2 3" xfId="33965" xr:uid="{00000000-0005-0000-0000-00002D700000}"/>
    <cellStyle name="40% - Accent3 5 3 2 3 2 3" xfId="17014" xr:uid="{00000000-0005-0000-0000-00002E700000}"/>
    <cellStyle name="40% - Accent3 5 3 2 3 2 3 2" xfId="39616" xr:uid="{00000000-0005-0000-0000-00002F700000}"/>
    <cellStyle name="40% - Accent3 5 3 2 3 2 4" xfId="28315" xr:uid="{00000000-0005-0000-0000-000030700000}"/>
    <cellStyle name="40% - Accent3 5 3 2 3 3" xfId="8530" xr:uid="{00000000-0005-0000-0000-000031700000}"/>
    <cellStyle name="40% - Accent3 5 3 2 3 3 2" xfId="19831" xr:uid="{00000000-0005-0000-0000-000032700000}"/>
    <cellStyle name="40% - Accent3 5 3 2 3 3 2 2" xfId="42433" xr:uid="{00000000-0005-0000-0000-000033700000}"/>
    <cellStyle name="40% - Accent3 5 3 2 3 3 3" xfId="31132" xr:uid="{00000000-0005-0000-0000-000034700000}"/>
    <cellStyle name="40% - Accent3 5 3 2 3 4" xfId="14181" xr:uid="{00000000-0005-0000-0000-000035700000}"/>
    <cellStyle name="40% - Accent3 5 3 2 3 4 2" xfId="36783" xr:uid="{00000000-0005-0000-0000-000036700000}"/>
    <cellStyle name="40% - Accent3 5 3 2 3 5" xfId="25482" xr:uid="{00000000-0005-0000-0000-000037700000}"/>
    <cellStyle name="40% - Accent3 5 3 2 4" xfId="4479" xr:uid="{00000000-0005-0000-0000-000038700000}"/>
    <cellStyle name="40% - Accent3 5 3 2 4 2" xfId="10129" xr:uid="{00000000-0005-0000-0000-000039700000}"/>
    <cellStyle name="40% - Accent3 5 3 2 4 2 2" xfId="21430" xr:uid="{00000000-0005-0000-0000-00003A700000}"/>
    <cellStyle name="40% - Accent3 5 3 2 4 2 2 2" xfId="44032" xr:uid="{00000000-0005-0000-0000-00003B700000}"/>
    <cellStyle name="40% - Accent3 5 3 2 4 2 3" xfId="32731" xr:uid="{00000000-0005-0000-0000-00003C700000}"/>
    <cellStyle name="40% - Accent3 5 3 2 4 3" xfId="15780" xr:uid="{00000000-0005-0000-0000-00003D700000}"/>
    <cellStyle name="40% - Accent3 5 3 2 4 3 2" xfId="38382" xr:uid="{00000000-0005-0000-0000-00003E700000}"/>
    <cellStyle name="40% - Accent3 5 3 2 4 4" xfId="27081" xr:uid="{00000000-0005-0000-0000-00003F700000}"/>
    <cellStyle name="40% - Accent3 5 3 2 5" xfId="7275" xr:uid="{00000000-0005-0000-0000-000040700000}"/>
    <cellStyle name="40% - Accent3 5 3 2 5 2" xfId="18576" xr:uid="{00000000-0005-0000-0000-000041700000}"/>
    <cellStyle name="40% - Accent3 5 3 2 5 2 2" xfId="41178" xr:uid="{00000000-0005-0000-0000-000042700000}"/>
    <cellStyle name="40% - Accent3 5 3 2 5 3" xfId="29877" xr:uid="{00000000-0005-0000-0000-000043700000}"/>
    <cellStyle name="40% - Accent3 5 3 2 6" xfId="12926" xr:uid="{00000000-0005-0000-0000-000044700000}"/>
    <cellStyle name="40% - Accent3 5 3 2 6 2" xfId="35528" xr:uid="{00000000-0005-0000-0000-000045700000}"/>
    <cellStyle name="40% - Accent3 5 3 2 7" xfId="24227" xr:uid="{00000000-0005-0000-0000-000046700000}"/>
    <cellStyle name="40% - Accent3 5 3 3" xfId="994" xr:uid="{00000000-0005-0000-0000-000047700000}"/>
    <cellStyle name="40% - Accent3 5 3 3 2" xfId="3057" xr:uid="{00000000-0005-0000-0000-000048700000}"/>
    <cellStyle name="40% - Accent3 5 3 3 2 2" xfId="6029" xr:uid="{00000000-0005-0000-0000-000049700000}"/>
    <cellStyle name="40% - Accent3 5 3 3 2 2 2" xfId="11679" xr:uid="{00000000-0005-0000-0000-00004A700000}"/>
    <cellStyle name="40% - Accent3 5 3 3 2 2 2 2" xfId="22980" xr:uid="{00000000-0005-0000-0000-00004B700000}"/>
    <cellStyle name="40% - Accent3 5 3 3 2 2 2 2 2" xfId="45582" xr:uid="{00000000-0005-0000-0000-00004C700000}"/>
    <cellStyle name="40% - Accent3 5 3 3 2 2 2 3" xfId="34281" xr:uid="{00000000-0005-0000-0000-00004D700000}"/>
    <cellStyle name="40% - Accent3 5 3 3 2 2 3" xfId="17330" xr:uid="{00000000-0005-0000-0000-00004E700000}"/>
    <cellStyle name="40% - Accent3 5 3 3 2 2 3 2" xfId="39932" xr:uid="{00000000-0005-0000-0000-00004F700000}"/>
    <cellStyle name="40% - Accent3 5 3 3 2 2 4" xfId="28631" xr:uid="{00000000-0005-0000-0000-000050700000}"/>
    <cellStyle name="40% - Accent3 5 3 3 2 3" xfId="8847" xr:uid="{00000000-0005-0000-0000-000051700000}"/>
    <cellStyle name="40% - Accent3 5 3 3 2 3 2" xfId="20148" xr:uid="{00000000-0005-0000-0000-000052700000}"/>
    <cellStyle name="40% - Accent3 5 3 3 2 3 2 2" xfId="42750" xr:uid="{00000000-0005-0000-0000-000053700000}"/>
    <cellStyle name="40% - Accent3 5 3 3 2 3 3" xfId="31449" xr:uid="{00000000-0005-0000-0000-000054700000}"/>
    <cellStyle name="40% - Accent3 5 3 3 2 4" xfId="14498" xr:uid="{00000000-0005-0000-0000-000055700000}"/>
    <cellStyle name="40% - Accent3 5 3 3 2 4 2" xfId="37100" xr:uid="{00000000-0005-0000-0000-000056700000}"/>
    <cellStyle name="40% - Accent3 5 3 3 2 5" xfId="25799" xr:uid="{00000000-0005-0000-0000-000057700000}"/>
    <cellStyle name="40% - Accent3 5 3 3 3" xfId="4795" xr:uid="{00000000-0005-0000-0000-000058700000}"/>
    <cellStyle name="40% - Accent3 5 3 3 3 2" xfId="10445" xr:uid="{00000000-0005-0000-0000-000059700000}"/>
    <cellStyle name="40% - Accent3 5 3 3 3 2 2" xfId="21746" xr:uid="{00000000-0005-0000-0000-00005A700000}"/>
    <cellStyle name="40% - Accent3 5 3 3 3 2 2 2" xfId="44348" xr:uid="{00000000-0005-0000-0000-00005B700000}"/>
    <cellStyle name="40% - Accent3 5 3 3 3 2 3" xfId="33047" xr:uid="{00000000-0005-0000-0000-00005C700000}"/>
    <cellStyle name="40% - Accent3 5 3 3 3 3" xfId="16096" xr:uid="{00000000-0005-0000-0000-00005D700000}"/>
    <cellStyle name="40% - Accent3 5 3 3 3 3 2" xfId="38698" xr:uid="{00000000-0005-0000-0000-00005E700000}"/>
    <cellStyle name="40% - Accent3 5 3 3 3 4" xfId="27397" xr:uid="{00000000-0005-0000-0000-00005F700000}"/>
    <cellStyle name="40% - Accent3 5 3 3 4" xfId="6982" xr:uid="{00000000-0005-0000-0000-000060700000}"/>
    <cellStyle name="40% - Accent3 5 3 3 4 2" xfId="18283" xr:uid="{00000000-0005-0000-0000-000061700000}"/>
    <cellStyle name="40% - Accent3 5 3 3 4 2 2" xfId="40885" xr:uid="{00000000-0005-0000-0000-000062700000}"/>
    <cellStyle name="40% - Accent3 5 3 3 4 3" xfId="29584" xr:uid="{00000000-0005-0000-0000-000063700000}"/>
    <cellStyle name="40% - Accent3 5 3 3 5" xfId="12633" xr:uid="{00000000-0005-0000-0000-000064700000}"/>
    <cellStyle name="40% - Accent3 5 3 3 5 2" xfId="35235" xr:uid="{00000000-0005-0000-0000-000065700000}"/>
    <cellStyle name="40% - Accent3 5 3 3 6" xfId="23934" xr:uid="{00000000-0005-0000-0000-000066700000}"/>
    <cellStyle name="40% - Accent3 5 3 4" xfId="1932" xr:uid="{00000000-0005-0000-0000-000067700000}"/>
    <cellStyle name="40% - Accent3 5 3 4 2" xfId="3766" xr:uid="{00000000-0005-0000-0000-000068700000}"/>
    <cellStyle name="40% - Accent3 5 3 4 2 2" xfId="9476" xr:uid="{00000000-0005-0000-0000-000069700000}"/>
    <cellStyle name="40% - Accent3 5 3 4 2 2 2" xfId="20777" xr:uid="{00000000-0005-0000-0000-00006A700000}"/>
    <cellStyle name="40% - Accent3 5 3 4 2 2 2 2" xfId="43379" xr:uid="{00000000-0005-0000-0000-00006B700000}"/>
    <cellStyle name="40% - Accent3 5 3 4 2 2 3" xfId="32078" xr:uid="{00000000-0005-0000-0000-00006C700000}"/>
    <cellStyle name="40% - Accent3 5 3 4 2 3" xfId="15127" xr:uid="{00000000-0005-0000-0000-00006D700000}"/>
    <cellStyle name="40% - Accent3 5 3 4 2 3 2" xfId="37729" xr:uid="{00000000-0005-0000-0000-00006E700000}"/>
    <cellStyle name="40% - Accent3 5 3 4 2 4" xfId="26428" xr:uid="{00000000-0005-0000-0000-00006F700000}"/>
    <cellStyle name="40% - Accent3 5 3 4 3" xfId="5405" xr:uid="{00000000-0005-0000-0000-000070700000}"/>
    <cellStyle name="40% - Accent3 5 3 4 3 2" xfId="11055" xr:uid="{00000000-0005-0000-0000-000071700000}"/>
    <cellStyle name="40% - Accent3 5 3 4 3 2 2" xfId="22356" xr:uid="{00000000-0005-0000-0000-000072700000}"/>
    <cellStyle name="40% - Accent3 5 3 4 3 2 2 2" xfId="44958" xr:uid="{00000000-0005-0000-0000-000073700000}"/>
    <cellStyle name="40% - Accent3 5 3 4 3 2 3" xfId="33657" xr:uid="{00000000-0005-0000-0000-000074700000}"/>
    <cellStyle name="40% - Accent3 5 3 4 3 3" xfId="16706" xr:uid="{00000000-0005-0000-0000-000075700000}"/>
    <cellStyle name="40% - Accent3 5 3 4 3 3 2" xfId="39308" xr:uid="{00000000-0005-0000-0000-000076700000}"/>
    <cellStyle name="40% - Accent3 5 3 4 3 4" xfId="28007" xr:uid="{00000000-0005-0000-0000-000077700000}"/>
    <cellStyle name="40% - Accent3 5 3 4 4" xfId="7788" xr:uid="{00000000-0005-0000-0000-000078700000}"/>
    <cellStyle name="40% - Accent3 5 3 4 4 2" xfId="19089" xr:uid="{00000000-0005-0000-0000-000079700000}"/>
    <cellStyle name="40% - Accent3 5 3 4 4 2 2" xfId="41691" xr:uid="{00000000-0005-0000-0000-00007A700000}"/>
    <cellStyle name="40% - Accent3 5 3 4 4 3" xfId="30390" xr:uid="{00000000-0005-0000-0000-00007B700000}"/>
    <cellStyle name="40% - Accent3 5 3 4 5" xfId="13439" xr:uid="{00000000-0005-0000-0000-00007C700000}"/>
    <cellStyle name="40% - Accent3 5 3 4 5 2" xfId="36041" xr:uid="{00000000-0005-0000-0000-00007D700000}"/>
    <cellStyle name="40% - Accent3 5 3 4 6" xfId="24740" xr:uid="{00000000-0005-0000-0000-00007E700000}"/>
    <cellStyle name="40% - Accent3 5 3 5" xfId="2386" xr:uid="{00000000-0005-0000-0000-00007F700000}"/>
    <cellStyle name="40% - Accent3 5 3 5 2" xfId="8222" xr:uid="{00000000-0005-0000-0000-000080700000}"/>
    <cellStyle name="40% - Accent3 5 3 5 2 2" xfId="19523" xr:uid="{00000000-0005-0000-0000-000081700000}"/>
    <cellStyle name="40% - Accent3 5 3 5 2 2 2" xfId="42125" xr:uid="{00000000-0005-0000-0000-000082700000}"/>
    <cellStyle name="40% - Accent3 5 3 5 2 3" xfId="30824" xr:uid="{00000000-0005-0000-0000-000083700000}"/>
    <cellStyle name="40% - Accent3 5 3 5 3" xfId="13873" xr:uid="{00000000-0005-0000-0000-000084700000}"/>
    <cellStyle name="40% - Accent3 5 3 5 3 2" xfId="36475" xr:uid="{00000000-0005-0000-0000-000085700000}"/>
    <cellStyle name="40% - Accent3 5 3 5 4" xfId="25174" xr:uid="{00000000-0005-0000-0000-000086700000}"/>
    <cellStyle name="40% - Accent3 5 3 6" xfId="4171" xr:uid="{00000000-0005-0000-0000-000087700000}"/>
    <cellStyle name="40% - Accent3 5 3 6 2" xfId="9821" xr:uid="{00000000-0005-0000-0000-000088700000}"/>
    <cellStyle name="40% - Accent3 5 3 6 2 2" xfId="21122" xr:uid="{00000000-0005-0000-0000-000089700000}"/>
    <cellStyle name="40% - Accent3 5 3 6 2 2 2" xfId="43724" xr:uid="{00000000-0005-0000-0000-00008A700000}"/>
    <cellStyle name="40% - Accent3 5 3 6 2 3" xfId="32423" xr:uid="{00000000-0005-0000-0000-00008B700000}"/>
    <cellStyle name="40% - Accent3 5 3 6 3" xfId="15472" xr:uid="{00000000-0005-0000-0000-00008C700000}"/>
    <cellStyle name="40% - Accent3 5 3 6 3 2" xfId="38074" xr:uid="{00000000-0005-0000-0000-00008D700000}"/>
    <cellStyle name="40% - Accent3 5 3 6 4" xfId="26773" xr:uid="{00000000-0005-0000-0000-00008E700000}"/>
    <cellStyle name="40% - Accent3 5 3 7" xfId="6649" xr:uid="{00000000-0005-0000-0000-00008F700000}"/>
    <cellStyle name="40% - Accent3 5 3 7 2" xfId="17950" xr:uid="{00000000-0005-0000-0000-000090700000}"/>
    <cellStyle name="40% - Accent3 5 3 7 2 2" xfId="40552" xr:uid="{00000000-0005-0000-0000-000091700000}"/>
    <cellStyle name="40% - Accent3 5 3 7 3" xfId="29251" xr:uid="{00000000-0005-0000-0000-000092700000}"/>
    <cellStyle name="40% - Accent3 5 3 8" xfId="12300" xr:uid="{00000000-0005-0000-0000-000093700000}"/>
    <cellStyle name="40% - Accent3 5 3 8 2" xfId="34902" xr:uid="{00000000-0005-0000-0000-000094700000}"/>
    <cellStyle name="40% - Accent3 5 3 9" xfId="23601" xr:uid="{00000000-0005-0000-0000-000095700000}"/>
    <cellStyle name="40% - Accent3 5 4" xfId="1156" xr:uid="{00000000-0005-0000-0000-000096700000}"/>
    <cellStyle name="40% - Accent3 5 4 2" xfId="1934" xr:uid="{00000000-0005-0000-0000-000097700000}"/>
    <cellStyle name="40% - Accent3 5 4 2 2" xfId="3224" xr:uid="{00000000-0005-0000-0000-000098700000}"/>
    <cellStyle name="40% - Accent3 5 4 2 2 2" xfId="6196" xr:uid="{00000000-0005-0000-0000-000099700000}"/>
    <cellStyle name="40% - Accent3 5 4 2 2 2 2" xfId="11846" xr:uid="{00000000-0005-0000-0000-00009A700000}"/>
    <cellStyle name="40% - Accent3 5 4 2 2 2 2 2" xfId="23147" xr:uid="{00000000-0005-0000-0000-00009B700000}"/>
    <cellStyle name="40% - Accent3 5 4 2 2 2 2 2 2" xfId="45749" xr:uid="{00000000-0005-0000-0000-00009C700000}"/>
    <cellStyle name="40% - Accent3 5 4 2 2 2 2 3" xfId="34448" xr:uid="{00000000-0005-0000-0000-00009D700000}"/>
    <cellStyle name="40% - Accent3 5 4 2 2 2 3" xfId="17497" xr:uid="{00000000-0005-0000-0000-00009E700000}"/>
    <cellStyle name="40% - Accent3 5 4 2 2 2 3 2" xfId="40099" xr:uid="{00000000-0005-0000-0000-00009F700000}"/>
    <cellStyle name="40% - Accent3 5 4 2 2 2 4" xfId="28798" xr:uid="{00000000-0005-0000-0000-0000A0700000}"/>
    <cellStyle name="40% - Accent3 5 4 2 2 3" xfId="9014" xr:uid="{00000000-0005-0000-0000-0000A1700000}"/>
    <cellStyle name="40% - Accent3 5 4 2 2 3 2" xfId="20315" xr:uid="{00000000-0005-0000-0000-0000A2700000}"/>
    <cellStyle name="40% - Accent3 5 4 2 2 3 2 2" xfId="42917" xr:uid="{00000000-0005-0000-0000-0000A3700000}"/>
    <cellStyle name="40% - Accent3 5 4 2 2 3 3" xfId="31616" xr:uid="{00000000-0005-0000-0000-0000A4700000}"/>
    <cellStyle name="40% - Accent3 5 4 2 2 4" xfId="14665" xr:uid="{00000000-0005-0000-0000-0000A5700000}"/>
    <cellStyle name="40% - Accent3 5 4 2 2 4 2" xfId="37267" xr:uid="{00000000-0005-0000-0000-0000A6700000}"/>
    <cellStyle name="40% - Accent3 5 4 2 2 5" xfId="25966" xr:uid="{00000000-0005-0000-0000-0000A7700000}"/>
    <cellStyle name="40% - Accent3 5 4 2 3" xfId="4962" xr:uid="{00000000-0005-0000-0000-0000A8700000}"/>
    <cellStyle name="40% - Accent3 5 4 2 3 2" xfId="10612" xr:uid="{00000000-0005-0000-0000-0000A9700000}"/>
    <cellStyle name="40% - Accent3 5 4 2 3 2 2" xfId="21913" xr:uid="{00000000-0005-0000-0000-0000AA700000}"/>
    <cellStyle name="40% - Accent3 5 4 2 3 2 2 2" xfId="44515" xr:uid="{00000000-0005-0000-0000-0000AB700000}"/>
    <cellStyle name="40% - Accent3 5 4 2 3 2 3" xfId="33214" xr:uid="{00000000-0005-0000-0000-0000AC700000}"/>
    <cellStyle name="40% - Accent3 5 4 2 3 3" xfId="16263" xr:uid="{00000000-0005-0000-0000-0000AD700000}"/>
    <cellStyle name="40% - Accent3 5 4 2 3 3 2" xfId="38865" xr:uid="{00000000-0005-0000-0000-0000AE700000}"/>
    <cellStyle name="40% - Accent3 5 4 2 3 4" xfId="27564" xr:uid="{00000000-0005-0000-0000-0000AF700000}"/>
    <cellStyle name="40% - Accent3 5 4 2 4" xfId="7790" xr:uid="{00000000-0005-0000-0000-0000B0700000}"/>
    <cellStyle name="40% - Accent3 5 4 2 4 2" xfId="19091" xr:uid="{00000000-0005-0000-0000-0000B1700000}"/>
    <cellStyle name="40% - Accent3 5 4 2 4 2 2" xfId="41693" xr:uid="{00000000-0005-0000-0000-0000B2700000}"/>
    <cellStyle name="40% - Accent3 5 4 2 4 3" xfId="30392" xr:uid="{00000000-0005-0000-0000-0000B3700000}"/>
    <cellStyle name="40% - Accent3 5 4 2 5" xfId="13441" xr:uid="{00000000-0005-0000-0000-0000B4700000}"/>
    <cellStyle name="40% - Accent3 5 4 2 5 2" xfId="36043" xr:uid="{00000000-0005-0000-0000-0000B5700000}"/>
    <cellStyle name="40% - Accent3 5 4 2 6" xfId="24742" xr:uid="{00000000-0005-0000-0000-0000B6700000}"/>
    <cellStyle name="40% - Accent3 5 4 3" xfId="2553" xr:uid="{00000000-0005-0000-0000-0000B7700000}"/>
    <cellStyle name="40% - Accent3 5 4 3 2" xfId="5572" xr:uid="{00000000-0005-0000-0000-0000B8700000}"/>
    <cellStyle name="40% - Accent3 5 4 3 2 2" xfId="11222" xr:uid="{00000000-0005-0000-0000-0000B9700000}"/>
    <cellStyle name="40% - Accent3 5 4 3 2 2 2" xfId="22523" xr:uid="{00000000-0005-0000-0000-0000BA700000}"/>
    <cellStyle name="40% - Accent3 5 4 3 2 2 2 2" xfId="45125" xr:uid="{00000000-0005-0000-0000-0000BB700000}"/>
    <cellStyle name="40% - Accent3 5 4 3 2 2 3" xfId="33824" xr:uid="{00000000-0005-0000-0000-0000BC700000}"/>
    <cellStyle name="40% - Accent3 5 4 3 2 3" xfId="16873" xr:uid="{00000000-0005-0000-0000-0000BD700000}"/>
    <cellStyle name="40% - Accent3 5 4 3 2 3 2" xfId="39475" xr:uid="{00000000-0005-0000-0000-0000BE700000}"/>
    <cellStyle name="40% - Accent3 5 4 3 2 4" xfId="28174" xr:uid="{00000000-0005-0000-0000-0000BF700000}"/>
    <cellStyle name="40% - Accent3 5 4 3 3" xfId="8389" xr:uid="{00000000-0005-0000-0000-0000C0700000}"/>
    <cellStyle name="40% - Accent3 5 4 3 3 2" xfId="19690" xr:uid="{00000000-0005-0000-0000-0000C1700000}"/>
    <cellStyle name="40% - Accent3 5 4 3 3 2 2" xfId="42292" xr:uid="{00000000-0005-0000-0000-0000C2700000}"/>
    <cellStyle name="40% - Accent3 5 4 3 3 3" xfId="30991" xr:uid="{00000000-0005-0000-0000-0000C3700000}"/>
    <cellStyle name="40% - Accent3 5 4 3 4" xfId="14040" xr:uid="{00000000-0005-0000-0000-0000C4700000}"/>
    <cellStyle name="40% - Accent3 5 4 3 4 2" xfId="36642" xr:uid="{00000000-0005-0000-0000-0000C5700000}"/>
    <cellStyle name="40% - Accent3 5 4 3 5" xfId="25341" xr:uid="{00000000-0005-0000-0000-0000C6700000}"/>
    <cellStyle name="40% - Accent3 5 4 4" xfId="4338" xr:uid="{00000000-0005-0000-0000-0000C7700000}"/>
    <cellStyle name="40% - Accent3 5 4 4 2" xfId="9988" xr:uid="{00000000-0005-0000-0000-0000C8700000}"/>
    <cellStyle name="40% - Accent3 5 4 4 2 2" xfId="21289" xr:uid="{00000000-0005-0000-0000-0000C9700000}"/>
    <cellStyle name="40% - Accent3 5 4 4 2 2 2" xfId="43891" xr:uid="{00000000-0005-0000-0000-0000CA700000}"/>
    <cellStyle name="40% - Accent3 5 4 4 2 3" xfId="32590" xr:uid="{00000000-0005-0000-0000-0000CB700000}"/>
    <cellStyle name="40% - Accent3 5 4 4 3" xfId="15639" xr:uid="{00000000-0005-0000-0000-0000CC700000}"/>
    <cellStyle name="40% - Accent3 5 4 4 3 2" xfId="38241" xr:uid="{00000000-0005-0000-0000-0000CD700000}"/>
    <cellStyle name="40% - Accent3 5 4 4 4" xfId="26940" xr:uid="{00000000-0005-0000-0000-0000CE700000}"/>
    <cellStyle name="40% - Accent3 5 4 5" xfId="7135" xr:uid="{00000000-0005-0000-0000-0000CF700000}"/>
    <cellStyle name="40% - Accent3 5 4 5 2" xfId="18436" xr:uid="{00000000-0005-0000-0000-0000D0700000}"/>
    <cellStyle name="40% - Accent3 5 4 5 2 2" xfId="41038" xr:uid="{00000000-0005-0000-0000-0000D1700000}"/>
    <cellStyle name="40% - Accent3 5 4 5 3" xfId="29737" xr:uid="{00000000-0005-0000-0000-0000D2700000}"/>
    <cellStyle name="40% - Accent3 5 4 6" xfId="12786" xr:uid="{00000000-0005-0000-0000-0000D3700000}"/>
    <cellStyle name="40% - Accent3 5 4 6 2" xfId="35388" xr:uid="{00000000-0005-0000-0000-0000D4700000}"/>
    <cellStyle name="40% - Accent3 5 4 7" xfId="24087" xr:uid="{00000000-0005-0000-0000-0000D5700000}"/>
    <cellStyle name="40% - Accent3 5 5" xfId="836" xr:uid="{00000000-0005-0000-0000-0000D6700000}"/>
    <cellStyle name="40% - Accent3 5 5 2" xfId="2917" xr:uid="{00000000-0005-0000-0000-0000D7700000}"/>
    <cellStyle name="40% - Accent3 5 5 2 2" xfId="5889" xr:uid="{00000000-0005-0000-0000-0000D8700000}"/>
    <cellStyle name="40% - Accent3 5 5 2 2 2" xfId="11539" xr:uid="{00000000-0005-0000-0000-0000D9700000}"/>
    <cellStyle name="40% - Accent3 5 5 2 2 2 2" xfId="22840" xr:uid="{00000000-0005-0000-0000-0000DA700000}"/>
    <cellStyle name="40% - Accent3 5 5 2 2 2 2 2" xfId="45442" xr:uid="{00000000-0005-0000-0000-0000DB700000}"/>
    <cellStyle name="40% - Accent3 5 5 2 2 2 3" xfId="34141" xr:uid="{00000000-0005-0000-0000-0000DC700000}"/>
    <cellStyle name="40% - Accent3 5 5 2 2 3" xfId="17190" xr:uid="{00000000-0005-0000-0000-0000DD700000}"/>
    <cellStyle name="40% - Accent3 5 5 2 2 3 2" xfId="39792" xr:uid="{00000000-0005-0000-0000-0000DE700000}"/>
    <cellStyle name="40% - Accent3 5 5 2 2 4" xfId="28491" xr:uid="{00000000-0005-0000-0000-0000DF700000}"/>
    <cellStyle name="40% - Accent3 5 5 2 3" xfId="8707" xr:uid="{00000000-0005-0000-0000-0000E0700000}"/>
    <cellStyle name="40% - Accent3 5 5 2 3 2" xfId="20008" xr:uid="{00000000-0005-0000-0000-0000E1700000}"/>
    <cellStyle name="40% - Accent3 5 5 2 3 2 2" xfId="42610" xr:uid="{00000000-0005-0000-0000-0000E2700000}"/>
    <cellStyle name="40% - Accent3 5 5 2 3 3" xfId="31309" xr:uid="{00000000-0005-0000-0000-0000E3700000}"/>
    <cellStyle name="40% - Accent3 5 5 2 4" xfId="14358" xr:uid="{00000000-0005-0000-0000-0000E4700000}"/>
    <cellStyle name="40% - Accent3 5 5 2 4 2" xfId="36960" xr:uid="{00000000-0005-0000-0000-0000E5700000}"/>
    <cellStyle name="40% - Accent3 5 5 2 5" xfId="25659" xr:uid="{00000000-0005-0000-0000-0000E6700000}"/>
    <cellStyle name="40% - Accent3 5 5 3" xfId="4655" xr:uid="{00000000-0005-0000-0000-0000E7700000}"/>
    <cellStyle name="40% - Accent3 5 5 3 2" xfId="10305" xr:uid="{00000000-0005-0000-0000-0000E8700000}"/>
    <cellStyle name="40% - Accent3 5 5 3 2 2" xfId="21606" xr:uid="{00000000-0005-0000-0000-0000E9700000}"/>
    <cellStyle name="40% - Accent3 5 5 3 2 2 2" xfId="44208" xr:uid="{00000000-0005-0000-0000-0000EA700000}"/>
    <cellStyle name="40% - Accent3 5 5 3 2 3" xfId="32907" xr:uid="{00000000-0005-0000-0000-0000EB700000}"/>
    <cellStyle name="40% - Accent3 5 5 3 3" xfId="15956" xr:uid="{00000000-0005-0000-0000-0000EC700000}"/>
    <cellStyle name="40% - Accent3 5 5 3 3 2" xfId="38558" xr:uid="{00000000-0005-0000-0000-0000ED700000}"/>
    <cellStyle name="40% - Accent3 5 5 3 4" xfId="27257" xr:uid="{00000000-0005-0000-0000-0000EE700000}"/>
    <cellStyle name="40% - Accent3 5 5 4" xfId="6841" xr:uid="{00000000-0005-0000-0000-0000EF700000}"/>
    <cellStyle name="40% - Accent3 5 5 4 2" xfId="18142" xr:uid="{00000000-0005-0000-0000-0000F0700000}"/>
    <cellStyle name="40% - Accent3 5 5 4 2 2" xfId="40744" xr:uid="{00000000-0005-0000-0000-0000F1700000}"/>
    <cellStyle name="40% - Accent3 5 5 4 3" xfId="29443" xr:uid="{00000000-0005-0000-0000-0000F2700000}"/>
    <cellStyle name="40% - Accent3 5 5 5" xfId="12492" xr:uid="{00000000-0005-0000-0000-0000F3700000}"/>
    <cellStyle name="40% - Accent3 5 5 5 2" xfId="35094" xr:uid="{00000000-0005-0000-0000-0000F4700000}"/>
    <cellStyle name="40% - Accent3 5 5 6" xfId="23793" xr:uid="{00000000-0005-0000-0000-0000F5700000}"/>
    <cellStyle name="40% - Accent3 5 6" xfId="1927" xr:uid="{00000000-0005-0000-0000-0000F6700000}"/>
    <cellStyle name="40% - Accent3 5 6 2" xfId="3763" xr:uid="{00000000-0005-0000-0000-0000F7700000}"/>
    <cellStyle name="40% - Accent3 5 6 2 2" xfId="9473" xr:uid="{00000000-0005-0000-0000-0000F8700000}"/>
    <cellStyle name="40% - Accent3 5 6 2 2 2" xfId="20774" xr:uid="{00000000-0005-0000-0000-0000F9700000}"/>
    <cellStyle name="40% - Accent3 5 6 2 2 2 2" xfId="43376" xr:uid="{00000000-0005-0000-0000-0000FA700000}"/>
    <cellStyle name="40% - Accent3 5 6 2 2 3" xfId="32075" xr:uid="{00000000-0005-0000-0000-0000FB700000}"/>
    <cellStyle name="40% - Accent3 5 6 2 3" xfId="15124" xr:uid="{00000000-0005-0000-0000-0000FC700000}"/>
    <cellStyle name="40% - Accent3 5 6 2 3 2" xfId="37726" xr:uid="{00000000-0005-0000-0000-0000FD700000}"/>
    <cellStyle name="40% - Accent3 5 6 2 4" xfId="26425" xr:uid="{00000000-0005-0000-0000-0000FE700000}"/>
    <cellStyle name="40% - Accent3 5 6 3" xfId="5265" xr:uid="{00000000-0005-0000-0000-0000FF700000}"/>
    <cellStyle name="40% - Accent3 5 6 3 2" xfId="10915" xr:uid="{00000000-0005-0000-0000-000000710000}"/>
    <cellStyle name="40% - Accent3 5 6 3 2 2" xfId="22216" xr:uid="{00000000-0005-0000-0000-000001710000}"/>
    <cellStyle name="40% - Accent3 5 6 3 2 2 2" xfId="44818" xr:uid="{00000000-0005-0000-0000-000002710000}"/>
    <cellStyle name="40% - Accent3 5 6 3 2 3" xfId="33517" xr:uid="{00000000-0005-0000-0000-000003710000}"/>
    <cellStyle name="40% - Accent3 5 6 3 3" xfId="16566" xr:uid="{00000000-0005-0000-0000-000004710000}"/>
    <cellStyle name="40% - Accent3 5 6 3 3 2" xfId="39168" xr:uid="{00000000-0005-0000-0000-000005710000}"/>
    <cellStyle name="40% - Accent3 5 6 3 4" xfId="27867" xr:uid="{00000000-0005-0000-0000-000006710000}"/>
    <cellStyle name="40% - Accent3 5 6 4" xfId="7783" xr:uid="{00000000-0005-0000-0000-000007710000}"/>
    <cellStyle name="40% - Accent3 5 6 4 2" xfId="19084" xr:uid="{00000000-0005-0000-0000-000008710000}"/>
    <cellStyle name="40% - Accent3 5 6 4 2 2" xfId="41686" xr:uid="{00000000-0005-0000-0000-000009710000}"/>
    <cellStyle name="40% - Accent3 5 6 4 3" xfId="30385" xr:uid="{00000000-0005-0000-0000-00000A710000}"/>
    <cellStyle name="40% - Accent3 5 6 5" xfId="13434" xr:uid="{00000000-0005-0000-0000-00000B710000}"/>
    <cellStyle name="40% - Accent3 5 6 5 2" xfId="36036" xr:uid="{00000000-0005-0000-0000-00000C710000}"/>
    <cellStyle name="40% - Accent3 5 6 6" xfId="24735" xr:uid="{00000000-0005-0000-0000-00000D710000}"/>
    <cellStyle name="40% - Accent3 5 7" xfId="2238" xr:uid="{00000000-0005-0000-0000-00000E710000}"/>
    <cellStyle name="40% - Accent3 5 7 2" xfId="8079" xr:uid="{00000000-0005-0000-0000-00000F710000}"/>
    <cellStyle name="40% - Accent3 5 7 2 2" xfId="19380" xr:uid="{00000000-0005-0000-0000-000010710000}"/>
    <cellStyle name="40% - Accent3 5 7 2 2 2" xfId="41982" xr:uid="{00000000-0005-0000-0000-000011710000}"/>
    <cellStyle name="40% - Accent3 5 7 2 3" xfId="30681" xr:uid="{00000000-0005-0000-0000-000012710000}"/>
    <cellStyle name="40% - Accent3 5 7 3" xfId="13730" xr:uid="{00000000-0005-0000-0000-000013710000}"/>
    <cellStyle name="40% - Accent3 5 7 3 2" xfId="36332" xr:uid="{00000000-0005-0000-0000-000014710000}"/>
    <cellStyle name="40% - Accent3 5 7 4" xfId="25031" xr:uid="{00000000-0005-0000-0000-000015710000}"/>
    <cellStyle name="40% - Accent3 5 8" xfId="4031" xr:uid="{00000000-0005-0000-0000-000016710000}"/>
    <cellStyle name="40% - Accent3 5 8 2" xfId="9681" xr:uid="{00000000-0005-0000-0000-000017710000}"/>
    <cellStyle name="40% - Accent3 5 8 2 2" xfId="20982" xr:uid="{00000000-0005-0000-0000-000018710000}"/>
    <cellStyle name="40% - Accent3 5 8 2 2 2" xfId="43584" xr:uid="{00000000-0005-0000-0000-000019710000}"/>
    <cellStyle name="40% - Accent3 5 8 2 3" xfId="32283" xr:uid="{00000000-0005-0000-0000-00001A710000}"/>
    <cellStyle name="40% - Accent3 5 8 3" xfId="15332" xr:uid="{00000000-0005-0000-0000-00001B710000}"/>
    <cellStyle name="40% - Accent3 5 8 3 2" xfId="37934" xr:uid="{00000000-0005-0000-0000-00001C710000}"/>
    <cellStyle name="40% - Accent3 5 8 4" xfId="26633" xr:uid="{00000000-0005-0000-0000-00001D710000}"/>
    <cellStyle name="40% - Accent3 5 9" xfId="6482" xr:uid="{00000000-0005-0000-0000-00001E710000}"/>
    <cellStyle name="40% - Accent3 5 9 2" xfId="17783" xr:uid="{00000000-0005-0000-0000-00001F710000}"/>
    <cellStyle name="40% - Accent3 5 9 2 2" xfId="40385" xr:uid="{00000000-0005-0000-0000-000020710000}"/>
    <cellStyle name="40% - Accent3 5 9 3" xfId="29084" xr:uid="{00000000-0005-0000-0000-000021710000}"/>
    <cellStyle name="40% - Accent3 6" xfId="293" xr:uid="{00000000-0005-0000-0000-000022710000}"/>
    <cellStyle name="40% - Accent3 7" xfId="393" xr:uid="{00000000-0005-0000-0000-000023710000}"/>
    <cellStyle name="40% - Accent3 7 10" xfId="23488" xr:uid="{00000000-0005-0000-0000-000024710000}"/>
    <cellStyle name="40% - Accent3 7 2" xfId="638" xr:uid="{00000000-0005-0000-0000-000025710000}"/>
    <cellStyle name="40% - Accent3 7 2 2" xfId="1348" xr:uid="{00000000-0005-0000-0000-000026710000}"/>
    <cellStyle name="40% - Accent3 7 2 2 2" xfId="1937" xr:uid="{00000000-0005-0000-0000-000027710000}"/>
    <cellStyle name="40% - Accent3 7 2 2 2 2" xfId="3417" xr:uid="{00000000-0005-0000-0000-000028710000}"/>
    <cellStyle name="40% - Accent3 7 2 2 2 2 2" xfId="6389" xr:uid="{00000000-0005-0000-0000-000029710000}"/>
    <cellStyle name="40% - Accent3 7 2 2 2 2 2 2" xfId="12039" xr:uid="{00000000-0005-0000-0000-00002A710000}"/>
    <cellStyle name="40% - Accent3 7 2 2 2 2 2 2 2" xfId="23340" xr:uid="{00000000-0005-0000-0000-00002B710000}"/>
    <cellStyle name="40% - Accent3 7 2 2 2 2 2 2 2 2" xfId="45942" xr:uid="{00000000-0005-0000-0000-00002C710000}"/>
    <cellStyle name="40% - Accent3 7 2 2 2 2 2 2 3" xfId="34641" xr:uid="{00000000-0005-0000-0000-00002D710000}"/>
    <cellStyle name="40% - Accent3 7 2 2 2 2 2 3" xfId="17690" xr:uid="{00000000-0005-0000-0000-00002E710000}"/>
    <cellStyle name="40% - Accent3 7 2 2 2 2 2 3 2" xfId="40292" xr:uid="{00000000-0005-0000-0000-00002F710000}"/>
    <cellStyle name="40% - Accent3 7 2 2 2 2 2 4" xfId="28991" xr:uid="{00000000-0005-0000-0000-000030710000}"/>
    <cellStyle name="40% - Accent3 7 2 2 2 2 3" xfId="9207" xr:uid="{00000000-0005-0000-0000-000031710000}"/>
    <cellStyle name="40% - Accent3 7 2 2 2 2 3 2" xfId="20508" xr:uid="{00000000-0005-0000-0000-000032710000}"/>
    <cellStyle name="40% - Accent3 7 2 2 2 2 3 2 2" xfId="43110" xr:uid="{00000000-0005-0000-0000-000033710000}"/>
    <cellStyle name="40% - Accent3 7 2 2 2 2 3 3" xfId="31809" xr:uid="{00000000-0005-0000-0000-000034710000}"/>
    <cellStyle name="40% - Accent3 7 2 2 2 2 4" xfId="14858" xr:uid="{00000000-0005-0000-0000-000035710000}"/>
    <cellStyle name="40% - Accent3 7 2 2 2 2 4 2" xfId="37460" xr:uid="{00000000-0005-0000-0000-000036710000}"/>
    <cellStyle name="40% - Accent3 7 2 2 2 2 5" xfId="26159" xr:uid="{00000000-0005-0000-0000-000037710000}"/>
    <cellStyle name="40% - Accent3 7 2 2 2 3" xfId="5155" xr:uid="{00000000-0005-0000-0000-000038710000}"/>
    <cellStyle name="40% - Accent3 7 2 2 2 3 2" xfId="10805" xr:uid="{00000000-0005-0000-0000-000039710000}"/>
    <cellStyle name="40% - Accent3 7 2 2 2 3 2 2" xfId="22106" xr:uid="{00000000-0005-0000-0000-00003A710000}"/>
    <cellStyle name="40% - Accent3 7 2 2 2 3 2 2 2" xfId="44708" xr:uid="{00000000-0005-0000-0000-00003B710000}"/>
    <cellStyle name="40% - Accent3 7 2 2 2 3 2 3" xfId="33407" xr:uid="{00000000-0005-0000-0000-00003C710000}"/>
    <cellStyle name="40% - Accent3 7 2 2 2 3 3" xfId="16456" xr:uid="{00000000-0005-0000-0000-00003D710000}"/>
    <cellStyle name="40% - Accent3 7 2 2 2 3 3 2" xfId="39058" xr:uid="{00000000-0005-0000-0000-00003E710000}"/>
    <cellStyle name="40% - Accent3 7 2 2 2 3 4" xfId="27757" xr:uid="{00000000-0005-0000-0000-00003F710000}"/>
    <cellStyle name="40% - Accent3 7 2 2 2 4" xfId="7793" xr:uid="{00000000-0005-0000-0000-000040710000}"/>
    <cellStyle name="40% - Accent3 7 2 2 2 4 2" xfId="19094" xr:uid="{00000000-0005-0000-0000-000041710000}"/>
    <cellStyle name="40% - Accent3 7 2 2 2 4 2 2" xfId="41696" xr:uid="{00000000-0005-0000-0000-000042710000}"/>
    <cellStyle name="40% - Accent3 7 2 2 2 4 3" xfId="30395" xr:uid="{00000000-0005-0000-0000-000043710000}"/>
    <cellStyle name="40% - Accent3 7 2 2 2 5" xfId="13444" xr:uid="{00000000-0005-0000-0000-000044710000}"/>
    <cellStyle name="40% - Accent3 7 2 2 2 5 2" xfId="36046" xr:uid="{00000000-0005-0000-0000-000045710000}"/>
    <cellStyle name="40% - Accent3 7 2 2 2 6" xfId="24745" xr:uid="{00000000-0005-0000-0000-000046710000}"/>
    <cellStyle name="40% - Accent3 7 2 2 3" xfId="2746" xr:uid="{00000000-0005-0000-0000-000047710000}"/>
    <cellStyle name="40% - Accent3 7 2 2 3 2" xfId="5765" xr:uid="{00000000-0005-0000-0000-000048710000}"/>
    <cellStyle name="40% - Accent3 7 2 2 3 2 2" xfId="11415" xr:uid="{00000000-0005-0000-0000-000049710000}"/>
    <cellStyle name="40% - Accent3 7 2 2 3 2 2 2" xfId="22716" xr:uid="{00000000-0005-0000-0000-00004A710000}"/>
    <cellStyle name="40% - Accent3 7 2 2 3 2 2 2 2" xfId="45318" xr:uid="{00000000-0005-0000-0000-00004B710000}"/>
    <cellStyle name="40% - Accent3 7 2 2 3 2 2 3" xfId="34017" xr:uid="{00000000-0005-0000-0000-00004C710000}"/>
    <cellStyle name="40% - Accent3 7 2 2 3 2 3" xfId="17066" xr:uid="{00000000-0005-0000-0000-00004D710000}"/>
    <cellStyle name="40% - Accent3 7 2 2 3 2 3 2" xfId="39668" xr:uid="{00000000-0005-0000-0000-00004E710000}"/>
    <cellStyle name="40% - Accent3 7 2 2 3 2 4" xfId="28367" xr:uid="{00000000-0005-0000-0000-00004F710000}"/>
    <cellStyle name="40% - Accent3 7 2 2 3 3" xfId="8582" xr:uid="{00000000-0005-0000-0000-000050710000}"/>
    <cellStyle name="40% - Accent3 7 2 2 3 3 2" xfId="19883" xr:uid="{00000000-0005-0000-0000-000051710000}"/>
    <cellStyle name="40% - Accent3 7 2 2 3 3 2 2" xfId="42485" xr:uid="{00000000-0005-0000-0000-000052710000}"/>
    <cellStyle name="40% - Accent3 7 2 2 3 3 3" xfId="31184" xr:uid="{00000000-0005-0000-0000-000053710000}"/>
    <cellStyle name="40% - Accent3 7 2 2 3 4" xfId="14233" xr:uid="{00000000-0005-0000-0000-000054710000}"/>
    <cellStyle name="40% - Accent3 7 2 2 3 4 2" xfId="36835" xr:uid="{00000000-0005-0000-0000-000055710000}"/>
    <cellStyle name="40% - Accent3 7 2 2 3 5" xfId="25534" xr:uid="{00000000-0005-0000-0000-000056710000}"/>
    <cellStyle name="40% - Accent3 7 2 2 4" xfId="4531" xr:uid="{00000000-0005-0000-0000-000057710000}"/>
    <cellStyle name="40% - Accent3 7 2 2 4 2" xfId="10181" xr:uid="{00000000-0005-0000-0000-000058710000}"/>
    <cellStyle name="40% - Accent3 7 2 2 4 2 2" xfId="21482" xr:uid="{00000000-0005-0000-0000-000059710000}"/>
    <cellStyle name="40% - Accent3 7 2 2 4 2 2 2" xfId="44084" xr:uid="{00000000-0005-0000-0000-00005A710000}"/>
    <cellStyle name="40% - Accent3 7 2 2 4 2 3" xfId="32783" xr:uid="{00000000-0005-0000-0000-00005B710000}"/>
    <cellStyle name="40% - Accent3 7 2 2 4 3" xfId="15832" xr:uid="{00000000-0005-0000-0000-00005C710000}"/>
    <cellStyle name="40% - Accent3 7 2 2 4 3 2" xfId="38434" xr:uid="{00000000-0005-0000-0000-00005D710000}"/>
    <cellStyle name="40% - Accent3 7 2 2 4 4" xfId="27133" xr:uid="{00000000-0005-0000-0000-00005E710000}"/>
    <cellStyle name="40% - Accent3 7 2 2 5" xfId="7327" xr:uid="{00000000-0005-0000-0000-00005F710000}"/>
    <cellStyle name="40% - Accent3 7 2 2 5 2" xfId="18628" xr:uid="{00000000-0005-0000-0000-000060710000}"/>
    <cellStyle name="40% - Accent3 7 2 2 5 2 2" xfId="41230" xr:uid="{00000000-0005-0000-0000-000061710000}"/>
    <cellStyle name="40% - Accent3 7 2 2 5 3" xfId="29929" xr:uid="{00000000-0005-0000-0000-000062710000}"/>
    <cellStyle name="40% - Accent3 7 2 2 6" xfId="12978" xr:uid="{00000000-0005-0000-0000-000063710000}"/>
    <cellStyle name="40% - Accent3 7 2 2 6 2" xfId="35580" xr:uid="{00000000-0005-0000-0000-000064710000}"/>
    <cellStyle name="40% - Accent3 7 2 2 7" xfId="24279" xr:uid="{00000000-0005-0000-0000-000065710000}"/>
    <cellStyle name="40% - Accent3 7 2 3" xfId="1046" xr:uid="{00000000-0005-0000-0000-000066710000}"/>
    <cellStyle name="40% - Accent3 7 2 3 2" xfId="3109" xr:uid="{00000000-0005-0000-0000-000067710000}"/>
    <cellStyle name="40% - Accent3 7 2 3 2 2" xfId="6081" xr:uid="{00000000-0005-0000-0000-000068710000}"/>
    <cellStyle name="40% - Accent3 7 2 3 2 2 2" xfId="11731" xr:uid="{00000000-0005-0000-0000-000069710000}"/>
    <cellStyle name="40% - Accent3 7 2 3 2 2 2 2" xfId="23032" xr:uid="{00000000-0005-0000-0000-00006A710000}"/>
    <cellStyle name="40% - Accent3 7 2 3 2 2 2 2 2" xfId="45634" xr:uid="{00000000-0005-0000-0000-00006B710000}"/>
    <cellStyle name="40% - Accent3 7 2 3 2 2 2 3" xfId="34333" xr:uid="{00000000-0005-0000-0000-00006C710000}"/>
    <cellStyle name="40% - Accent3 7 2 3 2 2 3" xfId="17382" xr:uid="{00000000-0005-0000-0000-00006D710000}"/>
    <cellStyle name="40% - Accent3 7 2 3 2 2 3 2" xfId="39984" xr:uid="{00000000-0005-0000-0000-00006E710000}"/>
    <cellStyle name="40% - Accent3 7 2 3 2 2 4" xfId="28683" xr:uid="{00000000-0005-0000-0000-00006F710000}"/>
    <cellStyle name="40% - Accent3 7 2 3 2 3" xfId="8899" xr:uid="{00000000-0005-0000-0000-000070710000}"/>
    <cellStyle name="40% - Accent3 7 2 3 2 3 2" xfId="20200" xr:uid="{00000000-0005-0000-0000-000071710000}"/>
    <cellStyle name="40% - Accent3 7 2 3 2 3 2 2" xfId="42802" xr:uid="{00000000-0005-0000-0000-000072710000}"/>
    <cellStyle name="40% - Accent3 7 2 3 2 3 3" xfId="31501" xr:uid="{00000000-0005-0000-0000-000073710000}"/>
    <cellStyle name="40% - Accent3 7 2 3 2 4" xfId="14550" xr:uid="{00000000-0005-0000-0000-000074710000}"/>
    <cellStyle name="40% - Accent3 7 2 3 2 4 2" xfId="37152" xr:uid="{00000000-0005-0000-0000-000075710000}"/>
    <cellStyle name="40% - Accent3 7 2 3 2 5" xfId="25851" xr:uid="{00000000-0005-0000-0000-000076710000}"/>
    <cellStyle name="40% - Accent3 7 2 3 3" xfId="4847" xr:uid="{00000000-0005-0000-0000-000077710000}"/>
    <cellStyle name="40% - Accent3 7 2 3 3 2" xfId="10497" xr:uid="{00000000-0005-0000-0000-000078710000}"/>
    <cellStyle name="40% - Accent3 7 2 3 3 2 2" xfId="21798" xr:uid="{00000000-0005-0000-0000-000079710000}"/>
    <cellStyle name="40% - Accent3 7 2 3 3 2 2 2" xfId="44400" xr:uid="{00000000-0005-0000-0000-00007A710000}"/>
    <cellStyle name="40% - Accent3 7 2 3 3 2 3" xfId="33099" xr:uid="{00000000-0005-0000-0000-00007B710000}"/>
    <cellStyle name="40% - Accent3 7 2 3 3 3" xfId="16148" xr:uid="{00000000-0005-0000-0000-00007C710000}"/>
    <cellStyle name="40% - Accent3 7 2 3 3 3 2" xfId="38750" xr:uid="{00000000-0005-0000-0000-00007D710000}"/>
    <cellStyle name="40% - Accent3 7 2 3 3 4" xfId="27449" xr:uid="{00000000-0005-0000-0000-00007E710000}"/>
    <cellStyle name="40% - Accent3 7 2 3 4" xfId="7034" xr:uid="{00000000-0005-0000-0000-00007F710000}"/>
    <cellStyle name="40% - Accent3 7 2 3 4 2" xfId="18335" xr:uid="{00000000-0005-0000-0000-000080710000}"/>
    <cellStyle name="40% - Accent3 7 2 3 4 2 2" xfId="40937" xr:uid="{00000000-0005-0000-0000-000081710000}"/>
    <cellStyle name="40% - Accent3 7 2 3 4 3" xfId="29636" xr:uid="{00000000-0005-0000-0000-000082710000}"/>
    <cellStyle name="40% - Accent3 7 2 3 5" xfId="12685" xr:uid="{00000000-0005-0000-0000-000083710000}"/>
    <cellStyle name="40% - Accent3 7 2 3 5 2" xfId="35287" xr:uid="{00000000-0005-0000-0000-000084710000}"/>
    <cellStyle name="40% - Accent3 7 2 3 6" xfId="23986" xr:uid="{00000000-0005-0000-0000-000085710000}"/>
    <cellStyle name="40% - Accent3 7 2 4" xfId="1936" xr:uid="{00000000-0005-0000-0000-000086710000}"/>
    <cellStyle name="40% - Accent3 7 2 4 2" xfId="3768" xr:uid="{00000000-0005-0000-0000-000087710000}"/>
    <cellStyle name="40% - Accent3 7 2 4 2 2" xfId="9478" xr:uid="{00000000-0005-0000-0000-000088710000}"/>
    <cellStyle name="40% - Accent3 7 2 4 2 2 2" xfId="20779" xr:uid="{00000000-0005-0000-0000-000089710000}"/>
    <cellStyle name="40% - Accent3 7 2 4 2 2 2 2" xfId="43381" xr:uid="{00000000-0005-0000-0000-00008A710000}"/>
    <cellStyle name="40% - Accent3 7 2 4 2 2 3" xfId="32080" xr:uid="{00000000-0005-0000-0000-00008B710000}"/>
    <cellStyle name="40% - Accent3 7 2 4 2 3" xfId="15129" xr:uid="{00000000-0005-0000-0000-00008C710000}"/>
    <cellStyle name="40% - Accent3 7 2 4 2 3 2" xfId="37731" xr:uid="{00000000-0005-0000-0000-00008D710000}"/>
    <cellStyle name="40% - Accent3 7 2 4 2 4" xfId="26430" xr:uid="{00000000-0005-0000-0000-00008E710000}"/>
    <cellStyle name="40% - Accent3 7 2 4 3" xfId="5457" xr:uid="{00000000-0005-0000-0000-00008F710000}"/>
    <cellStyle name="40% - Accent3 7 2 4 3 2" xfId="11107" xr:uid="{00000000-0005-0000-0000-000090710000}"/>
    <cellStyle name="40% - Accent3 7 2 4 3 2 2" xfId="22408" xr:uid="{00000000-0005-0000-0000-000091710000}"/>
    <cellStyle name="40% - Accent3 7 2 4 3 2 2 2" xfId="45010" xr:uid="{00000000-0005-0000-0000-000092710000}"/>
    <cellStyle name="40% - Accent3 7 2 4 3 2 3" xfId="33709" xr:uid="{00000000-0005-0000-0000-000093710000}"/>
    <cellStyle name="40% - Accent3 7 2 4 3 3" xfId="16758" xr:uid="{00000000-0005-0000-0000-000094710000}"/>
    <cellStyle name="40% - Accent3 7 2 4 3 3 2" xfId="39360" xr:uid="{00000000-0005-0000-0000-000095710000}"/>
    <cellStyle name="40% - Accent3 7 2 4 3 4" xfId="28059" xr:uid="{00000000-0005-0000-0000-000096710000}"/>
    <cellStyle name="40% - Accent3 7 2 4 4" xfId="7792" xr:uid="{00000000-0005-0000-0000-000097710000}"/>
    <cellStyle name="40% - Accent3 7 2 4 4 2" xfId="19093" xr:uid="{00000000-0005-0000-0000-000098710000}"/>
    <cellStyle name="40% - Accent3 7 2 4 4 2 2" xfId="41695" xr:uid="{00000000-0005-0000-0000-000099710000}"/>
    <cellStyle name="40% - Accent3 7 2 4 4 3" xfId="30394" xr:uid="{00000000-0005-0000-0000-00009A710000}"/>
    <cellStyle name="40% - Accent3 7 2 4 5" xfId="13443" xr:uid="{00000000-0005-0000-0000-00009B710000}"/>
    <cellStyle name="40% - Accent3 7 2 4 5 2" xfId="36045" xr:uid="{00000000-0005-0000-0000-00009C710000}"/>
    <cellStyle name="40% - Accent3 7 2 4 6" xfId="24744" xr:uid="{00000000-0005-0000-0000-00009D710000}"/>
    <cellStyle name="40% - Accent3 7 2 5" xfId="2438" xr:uid="{00000000-0005-0000-0000-00009E710000}"/>
    <cellStyle name="40% - Accent3 7 2 5 2" xfId="8274" xr:uid="{00000000-0005-0000-0000-00009F710000}"/>
    <cellStyle name="40% - Accent3 7 2 5 2 2" xfId="19575" xr:uid="{00000000-0005-0000-0000-0000A0710000}"/>
    <cellStyle name="40% - Accent3 7 2 5 2 2 2" xfId="42177" xr:uid="{00000000-0005-0000-0000-0000A1710000}"/>
    <cellStyle name="40% - Accent3 7 2 5 2 3" xfId="30876" xr:uid="{00000000-0005-0000-0000-0000A2710000}"/>
    <cellStyle name="40% - Accent3 7 2 5 3" xfId="13925" xr:uid="{00000000-0005-0000-0000-0000A3710000}"/>
    <cellStyle name="40% - Accent3 7 2 5 3 2" xfId="36527" xr:uid="{00000000-0005-0000-0000-0000A4710000}"/>
    <cellStyle name="40% - Accent3 7 2 5 4" xfId="25226" xr:uid="{00000000-0005-0000-0000-0000A5710000}"/>
    <cellStyle name="40% - Accent3 7 2 6" xfId="4223" xr:uid="{00000000-0005-0000-0000-0000A6710000}"/>
    <cellStyle name="40% - Accent3 7 2 6 2" xfId="9873" xr:uid="{00000000-0005-0000-0000-0000A7710000}"/>
    <cellStyle name="40% - Accent3 7 2 6 2 2" xfId="21174" xr:uid="{00000000-0005-0000-0000-0000A8710000}"/>
    <cellStyle name="40% - Accent3 7 2 6 2 2 2" xfId="43776" xr:uid="{00000000-0005-0000-0000-0000A9710000}"/>
    <cellStyle name="40% - Accent3 7 2 6 2 3" xfId="32475" xr:uid="{00000000-0005-0000-0000-0000AA710000}"/>
    <cellStyle name="40% - Accent3 7 2 6 3" xfId="15524" xr:uid="{00000000-0005-0000-0000-0000AB710000}"/>
    <cellStyle name="40% - Accent3 7 2 6 3 2" xfId="38126" xr:uid="{00000000-0005-0000-0000-0000AC710000}"/>
    <cellStyle name="40% - Accent3 7 2 6 4" xfId="26825" xr:uid="{00000000-0005-0000-0000-0000AD710000}"/>
    <cellStyle name="40% - Accent3 7 2 7" xfId="6703" xr:uid="{00000000-0005-0000-0000-0000AE710000}"/>
    <cellStyle name="40% - Accent3 7 2 7 2" xfId="18004" xr:uid="{00000000-0005-0000-0000-0000AF710000}"/>
    <cellStyle name="40% - Accent3 7 2 7 2 2" xfId="40606" xr:uid="{00000000-0005-0000-0000-0000B0710000}"/>
    <cellStyle name="40% - Accent3 7 2 7 3" xfId="29305" xr:uid="{00000000-0005-0000-0000-0000B1710000}"/>
    <cellStyle name="40% - Accent3 7 2 8" xfId="12354" xr:uid="{00000000-0005-0000-0000-0000B2710000}"/>
    <cellStyle name="40% - Accent3 7 2 8 2" xfId="34956" xr:uid="{00000000-0005-0000-0000-0000B3710000}"/>
    <cellStyle name="40% - Accent3 7 2 9" xfId="23655" xr:uid="{00000000-0005-0000-0000-0000B4710000}"/>
    <cellStyle name="40% - Accent3 7 3" xfId="1210" xr:uid="{00000000-0005-0000-0000-0000B5710000}"/>
    <cellStyle name="40% - Accent3 7 3 2" xfId="1938" xr:uid="{00000000-0005-0000-0000-0000B6710000}"/>
    <cellStyle name="40% - Accent3 7 3 2 2" xfId="3278" xr:uid="{00000000-0005-0000-0000-0000B7710000}"/>
    <cellStyle name="40% - Accent3 7 3 2 2 2" xfId="6250" xr:uid="{00000000-0005-0000-0000-0000B8710000}"/>
    <cellStyle name="40% - Accent3 7 3 2 2 2 2" xfId="11900" xr:uid="{00000000-0005-0000-0000-0000B9710000}"/>
    <cellStyle name="40% - Accent3 7 3 2 2 2 2 2" xfId="23201" xr:uid="{00000000-0005-0000-0000-0000BA710000}"/>
    <cellStyle name="40% - Accent3 7 3 2 2 2 2 2 2" xfId="45803" xr:uid="{00000000-0005-0000-0000-0000BB710000}"/>
    <cellStyle name="40% - Accent3 7 3 2 2 2 2 3" xfId="34502" xr:uid="{00000000-0005-0000-0000-0000BC710000}"/>
    <cellStyle name="40% - Accent3 7 3 2 2 2 3" xfId="17551" xr:uid="{00000000-0005-0000-0000-0000BD710000}"/>
    <cellStyle name="40% - Accent3 7 3 2 2 2 3 2" xfId="40153" xr:uid="{00000000-0005-0000-0000-0000BE710000}"/>
    <cellStyle name="40% - Accent3 7 3 2 2 2 4" xfId="28852" xr:uid="{00000000-0005-0000-0000-0000BF710000}"/>
    <cellStyle name="40% - Accent3 7 3 2 2 3" xfId="9068" xr:uid="{00000000-0005-0000-0000-0000C0710000}"/>
    <cellStyle name="40% - Accent3 7 3 2 2 3 2" xfId="20369" xr:uid="{00000000-0005-0000-0000-0000C1710000}"/>
    <cellStyle name="40% - Accent3 7 3 2 2 3 2 2" xfId="42971" xr:uid="{00000000-0005-0000-0000-0000C2710000}"/>
    <cellStyle name="40% - Accent3 7 3 2 2 3 3" xfId="31670" xr:uid="{00000000-0005-0000-0000-0000C3710000}"/>
    <cellStyle name="40% - Accent3 7 3 2 2 4" xfId="14719" xr:uid="{00000000-0005-0000-0000-0000C4710000}"/>
    <cellStyle name="40% - Accent3 7 3 2 2 4 2" xfId="37321" xr:uid="{00000000-0005-0000-0000-0000C5710000}"/>
    <cellStyle name="40% - Accent3 7 3 2 2 5" xfId="26020" xr:uid="{00000000-0005-0000-0000-0000C6710000}"/>
    <cellStyle name="40% - Accent3 7 3 2 3" xfId="5016" xr:uid="{00000000-0005-0000-0000-0000C7710000}"/>
    <cellStyle name="40% - Accent3 7 3 2 3 2" xfId="10666" xr:uid="{00000000-0005-0000-0000-0000C8710000}"/>
    <cellStyle name="40% - Accent3 7 3 2 3 2 2" xfId="21967" xr:uid="{00000000-0005-0000-0000-0000C9710000}"/>
    <cellStyle name="40% - Accent3 7 3 2 3 2 2 2" xfId="44569" xr:uid="{00000000-0005-0000-0000-0000CA710000}"/>
    <cellStyle name="40% - Accent3 7 3 2 3 2 3" xfId="33268" xr:uid="{00000000-0005-0000-0000-0000CB710000}"/>
    <cellStyle name="40% - Accent3 7 3 2 3 3" xfId="16317" xr:uid="{00000000-0005-0000-0000-0000CC710000}"/>
    <cellStyle name="40% - Accent3 7 3 2 3 3 2" xfId="38919" xr:uid="{00000000-0005-0000-0000-0000CD710000}"/>
    <cellStyle name="40% - Accent3 7 3 2 3 4" xfId="27618" xr:uid="{00000000-0005-0000-0000-0000CE710000}"/>
    <cellStyle name="40% - Accent3 7 3 2 4" xfId="7794" xr:uid="{00000000-0005-0000-0000-0000CF710000}"/>
    <cellStyle name="40% - Accent3 7 3 2 4 2" xfId="19095" xr:uid="{00000000-0005-0000-0000-0000D0710000}"/>
    <cellStyle name="40% - Accent3 7 3 2 4 2 2" xfId="41697" xr:uid="{00000000-0005-0000-0000-0000D1710000}"/>
    <cellStyle name="40% - Accent3 7 3 2 4 3" xfId="30396" xr:uid="{00000000-0005-0000-0000-0000D2710000}"/>
    <cellStyle name="40% - Accent3 7 3 2 5" xfId="13445" xr:uid="{00000000-0005-0000-0000-0000D3710000}"/>
    <cellStyle name="40% - Accent3 7 3 2 5 2" xfId="36047" xr:uid="{00000000-0005-0000-0000-0000D4710000}"/>
    <cellStyle name="40% - Accent3 7 3 2 6" xfId="24746" xr:uid="{00000000-0005-0000-0000-0000D5710000}"/>
    <cellStyle name="40% - Accent3 7 3 3" xfId="2607" xr:uid="{00000000-0005-0000-0000-0000D6710000}"/>
    <cellStyle name="40% - Accent3 7 3 3 2" xfId="5626" xr:uid="{00000000-0005-0000-0000-0000D7710000}"/>
    <cellStyle name="40% - Accent3 7 3 3 2 2" xfId="11276" xr:uid="{00000000-0005-0000-0000-0000D8710000}"/>
    <cellStyle name="40% - Accent3 7 3 3 2 2 2" xfId="22577" xr:uid="{00000000-0005-0000-0000-0000D9710000}"/>
    <cellStyle name="40% - Accent3 7 3 3 2 2 2 2" xfId="45179" xr:uid="{00000000-0005-0000-0000-0000DA710000}"/>
    <cellStyle name="40% - Accent3 7 3 3 2 2 3" xfId="33878" xr:uid="{00000000-0005-0000-0000-0000DB710000}"/>
    <cellStyle name="40% - Accent3 7 3 3 2 3" xfId="16927" xr:uid="{00000000-0005-0000-0000-0000DC710000}"/>
    <cellStyle name="40% - Accent3 7 3 3 2 3 2" xfId="39529" xr:uid="{00000000-0005-0000-0000-0000DD710000}"/>
    <cellStyle name="40% - Accent3 7 3 3 2 4" xfId="28228" xr:uid="{00000000-0005-0000-0000-0000DE710000}"/>
    <cellStyle name="40% - Accent3 7 3 3 3" xfId="8443" xr:uid="{00000000-0005-0000-0000-0000DF710000}"/>
    <cellStyle name="40% - Accent3 7 3 3 3 2" xfId="19744" xr:uid="{00000000-0005-0000-0000-0000E0710000}"/>
    <cellStyle name="40% - Accent3 7 3 3 3 2 2" xfId="42346" xr:uid="{00000000-0005-0000-0000-0000E1710000}"/>
    <cellStyle name="40% - Accent3 7 3 3 3 3" xfId="31045" xr:uid="{00000000-0005-0000-0000-0000E2710000}"/>
    <cellStyle name="40% - Accent3 7 3 3 4" xfId="14094" xr:uid="{00000000-0005-0000-0000-0000E3710000}"/>
    <cellStyle name="40% - Accent3 7 3 3 4 2" xfId="36696" xr:uid="{00000000-0005-0000-0000-0000E4710000}"/>
    <cellStyle name="40% - Accent3 7 3 3 5" xfId="25395" xr:uid="{00000000-0005-0000-0000-0000E5710000}"/>
    <cellStyle name="40% - Accent3 7 3 4" xfId="4392" xr:uid="{00000000-0005-0000-0000-0000E6710000}"/>
    <cellStyle name="40% - Accent3 7 3 4 2" xfId="10042" xr:uid="{00000000-0005-0000-0000-0000E7710000}"/>
    <cellStyle name="40% - Accent3 7 3 4 2 2" xfId="21343" xr:uid="{00000000-0005-0000-0000-0000E8710000}"/>
    <cellStyle name="40% - Accent3 7 3 4 2 2 2" xfId="43945" xr:uid="{00000000-0005-0000-0000-0000E9710000}"/>
    <cellStyle name="40% - Accent3 7 3 4 2 3" xfId="32644" xr:uid="{00000000-0005-0000-0000-0000EA710000}"/>
    <cellStyle name="40% - Accent3 7 3 4 3" xfId="15693" xr:uid="{00000000-0005-0000-0000-0000EB710000}"/>
    <cellStyle name="40% - Accent3 7 3 4 3 2" xfId="38295" xr:uid="{00000000-0005-0000-0000-0000EC710000}"/>
    <cellStyle name="40% - Accent3 7 3 4 4" xfId="26994" xr:uid="{00000000-0005-0000-0000-0000ED710000}"/>
    <cellStyle name="40% - Accent3 7 3 5" xfId="7189" xr:uid="{00000000-0005-0000-0000-0000EE710000}"/>
    <cellStyle name="40% - Accent3 7 3 5 2" xfId="18490" xr:uid="{00000000-0005-0000-0000-0000EF710000}"/>
    <cellStyle name="40% - Accent3 7 3 5 2 2" xfId="41092" xr:uid="{00000000-0005-0000-0000-0000F0710000}"/>
    <cellStyle name="40% - Accent3 7 3 5 3" xfId="29791" xr:uid="{00000000-0005-0000-0000-0000F1710000}"/>
    <cellStyle name="40% - Accent3 7 3 6" xfId="12840" xr:uid="{00000000-0005-0000-0000-0000F2710000}"/>
    <cellStyle name="40% - Accent3 7 3 6 2" xfId="35442" xr:uid="{00000000-0005-0000-0000-0000F3710000}"/>
    <cellStyle name="40% - Accent3 7 3 7" xfId="24141" xr:uid="{00000000-0005-0000-0000-0000F4710000}"/>
    <cellStyle name="40% - Accent3 7 4" xfId="901" xr:uid="{00000000-0005-0000-0000-0000F5710000}"/>
    <cellStyle name="40% - Accent3 7 4 2" xfId="2971" xr:uid="{00000000-0005-0000-0000-0000F6710000}"/>
    <cellStyle name="40% - Accent3 7 4 2 2" xfId="5943" xr:uid="{00000000-0005-0000-0000-0000F7710000}"/>
    <cellStyle name="40% - Accent3 7 4 2 2 2" xfId="11593" xr:uid="{00000000-0005-0000-0000-0000F8710000}"/>
    <cellStyle name="40% - Accent3 7 4 2 2 2 2" xfId="22894" xr:uid="{00000000-0005-0000-0000-0000F9710000}"/>
    <cellStyle name="40% - Accent3 7 4 2 2 2 2 2" xfId="45496" xr:uid="{00000000-0005-0000-0000-0000FA710000}"/>
    <cellStyle name="40% - Accent3 7 4 2 2 2 3" xfId="34195" xr:uid="{00000000-0005-0000-0000-0000FB710000}"/>
    <cellStyle name="40% - Accent3 7 4 2 2 3" xfId="17244" xr:uid="{00000000-0005-0000-0000-0000FC710000}"/>
    <cellStyle name="40% - Accent3 7 4 2 2 3 2" xfId="39846" xr:uid="{00000000-0005-0000-0000-0000FD710000}"/>
    <cellStyle name="40% - Accent3 7 4 2 2 4" xfId="28545" xr:uid="{00000000-0005-0000-0000-0000FE710000}"/>
    <cellStyle name="40% - Accent3 7 4 2 3" xfId="8761" xr:uid="{00000000-0005-0000-0000-0000FF710000}"/>
    <cellStyle name="40% - Accent3 7 4 2 3 2" xfId="20062" xr:uid="{00000000-0005-0000-0000-000000720000}"/>
    <cellStyle name="40% - Accent3 7 4 2 3 2 2" xfId="42664" xr:uid="{00000000-0005-0000-0000-000001720000}"/>
    <cellStyle name="40% - Accent3 7 4 2 3 3" xfId="31363" xr:uid="{00000000-0005-0000-0000-000002720000}"/>
    <cellStyle name="40% - Accent3 7 4 2 4" xfId="14412" xr:uid="{00000000-0005-0000-0000-000003720000}"/>
    <cellStyle name="40% - Accent3 7 4 2 4 2" xfId="37014" xr:uid="{00000000-0005-0000-0000-000004720000}"/>
    <cellStyle name="40% - Accent3 7 4 2 5" xfId="25713" xr:uid="{00000000-0005-0000-0000-000005720000}"/>
    <cellStyle name="40% - Accent3 7 4 3" xfId="4709" xr:uid="{00000000-0005-0000-0000-000006720000}"/>
    <cellStyle name="40% - Accent3 7 4 3 2" xfId="10359" xr:uid="{00000000-0005-0000-0000-000007720000}"/>
    <cellStyle name="40% - Accent3 7 4 3 2 2" xfId="21660" xr:uid="{00000000-0005-0000-0000-000008720000}"/>
    <cellStyle name="40% - Accent3 7 4 3 2 2 2" xfId="44262" xr:uid="{00000000-0005-0000-0000-000009720000}"/>
    <cellStyle name="40% - Accent3 7 4 3 2 3" xfId="32961" xr:uid="{00000000-0005-0000-0000-00000A720000}"/>
    <cellStyle name="40% - Accent3 7 4 3 3" xfId="16010" xr:uid="{00000000-0005-0000-0000-00000B720000}"/>
    <cellStyle name="40% - Accent3 7 4 3 3 2" xfId="38612" xr:uid="{00000000-0005-0000-0000-00000C720000}"/>
    <cellStyle name="40% - Accent3 7 4 3 4" xfId="27311" xr:uid="{00000000-0005-0000-0000-00000D720000}"/>
    <cellStyle name="40% - Accent3 7 4 4" xfId="6896" xr:uid="{00000000-0005-0000-0000-00000E720000}"/>
    <cellStyle name="40% - Accent3 7 4 4 2" xfId="18197" xr:uid="{00000000-0005-0000-0000-00000F720000}"/>
    <cellStyle name="40% - Accent3 7 4 4 2 2" xfId="40799" xr:uid="{00000000-0005-0000-0000-000010720000}"/>
    <cellStyle name="40% - Accent3 7 4 4 3" xfId="29498" xr:uid="{00000000-0005-0000-0000-000011720000}"/>
    <cellStyle name="40% - Accent3 7 4 5" xfId="12547" xr:uid="{00000000-0005-0000-0000-000012720000}"/>
    <cellStyle name="40% - Accent3 7 4 5 2" xfId="35149" xr:uid="{00000000-0005-0000-0000-000013720000}"/>
    <cellStyle name="40% - Accent3 7 4 6" xfId="23848" xr:uid="{00000000-0005-0000-0000-000014720000}"/>
    <cellStyle name="40% - Accent3 7 5" xfId="1935" xr:uid="{00000000-0005-0000-0000-000015720000}"/>
    <cellStyle name="40% - Accent3 7 5 2" xfId="3767" xr:uid="{00000000-0005-0000-0000-000016720000}"/>
    <cellStyle name="40% - Accent3 7 5 2 2" xfId="9477" xr:uid="{00000000-0005-0000-0000-000017720000}"/>
    <cellStyle name="40% - Accent3 7 5 2 2 2" xfId="20778" xr:uid="{00000000-0005-0000-0000-000018720000}"/>
    <cellStyle name="40% - Accent3 7 5 2 2 2 2" xfId="43380" xr:uid="{00000000-0005-0000-0000-000019720000}"/>
    <cellStyle name="40% - Accent3 7 5 2 2 3" xfId="32079" xr:uid="{00000000-0005-0000-0000-00001A720000}"/>
    <cellStyle name="40% - Accent3 7 5 2 3" xfId="15128" xr:uid="{00000000-0005-0000-0000-00001B720000}"/>
    <cellStyle name="40% - Accent3 7 5 2 3 2" xfId="37730" xr:uid="{00000000-0005-0000-0000-00001C720000}"/>
    <cellStyle name="40% - Accent3 7 5 2 4" xfId="26429" xr:uid="{00000000-0005-0000-0000-00001D720000}"/>
    <cellStyle name="40% - Accent3 7 5 3" xfId="5319" xr:uid="{00000000-0005-0000-0000-00001E720000}"/>
    <cellStyle name="40% - Accent3 7 5 3 2" xfId="10969" xr:uid="{00000000-0005-0000-0000-00001F720000}"/>
    <cellStyle name="40% - Accent3 7 5 3 2 2" xfId="22270" xr:uid="{00000000-0005-0000-0000-000020720000}"/>
    <cellStyle name="40% - Accent3 7 5 3 2 2 2" xfId="44872" xr:uid="{00000000-0005-0000-0000-000021720000}"/>
    <cellStyle name="40% - Accent3 7 5 3 2 3" xfId="33571" xr:uid="{00000000-0005-0000-0000-000022720000}"/>
    <cellStyle name="40% - Accent3 7 5 3 3" xfId="16620" xr:uid="{00000000-0005-0000-0000-000023720000}"/>
    <cellStyle name="40% - Accent3 7 5 3 3 2" xfId="39222" xr:uid="{00000000-0005-0000-0000-000024720000}"/>
    <cellStyle name="40% - Accent3 7 5 3 4" xfId="27921" xr:uid="{00000000-0005-0000-0000-000025720000}"/>
    <cellStyle name="40% - Accent3 7 5 4" xfId="7791" xr:uid="{00000000-0005-0000-0000-000026720000}"/>
    <cellStyle name="40% - Accent3 7 5 4 2" xfId="19092" xr:uid="{00000000-0005-0000-0000-000027720000}"/>
    <cellStyle name="40% - Accent3 7 5 4 2 2" xfId="41694" xr:uid="{00000000-0005-0000-0000-000028720000}"/>
    <cellStyle name="40% - Accent3 7 5 4 3" xfId="30393" xr:uid="{00000000-0005-0000-0000-000029720000}"/>
    <cellStyle name="40% - Accent3 7 5 5" xfId="13442" xr:uid="{00000000-0005-0000-0000-00002A720000}"/>
    <cellStyle name="40% - Accent3 7 5 5 2" xfId="36044" xr:uid="{00000000-0005-0000-0000-00002B720000}"/>
    <cellStyle name="40% - Accent3 7 5 6" xfId="24743" xr:uid="{00000000-0005-0000-0000-00002C720000}"/>
    <cellStyle name="40% - Accent3 7 6" xfId="2298" xr:uid="{00000000-0005-0000-0000-00002D720000}"/>
    <cellStyle name="40% - Accent3 7 6 2" xfId="8134" xr:uid="{00000000-0005-0000-0000-00002E720000}"/>
    <cellStyle name="40% - Accent3 7 6 2 2" xfId="19435" xr:uid="{00000000-0005-0000-0000-00002F720000}"/>
    <cellStyle name="40% - Accent3 7 6 2 2 2" xfId="42037" xr:uid="{00000000-0005-0000-0000-000030720000}"/>
    <cellStyle name="40% - Accent3 7 6 2 3" xfId="30736" xr:uid="{00000000-0005-0000-0000-000031720000}"/>
    <cellStyle name="40% - Accent3 7 6 3" xfId="13785" xr:uid="{00000000-0005-0000-0000-000032720000}"/>
    <cellStyle name="40% - Accent3 7 6 3 2" xfId="36387" xr:uid="{00000000-0005-0000-0000-000033720000}"/>
    <cellStyle name="40% - Accent3 7 6 4" xfId="25086" xr:uid="{00000000-0005-0000-0000-000034720000}"/>
    <cellStyle name="40% - Accent3 7 7" xfId="4085" xr:uid="{00000000-0005-0000-0000-000035720000}"/>
    <cellStyle name="40% - Accent3 7 7 2" xfId="9735" xr:uid="{00000000-0005-0000-0000-000036720000}"/>
    <cellStyle name="40% - Accent3 7 7 2 2" xfId="21036" xr:uid="{00000000-0005-0000-0000-000037720000}"/>
    <cellStyle name="40% - Accent3 7 7 2 2 2" xfId="43638" xr:uid="{00000000-0005-0000-0000-000038720000}"/>
    <cellStyle name="40% - Accent3 7 7 2 3" xfId="32337" xr:uid="{00000000-0005-0000-0000-000039720000}"/>
    <cellStyle name="40% - Accent3 7 7 3" xfId="15386" xr:uid="{00000000-0005-0000-0000-00003A720000}"/>
    <cellStyle name="40% - Accent3 7 7 3 2" xfId="37988" xr:uid="{00000000-0005-0000-0000-00003B720000}"/>
    <cellStyle name="40% - Accent3 7 7 4" xfId="26687" xr:uid="{00000000-0005-0000-0000-00003C720000}"/>
    <cellStyle name="40% - Accent3 7 8" xfId="6536" xr:uid="{00000000-0005-0000-0000-00003D720000}"/>
    <cellStyle name="40% - Accent3 7 8 2" xfId="17837" xr:uid="{00000000-0005-0000-0000-00003E720000}"/>
    <cellStyle name="40% - Accent3 7 8 2 2" xfId="40439" xr:uid="{00000000-0005-0000-0000-00003F720000}"/>
    <cellStyle name="40% - Accent3 7 8 3" xfId="29138" xr:uid="{00000000-0005-0000-0000-000040720000}"/>
    <cellStyle name="40% - Accent3 7 9" xfId="12187" xr:uid="{00000000-0005-0000-0000-000041720000}"/>
    <cellStyle name="40% - Accent3 7 9 2" xfId="34789" xr:uid="{00000000-0005-0000-0000-000042720000}"/>
    <cellStyle name="40% - Accent3 8" xfId="496" xr:uid="{00000000-0005-0000-0000-000043720000}"/>
    <cellStyle name="40% - Accent3 8 2" xfId="1267" xr:uid="{00000000-0005-0000-0000-000044720000}"/>
    <cellStyle name="40% - Accent3 8 2 2" xfId="1940" xr:uid="{00000000-0005-0000-0000-000045720000}"/>
    <cellStyle name="40% - Accent3 8 2 2 2" xfId="3336" xr:uid="{00000000-0005-0000-0000-000046720000}"/>
    <cellStyle name="40% - Accent3 8 2 2 2 2" xfId="6308" xr:uid="{00000000-0005-0000-0000-000047720000}"/>
    <cellStyle name="40% - Accent3 8 2 2 2 2 2" xfId="11958" xr:uid="{00000000-0005-0000-0000-000048720000}"/>
    <cellStyle name="40% - Accent3 8 2 2 2 2 2 2" xfId="23259" xr:uid="{00000000-0005-0000-0000-000049720000}"/>
    <cellStyle name="40% - Accent3 8 2 2 2 2 2 2 2" xfId="45861" xr:uid="{00000000-0005-0000-0000-00004A720000}"/>
    <cellStyle name="40% - Accent3 8 2 2 2 2 2 3" xfId="34560" xr:uid="{00000000-0005-0000-0000-00004B720000}"/>
    <cellStyle name="40% - Accent3 8 2 2 2 2 3" xfId="17609" xr:uid="{00000000-0005-0000-0000-00004C720000}"/>
    <cellStyle name="40% - Accent3 8 2 2 2 2 3 2" xfId="40211" xr:uid="{00000000-0005-0000-0000-00004D720000}"/>
    <cellStyle name="40% - Accent3 8 2 2 2 2 4" xfId="28910" xr:uid="{00000000-0005-0000-0000-00004E720000}"/>
    <cellStyle name="40% - Accent3 8 2 2 2 3" xfId="9126" xr:uid="{00000000-0005-0000-0000-00004F720000}"/>
    <cellStyle name="40% - Accent3 8 2 2 2 3 2" xfId="20427" xr:uid="{00000000-0005-0000-0000-000050720000}"/>
    <cellStyle name="40% - Accent3 8 2 2 2 3 2 2" xfId="43029" xr:uid="{00000000-0005-0000-0000-000051720000}"/>
    <cellStyle name="40% - Accent3 8 2 2 2 3 3" xfId="31728" xr:uid="{00000000-0005-0000-0000-000052720000}"/>
    <cellStyle name="40% - Accent3 8 2 2 2 4" xfId="14777" xr:uid="{00000000-0005-0000-0000-000053720000}"/>
    <cellStyle name="40% - Accent3 8 2 2 2 4 2" xfId="37379" xr:uid="{00000000-0005-0000-0000-000054720000}"/>
    <cellStyle name="40% - Accent3 8 2 2 2 5" xfId="26078" xr:uid="{00000000-0005-0000-0000-000055720000}"/>
    <cellStyle name="40% - Accent3 8 2 2 3" xfId="5074" xr:uid="{00000000-0005-0000-0000-000056720000}"/>
    <cellStyle name="40% - Accent3 8 2 2 3 2" xfId="10724" xr:uid="{00000000-0005-0000-0000-000057720000}"/>
    <cellStyle name="40% - Accent3 8 2 2 3 2 2" xfId="22025" xr:uid="{00000000-0005-0000-0000-000058720000}"/>
    <cellStyle name="40% - Accent3 8 2 2 3 2 2 2" xfId="44627" xr:uid="{00000000-0005-0000-0000-000059720000}"/>
    <cellStyle name="40% - Accent3 8 2 2 3 2 3" xfId="33326" xr:uid="{00000000-0005-0000-0000-00005A720000}"/>
    <cellStyle name="40% - Accent3 8 2 2 3 3" xfId="16375" xr:uid="{00000000-0005-0000-0000-00005B720000}"/>
    <cellStyle name="40% - Accent3 8 2 2 3 3 2" xfId="38977" xr:uid="{00000000-0005-0000-0000-00005C720000}"/>
    <cellStyle name="40% - Accent3 8 2 2 3 4" xfId="27676" xr:uid="{00000000-0005-0000-0000-00005D720000}"/>
    <cellStyle name="40% - Accent3 8 2 2 4" xfId="7796" xr:uid="{00000000-0005-0000-0000-00005E720000}"/>
    <cellStyle name="40% - Accent3 8 2 2 4 2" xfId="19097" xr:uid="{00000000-0005-0000-0000-00005F720000}"/>
    <cellStyle name="40% - Accent3 8 2 2 4 2 2" xfId="41699" xr:uid="{00000000-0005-0000-0000-000060720000}"/>
    <cellStyle name="40% - Accent3 8 2 2 4 3" xfId="30398" xr:uid="{00000000-0005-0000-0000-000061720000}"/>
    <cellStyle name="40% - Accent3 8 2 2 5" xfId="13447" xr:uid="{00000000-0005-0000-0000-000062720000}"/>
    <cellStyle name="40% - Accent3 8 2 2 5 2" xfId="36049" xr:uid="{00000000-0005-0000-0000-000063720000}"/>
    <cellStyle name="40% - Accent3 8 2 2 6" xfId="24748" xr:uid="{00000000-0005-0000-0000-000064720000}"/>
    <cellStyle name="40% - Accent3 8 2 3" xfId="2665" xr:uid="{00000000-0005-0000-0000-000065720000}"/>
    <cellStyle name="40% - Accent3 8 2 3 2" xfId="5684" xr:uid="{00000000-0005-0000-0000-000066720000}"/>
    <cellStyle name="40% - Accent3 8 2 3 2 2" xfId="11334" xr:uid="{00000000-0005-0000-0000-000067720000}"/>
    <cellStyle name="40% - Accent3 8 2 3 2 2 2" xfId="22635" xr:uid="{00000000-0005-0000-0000-000068720000}"/>
    <cellStyle name="40% - Accent3 8 2 3 2 2 2 2" xfId="45237" xr:uid="{00000000-0005-0000-0000-000069720000}"/>
    <cellStyle name="40% - Accent3 8 2 3 2 2 3" xfId="33936" xr:uid="{00000000-0005-0000-0000-00006A720000}"/>
    <cellStyle name="40% - Accent3 8 2 3 2 3" xfId="16985" xr:uid="{00000000-0005-0000-0000-00006B720000}"/>
    <cellStyle name="40% - Accent3 8 2 3 2 3 2" xfId="39587" xr:uid="{00000000-0005-0000-0000-00006C720000}"/>
    <cellStyle name="40% - Accent3 8 2 3 2 4" xfId="28286" xr:uid="{00000000-0005-0000-0000-00006D720000}"/>
    <cellStyle name="40% - Accent3 8 2 3 3" xfId="8501" xr:uid="{00000000-0005-0000-0000-00006E720000}"/>
    <cellStyle name="40% - Accent3 8 2 3 3 2" xfId="19802" xr:uid="{00000000-0005-0000-0000-00006F720000}"/>
    <cellStyle name="40% - Accent3 8 2 3 3 2 2" xfId="42404" xr:uid="{00000000-0005-0000-0000-000070720000}"/>
    <cellStyle name="40% - Accent3 8 2 3 3 3" xfId="31103" xr:uid="{00000000-0005-0000-0000-000071720000}"/>
    <cellStyle name="40% - Accent3 8 2 3 4" xfId="14152" xr:uid="{00000000-0005-0000-0000-000072720000}"/>
    <cellStyle name="40% - Accent3 8 2 3 4 2" xfId="36754" xr:uid="{00000000-0005-0000-0000-000073720000}"/>
    <cellStyle name="40% - Accent3 8 2 3 5" xfId="25453" xr:uid="{00000000-0005-0000-0000-000074720000}"/>
    <cellStyle name="40% - Accent3 8 2 4" xfId="4450" xr:uid="{00000000-0005-0000-0000-000075720000}"/>
    <cellStyle name="40% - Accent3 8 2 4 2" xfId="10100" xr:uid="{00000000-0005-0000-0000-000076720000}"/>
    <cellStyle name="40% - Accent3 8 2 4 2 2" xfId="21401" xr:uid="{00000000-0005-0000-0000-000077720000}"/>
    <cellStyle name="40% - Accent3 8 2 4 2 2 2" xfId="44003" xr:uid="{00000000-0005-0000-0000-000078720000}"/>
    <cellStyle name="40% - Accent3 8 2 4 2 3" xfId="32702" xr:uid="{00000000-0005-0000-0000-000079720000}"/>
    <cellStyle name="40% - Accent3 8 2 4 3" xfId="15751" xr:uid="{00000000-0005-0000-0000-00007A720000}"/>
    <cellStyle name="40% - Accent3 8 2 4 3 2" xfId="38353" xr:uid="{00000000-0005-0000-0000-00007B720000}"/>
    <cellStyle name="40% - Accent3 8 2 4 4" xfId="27052" xr:uid="{00000000-0005-0000-0000-00007C720000}"/>
    <cellStyle name="40% - Accent3 8 2 5" xfId="7246" xr:uid="{00000000-0005-0000-0000-00007D720000}"/>
    <cellStyle name="40% - Accent3 8 2 5 2" xfId="18547" xr:uid="{00000000-0005-0000-0000-00007E720000}"/>
    <cellStyle name="40% - Accent3 8 2 5 2 2" xfId="41149" xr:uid="{00000000-0005-0000-0000-00007F720000}"/>
    <cellStyle name="40% - Accent3 8 2 5 3" xfId="29848" xr:uid="{00000000-0005-0000-0000-000080720000}"/>
    <cellStyle name="40% - Accent3 8 2 6" xfId="12897" xr:uid="{00000000-0005-0000-0000-000081720000}"/>
    <cellStyle name="40% - Accent3 8 2 6 2" xfId="35499" xr:uid="{00000000-0005-0000-0000-000082720000}"/>
    <cellStyle name="40% - Accent3 8 2 7" xfId="24198" xr:uid="{00000000-0005-0000-0000-000083720000}"/>
    <cellStyle name="40% - Accent3 8 3" xfId="964" xr:uid="{00000000-0005-0000-0000-000084720000}"/>
    <cellStyle name="40% - Accent3 8 3 2" xfId="3028" xr:uid="{00000000-0005-0000-0000-000085720000}"/>
    <cellStyle name="40% - Accent3 8 3 2 2" xfId="6000" xr:uid="{00000000-0005-0000-0000-000086720000}"/>
    <cellStyle name="40% - Accent3 8 3 2 2 2" xfId="11650" xr:uid="{00000000-0005-0000-0000-000087720000}"/>
    <cellStyle name="40% - Accent3 8 3 2 2 2 2" xfId="22951" xr:uid="{00000000-0005-0000-0000-000088720000}"/>
    <cellStyle name="40% - Accent3 8 3 2 2 2 2 2" xfId="45553" xr:uid="{00000000-0005-0000-0000-000089720000}"/>
    <cellStyle name="40% - Accent3 8 3 2 2 2 3" xfId="34252" xr:uid="{00000000-0005-0000-0000-00008A720000}"/>
    <cellStyle name="40% - Accent3 8 3 2 2 3" xfId="17301" xr:uid="{00000000-0005-0000-0000-00008B720000}"/>
    <cellStyle name="40% - Accent3 8 3 2 2 3 2" xfId="39903" xr:uid="{00000000-0005-0000-0000-00008C720000}"/>
    <cellStyle name="40% - Accent3 8 3 2 2 4" xfId="28602" xr:uid="{00000000-0005-0000-0000-00008D720000}"/>
    <cellStyle name="40% - Accent3 8 3 2 3" xfId="8818" xr:uid="{00000000-0005-0000-0000-00008E720000}"/>
    <cellStyle name="40% - Accent3 8 3 2 3 2" xfId="20119" xr:uid="{00000000-0005-0000-0000-00008F720000}"/>
    <cellStyle name="40% - Accent3 8 3 2 3 2 2" xfId="42721" xr:uid="{00000000-0005-0000-0000-000090720000}"/>
    <cellStyle name="40% - Accent3 8 3 2 3 3" xfId="31420" xr:uid="{00000000-0005-0000-0000-000091720000}"/>
    <cellStyle name="40% - Accent3 8 3 2 4" xfId="14469" xr:uid="{00000000-0005-0000-0000-000092720000}"/>
    <cellStyle name="40% - Accent3 8 3 2 4 2" xfId="37071" xr:uid="{00000000-0005-0000-0000-000093720000}"/>
    <cellStyle name="40% - Accent3 8 3 2 5" xfId="25770" xr:uid="{00000000-0005-0000-0000-000094720000}"/>
    <cellStyle name="40% - Accent3 8 3 3" xfId="4766" xr:uid="{00000000-0005-0000-0000-000095720000}"/>
    <cellStyle name="40% - Accent3 8 3 3 2" xfId="10416" xr:uid="{00000000-0005-0000-0000-000096720000}"/>
    <cellStyle name="40% - Accent3 8 3 3 2 2" xfId="21717" xr:uid="{00000000-0005-0000-0000-000097720000}"/>
    <cellStyle name="40% - Accent3 8 3 3 2 2 2" xfId="44319" xr:uid="{00000000-0005-0000-0000-000098720000}"/>
    <cellStyle name="40% - Accent3 8 3 3 2 3" xfId="33018" xr:uid="{00000000-0005-0000-0000-000099720000}"/>
    <cellStyle name="40% - Accent3 8 3 3 3" xfId="16067" xr:uid="{00000000-0005-0000-0000-00009A720000}"/>
    <cellStyle name="40% - Accent3 8 3 3 3 2" xfId="38669" xr:uid="{00000000-0005-0000-0000-00009B720000}"/>
    <cellStyle name="40% - Accent3 8 3 3 4" xfId="27368" xr:uid="{00000000-0005-0000-0000-00009C720000}"/>
    <cellStyle name="40% - Accent3 8 3 4" xfId="6953" xr:uid="{00000000-0005-0000-0000-00009D720000}"/>
    <cellStyle name="40% - Accent3 8 3 4 2" xfId="18254" xr:uid="{00000000-0005-0000-0000-00009E720000}"/>
    <cellStyle name="40% - Accent3 8 3 4 2 2" xfId="40856" xr:uid="{00000000-0005-0000-0000-00009F720000}"/>
    <cellStyle name="40% - Accent3 8 3 4 3" xfId="29555" xr:uid="{00000000-0005-0000-0000-0000A0720000}"/>
    <cellStyle name="40% - Accent3 8 3 5" xfId="12604" xr:uid="{00000000-0005-0000-0000-0000A1720000}"/>
    <cellStyle name="40% - Accent3 8 3 5 2" xfId="35206" xr:uid="{00000000-0005-0000-0000-0000A2720000}"/>
    <cellStyle name="40% - Accent3 8 3 6" xfId="23905" xr:uid="{00000000-0005-0000-0000-0000A3720000}"/>
    <cellStyle name="40% - Accent3 8 4" xfId="1939" xr:uid="{00000000-0005-0000-0000-0000A4720000}"/>
    <cellStyle name="40% - Accent3 8 4 2" xfId="3769" xr:uid="{00000000-0005-0000-0000-0000A5720000}"/>
    <cellStyle name="40% - Accent3 8 4 2 2" xfId="9479" xr:uid="{00000000-0005-0000-0000-0000A6720000}"/>
    <cellStyle name="40% - Accent3 8 4 2 2 2" xfId="20780" xr:uid="{00000000-0005-0000-0000-0000A7720000}"/>
    <cellStyle name="40% - Accent3 8 4 2 2 2 2" xfId="43382" xr:uid="{00000000-0005-0000-0000-0000A8720000}"/>
    <cellStyle name="40% - Accent3 8 4 2 2 3" xfId="32081" xr:uid="{00000000-0005-0000-0000-0000A9720000}"/>
    <cellStyle name="40% - Accent3 8 4 2 3" xfId="15130" xr:uid="{00000000-0005-0000-0000-0000AA720000}"/>
    <cellStyle name="40% - Accent3 8 4 2 3 2" xfId="37732" xr:uid="{00000000-0005-0000-0000-0000AB720000}"/>
    <cellStyle name="40% - Accent3 8 4 2 4" xfId="26431" xr:uid="{00000000-0005-0000-0000-0000AC720000}"/>
    <cellStyle name="40% - Accent3 8 4 3" xfId="5376" xr:uid="{00000000-0005-0000-0000-0000AD720000}"/>
    <cellStyle name="40% - Accent3 8 4 3 2" xfId="11026" xr:uid="{00000000-0005-0000-0000-0000AE720000}"/>
    <cellStyle name="40% - Accent3 8 4 3 2 2" xfId="22327" xr:uid="{00000000-0005-0000-0000-0000AF720000}"/>
    <cellStyle name="40% - Accent3 8 4 3 2 2 2" xfId="44929" xr:uid="{00000000-0005-0000-0000-0000B0720000}"/>
    <cellStyle name="40% - Accent3 8 4 3 2 3" xfId="33628" xr:uid="{00000000-0005-0000-0000-0000B1720000}"/>
    <cellStyle name="40% - Accent3 8 4 3 3" xfId="16677" xr:uid="{00000000-0005-0000-0000-0000B2720000}"/>
    <cellStyle name="40% - Accent3 8 4 3 3 2" xfId="39279" xr:uid="{00000000-0005-0000-0000-0000B3720000}"/>
    <cellStyle name="40% - Accent3 8 4 3 4" xfId="27978" xr:uid="{00000000-0005-0000-0000-0000B4720000}"/>
    <cellStyle name="40% - Accent3 8 4 4" xfId="7795" xr:uid="{00000000-0005-0000-0000-0000B5720000}"/>
    <cellStyle name="40% - Accent3 8 4 4 2" xfId="19096" xr:uid="{00000000-0005-0000-0000-0000B6720000}"/>
    <cellStyle name="40% - Accent3 8 4 4 2 2" xfId="41698" xr:uid="{00000000-0005-0000-0000-0000B7720000}"/>
    <cellStyle name="40% - Accent3 8 4 4 3" xfId="30397" xr:uid="{00000000-0005-0000-0000-0000B8720000}"/>
    <cellStyle name="40% - Accent3 8 4 5" xfId="13446" xr:uid="{00000000-0005-0000-0000-0000B9720000}"/>
    <cellStyle name="40% - Accent3 8 4 5 2" xfId="36048" xr:uid="{00000000-0005-0000-0000-0000BA720000}"/>
    <cellStyle name="40% - Accent3 8 4 6" xfId="24747" xr:uid="{00000000-0005-0000-0000-0000BB720000}"/>
    <cellStyle name="40% - Accent3 8 5" xfId="2357" xr:uid="{00000000-0005-0000-0000-0000BC720000}"/>
    <cellStyle name="40% - Accent3 8 5 2" xfId="8193" xr:uid="{00000000-0005-0000-0000-0000BD720000}"/>
    <cellStyle name="40% - Accent3 8 5 2 2" xfId="19494" xr:uid="{00000000-0005-0000-0000-0000BE720000}"/>
    <cellStyle name="40% - Accent3 8 5 2 2 2" xfId="42096" xr:uid="{00000000-0005-0000-0000-0000BF720000}"/>
    <cellStyle name="40% - Accent3 8 5 2 3" xfId="30795" xr:uid="{00000000-0005-0000-0000-0000C0720000}"/>
    <cellStyle name="40% - Accent3 8 5 3" xfId="13844" xr:uid="{00000000-0005-0000-0000-0000C1720000}"/>
    <cellStyle name="40% - Accent3 8 5 3 2" xfId="36446" xr:uid="{00000000-0005-0000-0000-0000C2720000}"/>
    <cellStyle name="40% - Accent3 8 5 4" xfId="25145" xr:uid="{00000000-0005-0000-0000-0000C3720000}"/>
    <cellStyle name="40% - Accent3 8 6" xfId="4142" xr:uid="{00000000-0005-0000-0000-0000C4720000}"/>
    <cellStyle name="40% - Accent3 8 6 2" xfId="9792" xr:uid="{00000000-0005-0000-0000-0000C5720000}"/>
    <cellStyle name="40% - Accent3 8 6 2 2" xfId="21093" xr:uid="{00000000-0005-0000-0000-0000C6720000}"/>
    <cellStyle name="40% - Accent3 8 6 2 2 2" xfId="43695" xr:uid="{00000000-0005-0000-0000-0000C7720000}"/>
    <cellStyle name="40% - Accent3 8 6 2 3" xfId="32394" xr:uid="{00000000-0005-0000-0000-0000C8720000}"/>
    <cellStyle name="40% - Accent3 8 6 3" xfId="15443" xr:uid="{00000000-0005-0000-0000-0000C9720000}"/>
    <cellStyle name="40% - Accent3 8 6 3 2" xfId="38045" xr:uid="{00000000-0005-0000-0000-0000CA720000}"/>
    <cellStyle name="40% - Accent3 8 6 4" xfId="26744" xr:uid="{00000000-0005-0000-0000-0000CB720000}"/>
    <cellStyle name="40% - Accent3 8 7" xfId="6593" xr:uid="{00000000-0005-0000-0000-0000CC720000}"/>
    <cellStyle name="40% - Accent3 8 7 2" xfId="17894" xr:uid="{00000000-0005-0000-0000-0000CD720000}"/>
    <cellStyle name="40% - Accent3 8 7 2 2" xfId="40496" xr:uid="{00000000-0005-0000-0000-0000CE720000}"/>
    <cellStyle name="40% - Accent3 8 7 3" xfId="29195" xr:uid="{00000000-0005-0000-0000-0000CF720000}"/>
    <cellStyle name="40% - Accent3 8 8" xfId="12244" xr:uid="{00000000-0005-0000-0000-0000D0720000}"/>
    <cellStyle name="40% - Accent3 8 8 2" xfId="34846" xr:uid="{00000000-0005-0000-0000-0000D1720000}"/>
    <cellStyle name="40% - Accent3 8 9" xfId="23545" xr:uid="{00000000-0005-0000-0000-0000D2720000}"/>
    <cellStyle name="40% - Accent3 9" xfId="698" xr:uid="{00000000-0005-0000-0000-0000D3720000}"/>
    <cellStyle name="40% - Accent3 9 2" xfId="757" xr:uid="{00000000-0005-0000-0000-0000D4720000}"/>
    <cellStyle name="40% - Accent3 9 2 2" xfId="3168" xr:uid="{00000000-0005-0000-0000-0000D5720000}"/>
    <cellStyle name="40% - Accent3 9 2 2 2" xfId="6140" xr:uid="{00000000-0005-0000-0000-0000D6720000}"/>
    <cellStyle name="40% - Accent3 9 2 2 2 2" xfId="11790" xr:uid="{00000000-0005-0000-0000-0000D7720000}"/>
    <cellStyle name="40% - Accent3 9 2 2 2 2 2" xfId="23091" xr:uid="{00000000-0005-0000-0000-0000D8720000}"/>
    <cellStyle name="40% - Accent3 9 2 2 2 2 2 2" xfId="45693" xr:uid="{00000000-0005-0000-0000-0000D9720000}"/>
    <cellStyle name="40% - Accent3 9 2 2 2 2 3" xfId="34392" xr:uid="{00000000-0005-0000-0000-0000DA720000}"/>
    <cellStyle name="40% - Accent3 9 2 2 2 3" xfId="17441" xr:uid="{00000000-0005-0000-0000-0000DB720000}"/>
    <cellStyle name="40% - Accent3 9 2 2 2 3 2" xfId="40043" xr:uid="{00000000-0005-0000-0000-0000DC720000}"/>
    <cellStyle name="40% - Accent3 9 2 2 2 4" xfId="28742" xr:uid="{00000000-0005-0000-0000-0000DD720000}"/>
    <cellStyle name="40% - Accent3 9 2 2 3" xfId="8958" xr:uid="{00000000-0005-0000-0000-0000DE720000}"/>
    <cellStyle name="40% - Accent3 9 2 2 3 2" xfId="20259" xr:uid="{00000000-0005-0000-0000-0000DF720000}"/>
    <cellStyle name="40% - Accent3 9 2 2 3 2 2" xfId="42861" xr:uid="{00000000-0005-0000-0000-0000E0720000}"/>
    <cellStyle name="40% - Accent3 9 2 2 3 3" xfId="31560" xr:uid="{00000000-0005-0000-0000-0000E1720000}"/>
    <cellStyle name="40% - Accent3 9 2 2 4" xfId="14609" xr:uid="{00000000-0005-0000-0000-0000E2720000}"/>
    <cellStyle name="40% - Accent3 9 2 2 4 2" xfId="37211" xr:uid="{00000000-0005-0000-0000-0000E3720000}"/>
    <cellStyle name="40% - Accent3 9 2 2 5" xfId="25910" xr:uid="{00000000-0005-0000-0000-0000E4720000}"/>
    <cellStyle name="40% - Accent3 9 2 3" xfId="4906" xr:uid="{00000000-0005-0000-0000-0000E5720000}"/>
    <cellStyle name="40% - Accent3 9 2 3 2" xfId="10556" xr:uid="{00000000-0005-0000-0000-0000E6720000}"/>
    <cellStyle name="40% - Accent3 9 2 3 2 2" xfId="21857" xr:uid="{00000000-0005-0000-0000-0000E7720000}"/>
    <cellStyle name="40% - Accent3 9 2 3 2 2 2" xfId="44459" xr:uid="{00000000-0005-0000-0000-0000E8720000}"/>
    <cellStyle name="40% - Accent3 9 2 3 2 3" xfId="33158" xr:uid="{00000000-0005-0000-0000-0000E9720000}"/>
    <cellStyle name="40% - Accent3 9 2 3 3" xfId="16207" xr:uid="{00000000-0005-0000-0000-0000EA720000}"/>
    <cellStyle name="40% - Accent3 9 2 3 3 2" xfId="38809" xr:uid="{00000000-0005-0000-0000-0000EB720000}"/>
    <cellStyle name="40% - Accent3 9 2 3 4" xfId="27508" xr:uid="{00000000-0005-0000-0000-0000EC720000}"/>
    <cellStyle name="40% - Accent3 9 2 4" xfId="6782" xr:uid="{00000000-0005-0000-0000-0000ED720000}"/>
    <cellStyle name="40% - Accent3 9 2 4 2" xfId="18083" xr:uid="{00000000-0005-0000-0000-0000EE720000}"/>
    <cellStyle name="40% - Accent3 9 2 4 2 2" xfId="40685" xr:uid="{00000000-0005-0000-0000-0000EF720000}"/>
    <cellStyle name="40% - Accent3 9 2 4 3" xfId="29384" xr:uid="{00000000-0005-0000-0000-0000F0720000}"/>
    <cellStyle name="40% - Accent3 9 2 5" xfId="12433" xr:uid="{00000000-0005-0000-0000-0000F1720000}"/>
    <cellStyle name="40% - Accent3 9 2 5 2" xfId="35035" xr:uid="{00000000-0005-0000-0000-0000F2720000}"/>
    <cellStyle name="40% - Accent3 9 2 6" xfId="23734" xr:uid="{00000000-0005-0000-0000-0000F3720000}"/>
    <cellStyle name="40% - Accent3 9 3" xfId="1941" xr:uid="{00000000-0005-0000-0000-0000F4720000}"/>
    <cellStyle name="40% - Accent3 9 3 2" xfId="3770" xr:uid="{00000000-0005-0000-0000-0000F5720000}"/>
    <cellStyle name="40% - Accent3 9 3 2 2" xfId="9480" xr:uid="{00000000-0005-0000-0000-0000F6720000}"/>
    <cellStyle name="40% - Accent3 9 3 2 2 2" xfId="20781" xr:uid="{00000000-0005-0000-0000-0000F7720000}"/>
    <cellStyle name="40% - Accent3 9 3 2 2 2 2" xfId="43383" xr:uid="{00000000-0005-0000-0000-0000F8720000}"/>
    <cellStyle name="40% - Accent3 9 3 2 2 3" xfId="32082" xr:uid="{00000000-0005-0000-0000-0000F9720000}"/>
    <cellStyle name="40% - Accent3 9 3 2 3" xfId="15131" xr:uid="{00000000-0005-0000-0000-0000FA720000}"/>
    <cellStyle name="40% - Accent3 9 3 2 3 2" xfId="37733" xr:uid="{00000000-0005-0000-0000-0000FB720000}"/>
    <cellStyle name="40% - Accent3 9 3 2 4" xfId="26432" xr:uid="{00000000-0005-0000-0000-0000FC720000}"/>
    <cellStyle name="40% - Accent3 9 3 3" xfId="5516" xr:uid="{00000000-0005-0000-0000-0000FD720000}"/>
    <cellStyle name="40% - Accent3 9 3 3 2" xfId="11166" xr:uid="{00000000-0005-0000-0000-0000FE720000}"/>
    <cellStyle name="40% - Accent3 9 3 3 2 2" xfId="22467" xr:uid="{00000000-0005-0000-0000-0000FF720000}"/>
    <cellStyle name="40% - Accent3 9 3 3 2 2 2" xfId="45069" xr:uid="{00000000-0005-0000-0000-000000730000}"/>
    <cellStyle name="40% - Accent3 9 3 3 2 3" xfId="33768" xr:uid="{00000000-0005-0000-0000-000001730000}"/>
    <cellStyle name="40% - Accent3 9 3 3 3" xfId="16817" xr:uid="{00000000-0005-0000-0000-000002730000}"/>
    <cellStyle name="40% - Accent3 9 3 3 3 2" xfId="39419" xr:uid="{00000000-0005-0000-0000-000003730000}"/>
    <cellStyle name="40% - Accent3 9 3 3 4" xfId="28118" xr:uid="{00000000-0005-0000-0000-000004730000}"/>
    <cellStyle name="40% - Accent3 9 3 4" xfId="7797" xr:uid="{00000000-0005-0000-0000-000005730000}"/>
    <cellStyle name="40% - Accent3 9 3 4 2" xfId="19098" xr:uid="{00000000-0005-0000-0000-000006730000}"/>
    <cellStyle name="40% - Accent3 9 3 4 2 2" xfId="41700" xr:uid="{00000000-0005-0000-0000-000007730000}"/>
    <cellStyle name="40% - Accent3 9 3 4 3" xfId="30399" xr:uid="{00000000-0005-0000-0000-000008730000}"/>
    <cellStyle name="40% - Accent3 9 3 5" xfId="13448" xr:uid="{00000000-0005-0000-0000-000009730000}"/>
    <cellStyle name="40% - Accent3 9 3 5 2" xfId="36050" xr:uid="{00000000-0005-0000-0000-00000A730000}"/>
    <cellStyle name="40% - Accent3 9 3 6" xfId="24749" xr:uid="{00000000-0005-0000-0000-00000B730000}"/>
    <cellStyle name="40% - Accent3 9 4" xfId="2497" xr:uid="{00000000-0005-0000-0000-00000C730000}"/>
    <cellStyle name="40% - Accent3 9 4 2" xfId="8333" xr:uid="{00000000-0005-0000-0000-00000D730000}"/>
    <cellStyle name="40% - Accent3 9 4 2 2" xfId="19634" xr:uid="{00000000-0005-0000-0000-00000E730000}"/>
    <cellStyle name="40% - Accent3 9 4 2 2 2" xfId="42236" xr:uid="{00000000-0005-0000-0000-00000F730000}"/>
    <cellStyle name="40% - Accent3 9 4 2 3" xfId="30935" xr:uid="{00000000-0005-0000-0000-000010730000}"/>
    <cellStyle name="40% - Accent3 9 4 3" xfId="13984" xr:uid="{00000000-0005-0000-0000-000011730000}"/>
    <cellStyle name="40% - Accent3 9 4 3 2" xfId="36586" xr:uid="{00000000-0005-0000-0000-000012730000}"/>
    <cellStyle name="40% - Accent3 9 4 4" xfId="25285" xr:uid="{00000000-0005-0000-0000-000013730000}"/>
    <cellStyle name="40% - Accent3 9 5" xfId="4282" xr:uid="{00000000-0005-0000-0000-000014730000}"/>
    <cellStyle name="40% - Accent3 9 5 2" xfId="9932" xr:uid="{00000000-0005-0000-0000-000015730000}"/>
    <cellStyle name="40% - Accent3 9 5 2 2" xfId="21233" xr:uid="{00000000-0005-0000-0000-000016730000}"/>
    <cellStyle name="40% - Accent3 9 5 2 2 2" xfId="43835" xr:uid="{00000000-0005-0000-0000-000017730000}"/>
    <cellStyle name="40% - Accent3 9 5 2 3" xfId="32534" xr:uid="{00000000-0005-0000-0000-000018730000}"/>
    <cellStyle name="40% - Accent3 9 5 3" xfId="15583" xr:uid="{00000000-0005-0000-0000-000019730000}"/>
    <cellStyle name="40% - Accent3 9 5 3 2" xfId="38185" xr:uid="{00000000-0005-0000-0000-00001A730000}"/>
    <cellStyle name="40% - Accent3 9 5 4" xfId="26884" xr:uid="{00000000-0005-0000-0000-00001B730000}"/>
    <cellStyle name="40% - Accent3 9 6" xfId="6761" xr:uid="{00000000-0005-0000-0000-00001C730000}"/>
    <cellStyle name="40% - Accent3 9 6 2" xfId="18062" xr:uid="{00000000-0005-0000-0000-00001D730000}"/>
    <cellStyle name="40% - Accent3 9 6 2 2" xfId="40664" xr:uid="{00000000-0005-0000-0000-00001E730000}"/>
    <cellStyle name="40% - Accent3 9 6 3" xfId="29363" xr:uid="{00000000-0005-0000-0000-00001F730000}"/>
    <cellStyle name="40% - Accent3 9 7" xfId="12412" xr:uid="{00000000-0005-0000-0000-000020730000}"/>
    <cellStyle name="40% - Accent3 9 7 2" xfId="35014" xr:uid="{00000000-0005-0000-0000-000021730000}"/>
    <cellStyle name="40% - Accent3 9 8" xfId="23713" xr:uid="{00000000-0005-0000-0000-000022730000}"/>
    <cellStyle name="40% - Accent4" xfId="32" builtinId="43" customBuiltin="1"/>
    <cellStyle name="40% - Accent4 10" xfId="825" xr:uid="{00000000-0005-0000-0000-000024730000}"/>
    <cellStyle name="40% - Accent4 10 2" xfId="1942" xr:uid="{00000000-0005-0000-0000-000025730000}"/>
    <cellStyle name="40% - Accent4 10 2 2" xfId="3472" xr:uid="{00000000-0005-0000-0000-000026730000}"/>
    <cellStyle name="40% - Accent4 10 2 2 2" xfId="6444" xr:uid="{00000000-0005-0000-0000-000027730000}"/>
    <cellStyle name="40% - Accent4 10 2 2 2 2" xfId="12094" xr:uid="{00000000-0005-0000-0000-000028730000}"/>
    <cellStyle name="40% - Accent4 10 2 2 2 2 2" xfId="23395" xr:uid="{00000000-0005-0000-0000-000029730000}"/>
    <cellStyle name="40% - Accent4 10 2 2 2 2 2 2" xfId="45997" xr:uid="{00000000-0005-0000-0000-00002A730000}"/>
    <cellStyle name="40% - Accent4 10 2 2 2 2 3" xfId="34696" xr:uid="{00000000-0005-0000-0000-00002B730000}"/>
    <cellStyle name="40% - Accent4 10 2 2 2 3" xfId="17745" xr:uid="{00000000-0005-0000-0000-00002C730000}"/>
    <cellStyle name="40% - Accent4 10 2 2 2 3 2" xfId="40347" xr:uid="{00000000-0005-0000-0000-00002D730000}"/>
    <cellStyle name="40% - Accent4 10 2 2 2 4" xfId="29046" xr:uid="{00000000-0005-0000-0000-00002E730000}"/>
    <cellStyle name="40% - Accent4 10 2 2 3" xfId="9262" xr:uid="{00000000-0005-0000-0000-00002F730000}"/>
    <cellStyle name="40% - Accent4 10 2 2 3 2" xfId="20563" xr:uid="{00000000-0005-0000-0000-000030730000}"/>
    <cellStyle name="40% - Accent4 10 2 2 3 2 2" xfId="43165" xr:uid="{00000000-0005-0000-0000-000031730000}"/>
    <cellStyle name="40% - Accent4 10 2 2 3 3" xfId="31864" xr:uid="{00000000-0005-0000-0000-000032730000}"/>
    <cellStyle name="40% - Accent4 10 2 2 4" xfId="14913" xr:uid="{00000000-0005-0000-0000-000033730000}"/>
    <cellStyle name="40% - Accent4 10 2 2 4 2" xfId="37515" xr:uid="{00000000-0005-0000-0000-000034730000}"/>
    <cellStyle name="40% - Accent4 10 2 2 5" xfId="26214" xr:uid="{00000000-0005-0000-0000-000035730000}"/>
    <cellStyle name="40% - Accent4 10 2 3" xfId="5210" xr:uid="{00000000-0005-0000-0000-000036730000}"/>
    <cellStyle name="40% - Accent4 10 2 3 2" xfId="10860" xr:uid="{00000000-0005-0000-0000-000037730000}"/>
    <cellStyle name="40% - Accent4 10 2 3 2 2" xfId="22161" xr:uid="{00000000-0005-0000-0000-000038730000}"/>
    <cellStyle name="40% - Accent4 10 2 3 2 2 2" xfId="44763" xr:uid="{00000000-0005-0000-0000-000039730000}"/>
    <cellStyle name="40% - Accent4 10 2 3 2 3" xfId="33462" xr:uid="{00000000-0005-0000-0000-00003A730000}"/>
    <cellStyle name="40% - Accent4 10 2 3 3" xfId="16511" xr:uid="{00000000-0005-0000-0000-00003B730000}"/>
    <cellStyle name="40% - Accent4 10 2 3 3 2" xfId="39113" xr:uid="{00000000-0005-0000-0000-00003C730000}"/>
    <cellStyle name="40% - Accent4 10 2 3 4" xfId="27812" xr:uid="{00000000-0005-0000-0000-00003D730000}"/>
    <cellStyle name="40% - Accent4 10 2 4" xfId="7798" xr:uid="{00000000-0005-0000-0000-00003E730000}"/>
    <cellStyle name="40% - Accent4 10 2 4 2" xfId="19099" xr:uid="{00000000-0005-0000-0000-00003F730000}"/>
    <cellStyle name="40% - Accent4 10 2 4 2 2" xfId="41701" xr:uid="{00000000-0005-0000-0000-000040730000}"/>
    <cellStyle name="40% - Accent4 10 2 4 3" xfId="30400" xr:uid="{00000000-0005-0000-0000-000041730000}"/>
    <cellStyle name="40% - Accent4 10 2 5" xfId="13449" xr:uid="{00000000-0005-0000-0000-000042730000}"/>
    <cellStyle name="40% - Accent4 10 2 5 2" xfId="36051" xr:uid="{00000000-0005-0000-0000-000043730000}"/>
    <cellStyle name="40% - Accent4 10 2 6" xfId="24750" xr:uid="{00000000-0005-0000-0000-000044730000}"/>
    <cellStyle name="40% - Accent4 10 3" xfId="2803" xr:uid="{00000000-0005-0000-0000-000045730000}"/>
    <cellStyle name="40% - Accent4 10 3 2" xfId="5820" xr:uid="{00000000-0005-0000-0000-000046730000}"/>
    <cellStyle name="40% - Accent4 10 3 2 2" xfId="11470" xr:uid="{00000000-0005-0000-0000-000047730000}"/>
    <cellStyle name="40% - Accent4 10 3 2 2 2" xfId="22771" xr:uid="{00000000-0005-0000-0000-000048730000}"/>
    <cellStyle name="40% - Accent4 10 3 2 2 2 2" xfId="45373" xr:uid="{00000000-0005-0000-0000-000049730000}"/>
    <cellStyle name="40% - Accent4 10 3 2 2 3" xfId="34072" xr:uid="{00000000-0005-0000-0000-00004A730000}"/>
    <cellStyle name="40% - Accent4 10 3 2 3" xfId="17121" xr:uid="{00000000-0005-0000-0000-00004B730000}"/>
    <cellStyle name="40% - Accent4 10 3 2 3 2" xfId="39723" xr:uid="{00000000-0005-0000-0000-00004C730000}"/>
    <cellStyle name="40% - Accent4 10 3 2 4" xfId="28422" xr:uid="{00000000-0005-0000-0000-00004D730000}"/>
    <cellStyle name="40% - Accent4 10 3 3" xfId="8637" xr:uid="{00000000-0005-0000-0000-00004E730000}"/>
    <cellStyle name="40% - Accent4 10 3 3 2" xfId="19938" xr:uid="{00000000-0005-0000-0000-00004F730000}"/>
    <cellStyle name="40% - Accent4 10 3 3 2 2" xfId="42540" xr:uid="{00000000-0005-0000-0000-000050730000}"/>
    <cellStyle name="40% - Accent4 10 3 3 3" xfId="31239" xr:uid="{00000000-0005-0000-0000-000051730000}"/>
    <cellStyle name="40% - Accent4 10 3 4" xfId="14288" xr:uid="{00000000-0005-0000-0000-000052730000}"/>
    <cellStyle name="40% - Accent4 10 3 4 2" xfId="36890" xr:uid="{00000000-0005-0000-0000-000053730000}"/>
    <cellStyle name="40% - Accent4 10 3 5" xfId="25589" xr:uid="{00000000-0005-0000-0000-000054730000}"/>
    <cellStyle name="40% - Accent4 10 4" xfId="4586" xr:uid="{00000000-0005-0000-0000-000055730000}"/>
    <cellStyle name="40% - Accent4 10 4 2" xfId="10236" xr:uid="{00000000-0005-0000-0000-000056730000}"/>
    <cellStyle name="40% - Accent4 10 4 2 2" xfId="21537" xr:uid="{00000000-0005-0000-0000-000057730000}"/>
    <cellStyle name="40% - Accent4 10 4 2 2 2" xfId="44139" xr:uid="{00000000-0005-0000-0000-000058730000}"/>
    <cellStyle name="40% - Accent4 10 4 2 3" xfId="32838" xr:uid="{00000000-0005-0000-0000-000059730000}"/>
    <cellStyle name="40% - Accent4 10 4 3" xfId="15887" xr:uid="{00000000-0005-0000-0000-00005A730000}"/>
    <cellStyle name="40% - Accent4 10 4 3 2" xfId="38489" xr:uid="{00000000-0005-0000-0000-00005B730000}"/>
    <cellStyle name="40% - Accent4 10 4 4" xfId="27188" xr:uid="{00000000-0005-0000-0000-00005C730000}"/>
    <cellStyle name="40% - Accent4 10 5" xfId="6833" xr:uid="{00000000-0005-0000-0000-00005D730000}"/>
    <cellStyle name="40% - Accent4 10 5 2" xfId="18134" xr:uid="{00000000-0005-0000-0000-00005E730000}"/>
    <cellStyle name="40% - Accent4 10 5 2 2" xfId="40736" xr:uid="{00000000-0005-0000-0000-00005F730000}"/>
    <cellStyle name="40% - Accent4 10 5 3" xfId="29435" xr:uid="{00000000-0005-0000-0000-000060730000}"/>
    <cellStyle name="40% - Accent4 10 6" xfId="12484" xr:uid="{00000000-0005-0000-0000-000061730000}"/>
    <cellStyle name="40% - Accent4 10 6 2" xfId="35086" xr:uid="{00000000-0005-0000-0000-000062730000}"/>
    <cellStyle name="40% - Accent4 10 7" xfId="23785" xr:uid="{00000000-0005-0000-0000-000063730000}"/>
    <cellStyle name="40% - Accent4 11" xfId="714" xr:uid="{00000000-0005-0000-0000-000064730000}"/>
    <cellStyle name="40% - Accent4 11 2" xfId="1943" xr:uid="{00000000-0005-0000-0000-000065730000}"/>
    <cellStyle name="40% - Accent4 11 2 2" xfId="3771" xr:uid="{00000000-0005-0000-0000-000066730000}"/>
    <cellStyle name="40% - Accent4 11 2 2 2" xfId="9481" xr:uid="{00000000-0005-0000-0000-000067730000}"/>
    <cellStyle name="40% - Accent4 11 2 2 2 2" xfId="20782" xr:uid="{00000000-0005-0000-0000-000068730000}"/>
    <cellStyle name="40% - Accent4 11 2 2 2 2 2" xfId="43384" xr:uid="{00000000-0005-0000-0000-000069730000}"/>
    <cellStyle name="40% - Accent4 11 2 2 2 3" xfId="32083" xr:uid="{00000000-0005-0000-0000-00006A730000}"/>
    <cellStyle name="40% - Accent4 11 2 2 3" xfId="15132" xr:uid="{00000000-0005-0000-0000-00006B730000}"/>
    <cellStyle name="40% - Accent4 11 2 2 3 2" xfId="37734" xr:uid="{00000000-0005-0000-0000-00006C730000}"/>
    <cellStyle name="40% - Accent4 11 2 2 4" xfId="26433" xr:uid="{00000000-0005-0000-0000-00006D730000}"/>
    <cellStyle name="40% - Accent4 11 2 3" xfId="7799" xr:uid="{00000000-0005-0000-0000-00006E730000}"/>
    <cellStyle name="40% - Accent4 11 2 3 2" xfId="19100" xr:uid="{00000000-0005-0000-0000-00006F730000}"/>
    <cellStyle name="40% - Accent4 11 2 3 2 2" xfId="41702" xr:uid="{00000000-0005-0000-0000-000070730000}"/>
    <cellStyle name="40% - Accent4 11 2 3 3" xfId="30401" xr:uid="{00000000-0005-0000-0000-000071730000}"/>
    <cellStyle name="40% - Accent4 11 2 4" xfId="13450" xr:uid="{00000000-0005-0000-0000-000072730000}"/>
    <cellStyle name="40% - Accent4 11 2 4 2" xfId="36052" xr:uid="{00000000-0005-0000-0000-000073730000}"/>
    <cellStyle name="40% - Accent4 11 2 5" xfId="24751" xr:uid="{00000000-0005-0000-0000-000074730000}"/>
    <cellStyle name="40% - Accent4 11 3" xfId="2181" xr:uid="{00000000-0005-0000-0000-000075730000}"/>
    <cellStyle name="40% - Accent4 11 3 2" xfId="8025" xr:uid="{00000000-0005-0000-0000-000076730000}"/>
    <cellStyle name="40% - Accent4 11 3 2 2" xfId="19326" xr:uid="{00000000-0005-0000-0000-000077730000}"/>
    <cellStyle name="40% - Accent4 11 3 2 2 2" xfId="41928" xr:uid="{00000000-0005-0000-0000-000078730000}"/>
    <cellStyle name="40% - Accent4 11 3 2 3" xfId="30627" xr:uid="{00000000-0005-0000-0000-000079730000}"/>
    <cellStyle name="40% - Accent4 11 3 3" xfId="13676" xr:uid="{00000000-0005-0000-0000-00007A730000}"/>
    <cellStyle name="40% - Accent4 11 3 3 2" xfId="36278" xr:uid="{00000000-0005-0000-0000-00007B730000}"/>
    <cellStyle name="40% - Accent4 11 3 4" xfId="24977" xr:uid="{00000000-0005-0000-0000-00007C730000}"/>
    <cellStyle name="40% - Accent4 11 4" xfId="3977" xr:uid="{00000000-0005-0000-0000-00007D730000}"/>
    <cellStyle name="40% - Accent4 11 4 2" xfId="9627" xr:uid="{00000000-0005-0000-0000-00007E730000}"/>
    <cellStyle name="40% - Accent4 11 4 2 2" xfId="20928" xr:uid="{00000000-0005-0000-0000-00007F730000}"/>
    <cellStyle name="40% - Accent4 11 4 2 2 2" xfId="43530" xr:uid="{00000000-0005-0000-0000-000080730000}"/>
    <cellStyle name="40% - Accent4 11 4 2 3" xfId="32229" xr:uid="{00000000-0005-0000-0000-000081730000}"/>
    <cellStyle name="40% - Accent4 11 4 3" xfId="15278" xr:uid="{00000000-0005-0000-0000-000082730000}"/>
    <cellStyle name="40% - Accent4 11 4 3 2" xfId="37880" xr:uid="{00000000-0005-0000-0000-000083730000}"/>
    <cellStyle name="40% - Accent4 11 4 4" xfId="26579" xr:uid="{00000000-0005-0000-0000-000084730000}"/>
    <cellStyle name="40% - Accent4 11 5" xfId="6773" xr:uid="{00000000-0005-0000-0000-000085730000}"/>
    <cellStyle name="40% - Accent4 11 5 2" xfId="18074" xr:uid="{00000000-0005-0000-0000-000086730000}"/>
    <cellStyle name="40% - Accent4 11 5 2 2" xfId="40676" xr:uid="{00000000-0005-0000-0000-000087730000}"/>
    <cellStyle name="40% - Accent4 11 5 3" xfId="29375" xr:uid="{00000000-0005-0000-0000-000088730000}"/>
    <cellStyle name="40% - Accent4 11 6" xfId="12424" xr:uid="{00000000-0005-0000-0000-000089730000}"/>
    <cellStyle name="40% - Accent4 11 6 2" xfId="35026" xr:uid="{00000000-0005-0000-0000-00008A730000}"/>
    <cellStyle name="40% - Accent4 11 7" xfId="23725" xr:uid="{00000000-0005-0000-0000-00008B730000}"/>
    <cellStyle name="40% - Accent4 12" xfId="723" xr:uid="{00000000-0005-0000-0000-00008C730000}"/>
    <cellStyle name="40% - Accent4 12 2" xfId="3956" xr:uid="{00000000-0005-0000-0000-00008D730000}"/>
    <cellStyle name="40% - Accent4 12 2 2" xfId="9618" xr:uid="{00000000-0005-0000-0000-00008E730000}"/>
    <cellStyle name="40% - Accent4 12 2 2 2" xfId="20919" xr:uid="{00000000-0005-0000-0000-00008F730000}"/>
    <cellStyle name="40% - Accent4 12 2 2 2 2" xfId="43521" xr:uid="{00000000-0005-0000-0000-000090730000}"/>
    <cellStyle name="40% - Accent4 12 2 2 3" xfId="32220" xr:uid="{00000000-0005-0000-0000-000091730000}"/>
    <cellStyle name="40% - Accent4 12 2 3" xfId="15269" xr:uid="{00000000-0005-0000-0000-000092730000}"/>
    <cellStyle name="40% - Accent4 12 2 3 2" xfId="37871" xr:uid="{00000000-0005-0000-0000-000093730000}"/>
    <cellStyle name="40% - Accent4 12 2 4" xfId="26570" xr:uid="{00000000-0005-0000-0000-000094730000}"/>
    <cellStyle name="40% - Accent4 13" xfId="3585" xr:uid="{00000000-0005-0000-0000-000095730000}"/>
    <cellStyle name="40% - Accent4 14" xfId="112" xr:uid="{00000000-0005-0000-0000-000096730000}"/>
    <cellStyle name="40% - Accent4 2" xfId="53" xr:uid="{00000000-0005-0000-0000-000097730000}"/>
    <cellStyle name="40% - Accent4 2 2" xfId="373" xr:uid="{00000000-0005-0000-0000-000098730000}"/>
    <cellStyle name="40% - Accent4 2 2 10" xfId="23479" xr:uid="{00000000-0005-0000-0000-000099730000}"/>
    <cellStyle name="40% - Accent4 2 2 2" xfId="629" xr:uid="{00000000-0005-0000-0000-00009A730000}"/>
    <cellStyle name="40% - Accent4 2 2 2 2" xfId="1339" xr:uid="{00000000-0005-0000-0000-00009B730000}"/>
    <cellStyle name="40% - Accent4 2 2 2 2 2" xfId="1946" xr:uid="{00000000-0005-0000-0000-00009C730000}"/>
    <cellStyle name="40% - Accent4 2 2 2 2 2 2" xfId="3408" xr:uid="{00000000-0005-0000-0000-00009D730000}"/>
    <cellStyle name="40% - Accent4 2 2 2 2 2 2 2" xfId="6380" xr:uid="{00000000-0005-0000-0000-00009E730000}"/>
    <cellStyle name="40% - Accent4 2 2 2 2 2 2 2 2" xfId="12030" xr:uid="{00000000-0005-0000-0000-00009F730000}"/>
    <cellStyle name="40% - Accent4 2 2 2 2 2 2 2 2 2" xfId="23331" xr:uid="{00000000-0005-0000-0000-0000A0730000}"/>
    <cellStyle name="40% - Accent4 2 2 2 2 2 2 2 2 2 2" xfId="45933" xr:uid="{00000000-0005-0000-0000-0000A1730000}"/>
    <cellStyle name="40% - Accent4 2 2 2 2 2 2 2 2 3" xfId="34632" xr:uid="{00000000-0005-0000-0000-0000A2730000}"/>
    <cellStyle name="40% - Accent4 2 2 2 2 2 2 2 3" xfId="17681" xr:uid="{00000000-0005-0000-0000-0000A3730000}"/>
    <cellStyle name="40% - Accent4 2 2 2 2 2 2 2 3 2" xfId="40283" xr:uid="{00000000-0005-0000-0000-0000A4730000}"/>
    <cellStyle name="40% - Accent4 2 2 2 2 2 2 2 4" xfId="28982" xr:uid="{00000000-0005-0000-0000-0000A5730000}"/>
    <cellStyle name="40% - Accent4 2 2 2 2 2 2 3" xfId="9198" xr:uid="{00000000-0005-0000-0000-0000A6730000}"/>
    <cellStyle name="40% - Accent4 2 2 2 2 2 2 3 2" xfId="20499" xr:uid="{00000000-0005-0000-0000-0000A7730000}"/>
    <cellStyle name="40% - Accent4 2 2 2 2 2 2 3 2 2" xfId="43101" xr:uid="{00000000-0005-0000-0000-0000A8730000}"/>
    <cellStyle name="40% - Accent4 2 2 2 2 2 2 3 3" xfId="31800" xr:uid="{00000000-0005-0000-0000-0000A9730000}"/>
    <cellStyle name="40% - Accent4 2 2 2 2 2 2 4" xfId="14849" xr:uid="{00000000-0005-0000-0000-0000AA730000}"/>
    <cellStyle name="40% - Accent4 2 2 2 2 2 2 4 2" xfId="37451" xr:uid="{00000000-0005-0000-0000-0000AB730000}"/>
    <cellStyle name="40% - Accent4 2 2 2 2 2 2 5" xfId="26150" xr:uid="{00000000-0005-0000-0000-0000AC730000}"/>
    <cellStyle name="40% - Accent4 2 2 2 2 2 3" xfId="5146" xr:uid="{00000000-0005-0000-0000-0000AD730000}"/>
    <cellStyle name="40% - Accent4 2 2 2 2 2 3 2" xfId="10796" xr:uid="{00000000-0005-0000-0000-0000AE730000}"/>
    <cellStyle name="40% - Accent4 2 2 2 2 2 3 2 2" xfId="22097" xr:uid="{00000000-0005-0000-0000-0000AF730000}"/>
    <cellStyle name="40% - Accent4 2 2 2 2 2 3 2 2 2" xfId="44699" xr:uid="{00000000-0005-0000-0000-0000B0730000}"/>
    <cellStyle name="40% - Accent4 2 2 2 2 2 3 2 3" xfId="33398" xr:uid="{00000000-0005-0000-0000-0000B1730000}"/>
    <cellStyle name="40% - Accent4 2 2 2 2 2 3 3" xfId="16447" xr:uid="{00000000-0005-0000-0000-0000B2730000}"/>
    <cellStyle name="40% - Accent4 2 2 2 2 2 3 3 2" xfId="39049" xr:uid="{00000000-0005-0000-0000-0000B3730000}"/>
    <cellStyle name="40% - Accent4 2 2 2 2 2 3 4" xfId="27748" xr:uid="{00000000-0005-0000-0000-0000B4730000}"/>
    <cellStyle name="40% - Accent4 2 2 2 2 2 4" xfId="7802" xr:uid="{00000000-0005-0000-0000-0000B5730000}"/>
    <cellStyle name="40% - Accent4 2 2 2 2 2 4 2" xfId="19103" xr:uid="{00000000-0005-0000-0000-0000B6730000}"/>
    <cellStyle name="40% - Accent4 2 2 2 2 2 4 2 2" xfId="41705" xr:uid="{00000000-0005-0000-0000-0000B7730000}"/>
    <cellStyle name="40% - Accent4 2 2 2 2 2 4 3" xfId="30404" xr:uid="{00000000-0005-0000-0000-0000B8730000}"/>
    <cellStyle name="40% - Accent4 2 2 2 2 2 5" xfId="13453" xr:uid="{00000000-0005-0000-0000-0000B9730000}"/>
    <cellStyle name="40% - Accent4 2 2 2 2 2 5 2" xfId="36055" xr:uid="{00000000-0005-0000-0000-0000BA730000}"/>
    <cellStyle name="40% - Accent4 2 2 2 2 2 6" xfId="24754" xr:uid="{00000000-0005-0000-0000-0000BB730000}"/>
    <cellStyle name="40% - Accent4 2 2 2 2 3" xfId="2737" xr:uid="{00000000-0005-0000-0000-0000BC730000}"/>
    <cellStyle name="40% - Accent4 2 2 2 2 3 2" xfId="5756" xr:uid="{00000000-0005-0000-0000-0000BD730000}"/>
    <cellStyle name="40% - Accent4 2 2 2 2 3 2 2" xfId="11406" xr:uid="{00000000-0005-0000-0000-0000BE730000}"/>
    <cellStyle name="40% - Accent4 2 2 2 2 3 2 2 2" xfId="22707" xr:uid="{00000000-0005-0000-0000-0000BF730000}"/>
    <cellStyle name="40% - Accent4 2 2 2 2 3 2 2 2 2" xfId="45309" xr:uid="{00000000-0005-0000-0000-0000C0730000}"/>
    <cellStyle name="40% - Accent4 2 2 2 2 3 2 2 3" xfId="34008" xr:uid="{00000000-0005-0000-0000-0000C1730000}"/>
    <cellStyle name="40% - Accent4 2 2 2 2 3 2 3" xfId="17057" xr:uid="{00000000-0005-0000-0000-0000C2730000}"/>
    <cellStyle name="40% - Accent4 2 2 2 2 3 2 3 2" xfId="39659" xr:uid="{00000000-0005-0000-0000-0000C3730000}"/>
    <cellStyle name="40% - Accent4 2 2 2 2 3 2 4" xfId="28358" xr:uid="{00000000-0005-0000-0000-0000C4730000}"/>
    <cellStyle name="40% - Accent4 2 2 2 2 3 3" xfId="8573" xr:uid="{00000000-0005-0000-0000-0000C5730000}"/>
    <cellStyle name="40% - Accent4 2 2 2 2 3 3 2" xfId="19874" xr:uid="{00000000-0005-0000-0000-0000C6730000}"/>
    <cellStyle name="40% - Accent4 2 2 2 2 3 3 2 2" xfId="42476" xr:uid="{00000000-0005-0000-0000-0000C7730000}"/>
    <cellStyle name="40% - Accent4 2 2 2 2 3 3 3" xfId="31175" xr:uid="{00000000-0005-0000-0000-0000C8730000}"/>
    <cellStyle name="40% - Accent4 2 2 2 2 3 4" xfId="14224" xr:uid="{00000000-0005-0000-0000-0000C9730000}"/>
    <cellStyle name="40% - Accent4 2 2 2 2 3 4 2" xfId="36826" xr:uid="{00000000-0005-0000-0000-0000CA730000}"/>
    <cellStyle name="40% - Accent4 2 2 2 2 3 5" xfId="25525" xr:uid="{00000000-0005-0000-0000-0000CB730000}"/>
    <cellStyle name="40% - Accent4 2 2 2 2 4" xfId="4522" xr:uid="{00000000-0005-0000-0000-0000CC730000}"/>
    <cellStyle name="40% - Accent4 2 2 2 2 4 2" xfId="10172" xr:uid="{00000000-0005-0000-0000-0000CD730000}"/>
    <cellStyle name="40% - Accent4 2 2 2 2 4 2 2" xfId="21473" xr:uid="{00000000-0005-0000-0000-0000CE730000}"/>
    <cellStyle name="40% - Accent4 2 2 2 2 4 2 2 2" xfId="44075" xr:uid="{00000000-0005-0000-0000-0000CF730000}"/>
    <cellStyle name="40% - Accent4 2 2 2 2 4 2 3" xfId="32774" xr:uid="{00000000-0005-0000-0000-0000D0730000}"/>
    <cellStyle name="40% - Accent4 2 2 2 2 4 3" xfId="15823" xr:uid="{00000000-0005-0000-0000-0000D1730000}"/>
    <cellStyle name="40% - Accent4 2 2 2 2 4 3 2" xfId="38425" xr:uid="{00000000-0005-0000-0000-0000D2730000}"/>
    <cellStyle name="40% - Accent4 2 2 2 2 4 4" xfId="27124" xr:uid="{00000000-0005-0000-0000-0000D3730000}"/>
    <cellStyle name="40% - Accent4 2 2 2 2 5" xfId="7318" xr:uid="{00000000-0005-0000-0000-0000D4730000}"/>
    <cellStyle name="40% - Accent4 2 2 2 2 5 2" xfId="18619" xr:uid="{00000000-0005-0000-0000-0000D5730000}"/>
    <cellStyle name="40% - Accent4 2 2 2 2 5 2 2" xfId="41221" xr:uid="{00000000-0005-0000-0000-0000D6730000}"/>
    <cellStyle name="40% - Accent4 2 2 2 2 5 3" xfId="29920" xr:uid="{00000000-0005-0000-0000-0000D7730000}"/>
    <cellStyle name="40% - Accent4 2 2 2 2 6" xfId="12969" xr:uid="{00000000-0005-0000-0000-0000D8730000}"/>
    <cellStyle name="40% - Accent4 2 2 2 2 6 2" xfId="35571" xr:uid="{00000000-0005-0000-0000-0000D9730000}"/>
    <cellStyle name="40% - Accent4 2 2 2 2 7" xfId="24270" xr:uid="{00000000-0005-0000-0000-0000DA730000}"/>
    <cellStyle name="40% - Accent4 2 2 2 3" xfId="1037" xr:uid="{00000000-0005-0000-0000-0000DB730000}"/>
    <cellStyle name="40% - Accent4 2 2 2 3 2" xfId="3100" xr:uid="{00000000-0005-0000-0000-0000DC730000}"/>
    <cellStyle name="40% - Accent4 2 2 2 3 2 2" xfId="6072" xr:uid="{00000000-0005-0000-0000-0000DD730000}"/>
    <cellStyle name="40% - Accent4 2 2 2 3 2 2 2" xfId="11722" xr:uid="{00000000-0005-0000-0000-0000DE730000}"/>
    <cellStyle name="40% - Accent4 2 2 2 3 2 2 2 2" xfId="23023" xr:uid="{00000000-0005-0000-0000-0000DF730000}"/>
    <cellStyle name="40% - Accent4 2 2 2 3 2 2 2 2 2" xfId="45625" xr:uid="{00000000-0005-0000-0000-0000E0730000}"/>
    <cellStyle name="40% - Accent4 2 2 2 3 2 2 2 3" xfId="34324" xr:uid="{00000000-0005-0000-0000-0000E1730000}"/>
    <cellStyle name="40% - Accent4 2 2 2 3 2 2 3" xfId="17373" xr:uid="{00000000-0005-0000-0000-0000E2730000}"/>
    <cellStyle name="40% - Accent4 2 2 2 3 2 2 3 2" xfId="39975" xr:uid="{00000000-0005-0000-0000-0000E3730000}"/>
    <cellStyle name="40% - Accent4 2 2 2 3 2 2 4" xfId="28674" xr:uid="{00000000-0005-0000-0000-0000E4730000}"/>
    <cellStyle name="40% - Accent4 2 2 2 3 2 3" xfId="8890" xr:uid="{00000000-0005-0000-0000-0000E5730000}"/>
    <cellStyle name="40% - Accent4 2 2 2 3 2 3 2" xfId="20191" xr:uid="{00000000-0005-0000-0000-0000E6730000}"/>
    <cellStyle name="40% - Accent4 2 2 2 3 2 3 2 2" xfId="42793" xr:uid="{00000000-0005-0000-0000-0000E7730000}"/>
    <cellStyle name="40% - Accent4 2 2 2 3 2 3 3" xfId="31492" xr:uid="{00000000-0005-0000-0000-0000E8730000}"/>
    <cellStyle name="40% - Accent4 2 2 2 3 2 4" xfId="14541" xr:uid="{00000000-0005-0000-0000-0000E9730000}"/>
    <cellStyle name="40% - Accent4 2 2 2 3 2 4 2" xfId="37143" xr:uid="{00000000-0005-0000-0000-0000EA730000}"/>
    <cellStyle name="40% - Accent4 2 2 2 3 2 5" xfId="25842" xr:uid="{00000000-0005-0000-0000-0000EB730000}"/>
    <cellStyle name="40% - Accent4 2 2 2 3 3" xfId="4838" xr:uid="{00000000-0005-0000-0000-0000EC730000}"/>
    <cellStyle name="40% - Accent4 2 2 2 3 3 2" xfId="10488" xr:uid="{00000000-0005-0000-0000-0000ED730000}"/>
    <cellStyle name="40% - Accent4 2 2 2 3 3 2 2" xfId="21789" xr:uid="{00000000-0005-0000-0000-0000EE730000}"/>
    <cellStyle name="40% - Accent4 2 2 2 3 3 2 2 2" xfId="44391" xr:uid="{00000000-0005-0000-0000-0000EF730000}"/>
    <cellStyle name="40% - Accent4 2 2 2 3 3 2 3" xfId="33090" xr:uid="{00000000-0005-0000-0000-0000F0730000}"/>
    <cellStyle name="40% - Accent4 2 2 2 3 3 3" xfId="16139" xr:uid="{00000000-0005-0000-0000-0000F1730000}"/>
    <cellStyle name="40% - Accent4 2 2 2 3 3 3 2" xfId="38741" xr:uid="{00000000-0005-0000-0000-0000F2730000}"/>
    <cellStyle name="40% - Accent4 2 2 2 3 3 4" xfId="27440" xr:uid="{00000000-0005-0000-0000-0000F3730000}"/>
    <cellStyle name="40% - Accent4 2 2 2 3 4" xfId="7025" xr:uid="{00000000-0005-0000-0000-0000F4730000}"/>
    <cellStyle name="40% - Accent4 2 2 2 3 4 2" xfId="18326" xr:uid="{00000000-0005-0000-0000-0000F5730000}"/>
    <cellStyle name="40% - Accent4 2 2 2 3 4 2 2" xfId="40928" xr:uid="{00000000-0005-0000-0000-0000F6730000}"/>
    <cellStyle name="40% - Accent4 2 2 2 3 4 3" xfId="29627" xr:uid="{00000000-0005-0000-0000-0000F7730000}"/>
    <cellStyle name="40% - Accent4 2 2 2 3 5" xfId="12676" xr:uid="{00000000-0005-0000-0000-0000F8730000}"/>
    <cellStyle name="40% - Accent4 2 2 2 3 5 2" xfId="35278" xr:uid="{00000000-0005-0000-0000-0000F9730000}"/>
    <cellStyle name="40% - Accent4 2 2 2 3 6" xfId="23977" xr:uid="{00000000-0005-0000-0000-0000FA730000}"/>
    <cellStyle name="40% - Accent4 2 2 2 4" xfId="1945" xr:uid="{00000000-0005-0000-0000-0000FB730000}"/>
    <cellStyle name="40% - Accent4 2 2 2 4 2" xfId="3773" xr:uid="{00000000-0005-0000-0000-0000FC730000}"/>
    <cellStyle name="40% - Accent4 2 2 2 4 2 2" xfId="9483" xr:uid="{00000000-0005-0000-0000-0000FD730000}"/>
    <cellStyle name="40% - Accent4 2 2 2 4 2 2 2" xfId="20784" xr:uid="{00000000-0005-0000-0000-0000FE730000}"/>
    <cellStyle name="40% - Accent4 2 2 2 4 2 2 2 2" xfId="43386" xr:uid="{00000000-0005-0000-0000-0000FF730000}"/>
    <cellStyle name="40% - Accent4 2 2 2 4 2 2 3" xfId="32085" xr:uid="{00000000-0005-0000-0000-000000740000}"/>
    <cellStyle name="40% - Accent4 2 2 2 4 2 3" xfId="15134" xr:uid="{00000000-0005-0000-0000-000001740000}"/>
    <cellStyle name="40% - Accent4 2 2 2 4 2 3 2" xfId="37736" xr:uid="{00000000-0005-0000-0000-000002740000}"/>
    <cellStyle name="40% - Accent4 2 2 2 4 2 4" xfId="26435" xr:uid="{00000000-0005-0000-0000-000003740000}"/>
    <cellStyle name="40% - Accent4 2 2 2 4 3" xfId="5448" xr:uid="{00000000-0005-0000-0000-000004740000}"/>
    <cellStyle name="40% - Accent4 2 2 2 4 3 2" xfId="11098" xr:uid="{00000000-0005-0000-0000-000005740000}"/>
    <cellStyle name="40% - Accent4 2 2 2 4 3 2 2" xfId="22399" xr:uid="{00000000-0005-0000-0000-000006740000}"/>
    <cellStyle name="40% - Accent4 2 2 2 4 3 2 2 2" xfId="45001" xr:uid="{00000000-0005-0000-0000-000007740000}"/>
    <cellStyle name="40% - Accent4 2 2 2 4 3 2 3" xfId="33700" xr:uid="{00000000-0005-0000-0000-000008740000}"/>
    <cellStyle name="40% - Accent4 2 2 2 4 3 3" xfId="16749" xr:uid="{00000000-0005-0000-0000-000009740000}"/>
    <cellStyle name="40% - Accent4 2 2 2 4 3 3 2" xfId="39351" xr:uid="{00000000-0005-0000-0000-00000A740000}"/>
    <cellStyle name="40% - Accent4 2 2 2 4 3 4" xfId="28050" xr:uid="{00000000-0005-0000-0000-00000B740000}"/>
    <cellStyle name="40% - Accent4 2 2 2 4 4" xfId="7801" xr:uid="{00000000-0005-0000-0000-00000C740000}"/>
    <cellStyle name="40% - Accent4 2 2 2 4 4 2" xfId="19102" xr:uid="{00000000-0005-0000-0000-00000D740000}"/>
    <cellStyle name="40% - Accent4 2 2 2 4 4 2 2" xfId="41704" xr:uid="{00000000-0005-0000-0000-00000E740000}"/>
    <cellStyle name="40% - Accent4 2 2 2 4 4 3" xfId="30403" xr:uid="{00000000-0005-0000-0000-00000F740000}"/>
    <cellStyle name="40% - Accent4 2 2 2 4 5" xfId="13452" xr:uid="{00000000-0005-0000-0000-000010740000}"/>
    <cellStyle name="40% - Accent4 2 2 2 4 5 2" xfId="36054" xr:uid="{00000000-0005-0000-0000-000011740000}"/>
    <cellStyle name="40% - Accent4 2 2 2 4 6" xfId="24753" xr:uid="{00000000-0005-0000-0000-000012740000}"/>
    <cellStyle name="40% - Accent4 2 2 2 5" xfId="2429" xr:uid="{00000000-0005-0000-0000-000013740000}"/>
    <cellStyle name="40% - Accent4 2 2 2 5 2" xfId="8265" xr:uid="{00000000-0005-0000-0000-000014740000}"/>
    <cellStyle name="40% - Accent4 2 2 2 5 2 2" xfId="19566" xr:uid="{00000000-0005-0000-0000-000015740000}"/>
    <cellStyle name="40% - Accent4 2 2 2 5 2 2 2" xfId="42168" xr:uid="{00000000-0005-0000-0000-000016740000}"/>
    <cellStyle name="40% - Accent4 2 2 2 5 2 3" xfId="30867" xr:uid="{00000000-0005-0000-0000-000017740000}"/>
    <cellStyle name="40% - Accent4 2 2 2 5 3" xfId="13916" xr:uid="{00000000-0005-0000-0000-000018740000}"/>
    <cellStyle name="40% - Accent4 2 2 2 5 3 2" xfId="36518" xr:uid="{00000000-0005-0000-0000-000019740000}"/>
    <cellStyle name="40% - Accent4 2 2 2 5 4" xfId="25217" xr:uid="{00000000-0005-0000-0000-00001A740000}"/>
    <cellStyle name="40% - Accent4 2 2 2 6" xfId="4214" xr:uid="{00000000-0005-0000-0000-00001B740000}"/>
    <cellStyle name="40% - Accent4 2 2 2 6 2" xfId="9864" xr:uid="{00000000-0005-0000-0000-00001C740000}"/>
    <cellStyle name="40% - Accent4 2 2 2 6 2 2" xfId="21165" xr:uid="{00000000-0005-0000-0000-00001D740000}"/>
    <cellStyle name="40% - Accent4 2 2 2 6 2 2 2" xfId="43767" xr:uid="{00000000-0005-0000-0000-00001E740000}"/>
    <cellStyle name="40% - Accent4 2 2 2 6 2 3" xfId="32466" xr:uid="{00000000-0005-0000-0000-00001F740000}"/>
    <cellStyle name="40% - Accent4 2 2 2 6 3" xfId="15515" xr:uid="{00000000-0005-0000-0000-000020740000}"/>
    <cellStyle name="40% - Accent4 2 2 2 6 3 2" xfId="38117" xr:uid="{00000000-0005-0000-0000-000021740000}"/>
    <cellStyle name="40% - Accent4 2 2 2 6 4" xfId="26816" xr:uid="{00000000-0005-0000-0000-000022740000}"/>
    <cellStyle name="40% - Accent4 2 2 2 7" xfId="6694" xr:uid="{00000000-0005-0000-0000-000023740000}"/>
    <cellStyle name="40% - Accent4 2 2 2 7 2" xfId="17995" xr:uid="{00000000-0005-0000-0000-000024740000}"/>
    <cellStyle name="40% - Accent4 2 2 2 7 2 2" xfId="40597" xr:uid="{00000000-0005-0000-0000-000025740000}"/>
    <cellStyle name="40% - Accent4 2 2 2 7 3" xfId="29296" xr:uid="{00000000-0005-0000-0000-000026740000}"/>
    <cellStyle name="40% - Accent4 2 2 2 8" xfId="12345" xr:uid="{00000000-0005-0000-0000-000027740000}"/>
    <cellStyle name="40% - Accent4 2 2 2 8 2" xfId="34947" xr:uid="{00000000-0005-0000-0000-000028740000}"/>
    <cellStyle name="40% - Accent4 2 2 2 9" xfId="23646" xr:uid="{00000000-0005-0000-0000-000029740000}"/>
    <cellStyle name="40% - Accent4 2 2 3" xfId="1201" xr:uid="{00000000-0005-0000-0000-00002A740000}"/>
    <cellStyle name="40% - Accent4 2 2 3 2" xfId="1947" xr:uid="{00000000-0005-0000-0000-00002B740000}"/>
    <cellStyle name="40% - Accent4 2 2 3 2 2" xfId="3269" xr:uid="{00000000-0005-0000-0000-00002C740000}"/>
    <cellStyle name="40% - Accent4 2 2 3 2 2 2" xfId="6241" xr:uid="{00000000-0005-0000-0000-00002D740000}"/>
    <cellStyle name="40% - Accent4 2 2 3 2 2 2 2" xfId="11891" xr:uid="{00000000-0005-0000-0000-00002E740000}"/>
    <cellStyle name="40% - Accent4 2 2 3 2 2 2 2 2" xfId="23192" xr:uid="{00000000-0005-0000-0000-00002F740000}"/>
    <cellStyle name="40% - Accent4 2 2 3 2 2 2 2 2 2" xfId="45794" xr:uid="{00000000-0005-0000-0000-000030740000}"/>
    <cellStyle name="40% - Accent4 2 2 3 2 2 2 2 3" xfId="34493" xr:uid="{00000000-0005-0000-0000-000031740000}"/>
    <cellStyle name="40% - Accent4 2 2 3 2 2 2 3" xfId="17542" xr:uid="{00000000-0005-0000-0000-000032740000}"/>
    <cellStyle name="40% - Accent4 2 2 3 2 2 2 3 2" xfId="40144" xr:uid="{00000000-0005-0000-0000-000033740000}"/>
    <cellStyle name="40% - Accent4 2 2 3 2 2 2 4" xfId="28843" xr:uid="{00000000-0005-0000-0000-000034740000}"/>
    <cellStyle name="40% - Accent4 2 2 3 2 2 3" xfId="9059" xr:uid="{00000000-0005-0000-0000-000035740000}"/>
    <cellStyle name="40% - Accent4 2 2 3 2 2 3 2" xfId="20360" xr:uid="{00000000-0005-0000-0000-000036740000}"/>
    <cellStyle name="40% - Accent4 2 2 3 2 2 3 2 2" xfId="42962" xr:uid="{00000000-0005-0000-0000-000037740000}"/>
    <cellStyle name="40% - Accent4 2 2 3 2 2 3 3" xfId="31661" xr:uid="{00000000-0005-0000-0000-000038740000}"/>
    <cellStyle name="40% - Accent4 2 2 3 2 2 4" xfId="14710" xr:uid="{00000000-0005-0000-0000-000039740000}"/>
    <cellStyle name="40% - Accent4 2 2 3 2 2 4 2" xfId="37312" xr:uid="{00000000-0005-0000-0000-00003A740000}"/>
    <cellStyle name="40% - Accent4 2 2 3 2 2 5" xfId="26011" xr:uid="{00000000-0005-0000-0000-00003B740000}"/>
    <cellStyle name="40% - Accent4 2 2 3 2 3" xfId="5007" xr:uid="{00000000-0005-0000-0000-00003C740000}"/>
    <cellStyle name="40% - Accent4 2 2 3 2 3 2" xfId="10657" xr:uid="{00000000-0005-0000-0000-00003D740000}"/>
    <cellStyle name="40% - Accent4 2 2 3 2 3 2 2" xfId="21958" xr:uid="{00000000-0005-0000-0000-00003E740000}"/>
    <cellStyle name="40% - Accent4 2 2 3 2 3 2 2 2" xfId="44560" xr:uid="{00000000-0005-0000-0000-00003F740000}"/>
    <cellStyle name="40% - Accent4 2 2 3 2 3 2 3" xfId="33259" xr:uid="{00000000-0005-0000-0000-000040740000}"/>
    <cellStyle name="40% - Accent4 2 2 3 2 3 3" xfId="16308" xr:uid="{00000000-0005-0000-0000-000041740000}"/>
    <cellStyle name="40% - Accent4 2 2 3 2 3 3 2" xfId="38910" xr:uid="{00000000-0005-0000-0000-000042740000}"/>
    <cellStyle name="40% - Accent4 2 2 3 2 3 4" xfId="27609" xr:uid="{00000000-0005-0000-0000-000043740000}"/>
    <cellStyle name="40% - Accent4 2 2 3 2 4" xfId="7803" xr:uid="{00000000-0005-0000-0000-000044740000}"/>
    <cellStyle name="40% - Accent4 2 2 3 2 4 2" xfId="19104" xr:uid="{00000000-0005-0000-0000-000045740000}"/>
    <cellStyle name="40% - Accent4 2 2 3 2 4 2 2" xfId="41706" xr:uid="{00000000-0005-0000-0000-000046740000}"/>
    <cellStyle name="40% - Accent4 2 2 3 2 4 3" xfId="30405" xr:uid="{00000000-0005-0000-0000-000047740000}"/>
    <cellStyle name="40% - Accent4 2 2 3 2 5" xfId="13454" xr:uid="{00000000-0005-0000-0000-000048740000}"/>
    <cellStyle name="40% - Accent4 2 2 3 2 5 2" xfId="36056" xr:uid="{00000000-0005-0000-0000-000049740000}"/>
    <cellStyle name="40% - Accent4 2 2 3 2 6" xfId="24755" xr:uid="{00000000-0005-0000-0000-00004A740000}"/>
    <cellStyle name="40% - Accent4 2 2 3 3" xfId="2598" xr:uid="{00000000-0005-0000-0000-00004B740000}"/>
    <cellStyle name="40% - Accent4 2 2 3 3 2" xfId="5617" xr:uid="{00000000-0005-0000-0000-00004C740000}"/>
    <cellStyle name="40% - Accent4 2 2 3 3 2 2" xfId="11267" xr:uid="{00000000-0005-0000-0000-00004D740000}"/>
    <cellStyle name="40% - Accent4 2 2 3 3 2 2 2" xfId="22568" xr:uid="{00000000-0005-0000-0000-00004E740000}"/>
    <cellStyle name="40% - Accent4 2 2 3 3 2 2 2 2" xfId="45170" xr:uid="{00000000-0005-0000-0000-00004F740000}"/>
    <cellStyle name="40% - Accent4 2 2 3 3 2 2 3" xfId="33869" xr:uid="{00000000-0005-0000-0000-000050740000}"/>
    <cellStyle name="40% - Accent4 2 2 3 3 2 3" xfId="16918" xr:uid="{00000000-0005-0000-0000-000051740000}"/>
    <cellStyle name="40% - Accent4 2 2 3 3 2 3 2" xfId="39520" xr:uid="{00000000-0005-0000-0000-000052740000}"/>
    <cellStyle name="40% - Accent4 2 2 3 3 2 4" xfId="28219" xr:uid="{00000000-0005-0000-0000-000053740000}"/>
    <cellStyle name="40% - Accent4 2 2 3 3 3" xfId="8434" xr:uid="{00000000-0005-0000-0000-000054740000}"/>
    <cellStyle name="40% - Accent4 2 2 3 3 3 2" xfId="19735" xr:uid="{00000000-0005-0000-0000-000055740000}"/>
    <cellStyle name="40% - Accent4 2 2 3 3 3 2 2" xfId="42337" xr:uid="{00000000-0005-0000-0000-000056740000}"/>
    <cellStyle name="40% - Accent4 2 2 3 3 3 3" xfId="31036" xr:uid="{00000000-0005-0000-0000-000057740000}"/>
    <cellStyle name="40% - Accent4 2 2 3 3 4" xfId="14085" xr:uid="{00000000-0005-0000-0000-000058740000}"/>
    <cellStyle name="40% - Accent4 2 2 3 3 4 2" xfId="36687" xr:uid="{00000000-0005-0000-0000-000059740000}"/>
    <cellStyle name="40% - Accent4 2 2 3 3 5" xfId="25386" xr:uid="{00000000-0005-0000-0000-00005A740000}"/>
    <cellStyle name="40% - Accent4 2 2 3 4" xfId="4383" xr:uid="{00000000-0005-0000-0000-00005B740000}"/>
    <cellStyle name="40% - Accent4 2 2 3 4 2" xfId="10033" xr:uid="{00000000-0005-0000-0000-00005C740000}"/>
    <cellStyle name="40% - Accent4 2 2 3 4 2 2" xfId="21334" xr:uid="{00000000-0005-0000-0000-00005D740000}"/>
    <cellStyle name="40% - Accent4 2 2 3 4 2 2 2" xfId="43936" xr:uid="{00000000-0005-0000-0000-00005E740000}"/>
    <cellStyle name="40% - Accent4 2 2 3 4 2 3" xfId="32635" xr:uid="{00000000-0005-0000-0000-00005F740000}"/>
    <cellStyle name="40% - Accent4 2 2 3 4 3" xfId="15684" xr:uid="{00000000-0005-0000-0000-000060740000}"/>
    <cellStyle name="40% - Accent4 2 2 3 4 3 2" xfId="38286" xr:uid="{00000000-0005-0000-0000-000061740000}"/>
    <cellStyle name="40% - Accent4 2 2 3 4 4" xfId="26985" xr:uid="{00000000-0005-0000-0000-000062740000}"/>
    <cellStyle name="40% - Accent4 2 2 3 5" xfId="7180" xr:uid="{00000000-0005-0000-0000-000063740000}"/>
    <cellStyle name="40% - Accent4 2 2 3 5 2" xfId="18481" xr:uid="{00000000-0005-0000-0000-000064740000}"/>
    <cellStyle name="40% - Accent4 2 2 3 5 2 2" xfId="41083" xr:uid="{00000000-0005-0000-0000-000065740000}"/>
    <cellStyle name="40% - Accent4 2 2 3 5 3" xfId="29782" xr:uid="{00000000-0005-0000-0000-000066740000}"/>
    <cellStyle name="40% - Accent4 2 2 3 6" xfId="12831" xr:uid="{00000000-0005-0000-0000-000067740000}"/>
    <cellStyle name="40% - Accent4 2 2 3 6 2" xfId="35433" xr:uid="{00000000-0005-0000-0000-000068740000}"/>
    <cellStyle name="40% - Accent4 2 2 3 7" xfId="24132" xr:uid="{00000000-0005-0000-0000-000069740000}"/>
    <cellStyle name="40% - Accent4 2 2 4" xfId="891" xr:uid="{00000000-0005-0000-0000-00006A740000}"/>
    <cellStyle name="40% - Accent4 2 2 4 2" xfId="2962" xr:uid="{00000000-0005-0000-0000-00006B740000}"/>
    <cellStyle name="40% - Accent4 2 2 4 2 2" xfId="5934" xr:uid="{00000000-0005-0000-0000-00006C740000}"/>
    <cellStyle name="40% - Accent4 2 2 4 2 2 2" xfId="11584" xr:uid="{00000000-0005-0000-0000-00006D740000}"/>
    <cellStyle name="40% - Accent4 2 2 4 2 2 2 2" xfId="22885" xr:uid="{00000000-0005-0000-0000-00006E740000}"/>
    <cellStyle name="40% - Accent4 2 2 4 2 2 2 2 2" xfId="45487" xr:uid="{00000000-0005-0000-0000-00006F740000}"/>
    <cellStyle name="40% - Accent4 2 2 4 2 2 2 3" xfId="34186" xr:uid="{00000000-0005-0000-0000-000070740000}"/>
    <cellStyle name="40% - Accent4 2 2 4 2 2 3" xfId="17235" xr:uid="{00000000-0005-0000-0000-000071740000}"/>
    <cellStyle name="40% - Accent4 2 2 4 2 2 3 2" xfId="39837" xr:uid="{00000000-0005-0000-0000-000072740000}"/>
    <cellStyle name="40% - Accent4 2 2 4 2 2 4" xfId="28536" xr:uid="{00000000-0005-0000-0000-000073740000}"/>
    <cellStyle name="40% - Accent4 2 2 4 2 3" xfId="8752" xr:uid="{00000000-0005-0000-0000-000074740000}"/>
    <cellStyle name="40% - Accent4 2 2 4 2 3 2" xfId="20053" xr:uid="{00000000-0005-0000-0000-000075740000}"/>
    <cellStyle name="40% - Accent4 2 2 4 2 3 2 2" xfId="42655" xr:uid="{00000000-0005-0000-0000-000076740000}"/>
    <cellStyle name="40% - Accent4 2 2 4 2 3 3" xfId="31354" xr:uid="{00000000-0005-0000-0000-000077740000}"/>
    <cellStyle name="40% - Accent4 2 2 4 2 4" xfId="14403" xr:uid="{00000000-0005-0000-0000-000078740000}"/>
    <cellStyle name="40% - Accent4 2 2 4 2 4 2" xfId="37005" xr:uid="{00000000-0005-0000-0000-000079740000}"/>
    <cellStyle name="40% - Accent4 2 2 4 2 5" xfId="25704" xr:uid="{00000000-0005-0000-0000-00007A740000}"/>
    <cellStyle name="40% - Accent4 2 2 4 3" xfId="4700" xr:uid="{00000000-0005-0000-0000-00007B740000}"/>
    <cellStyle name="40% - Accent4 2 2 4 3 2" xfId="10350" xr:uid="{00000000-0005-0000-0000-00007C740000}"/>
    <cellStyle name="40% - Accent4 2 2 4 3 2 2" xfId="21651" xr:uid="{00000000-0005-0000-0000-00007D740000}"/>
    <cellStyle name="40% - Accent4 2 2 4 3 2 2 2" xfId="44253" xr:uid="{00000000-0005-0000-0000-00007E740000}"/>
    <cellStyle name="40% - Accent4 2 2 4 3 2 3" xfId="32952" xr:uid="{00000000-0005-0000-0000-00007F740000}"/>
    <cellStyle name="40% - Accent4 2 2 4 3 3" xfId="16001" xr:uid="{00000000-0005-0000-0000-000080740000}"/>
    <cellStyle name="40% - Accent4 2 2 4 3 3 2" xfId="38603" xr:uid="{00000000-0005-0000-0000-000081740000}"/>
    <cellStyle name="40% - Accent4 2 2 4 3 4" xfId="27302" xr:uid="{00000000-0005-0000-0000-000082740000}"/>
    <cellStyle name="40% - Accent4 2 2 4 4" xfId="6887" xr:uid="{00000000-0005-0000-0000-000083740000}"/>
    <cellStyle name="40% - Accent4 2 2 4 4 2" xfId="18188" xr:uid="{00000000-0005-0000-0000-000084740000}"/>
    <cellStyle name="40% - Accent4 2 2 4 4 2 2" xfId="40790" xr:uid="{00000000-0005-0000-0000-000085740000}"/>
    <cellStyle name="40% - Accent4 2 2 4 4 3" xfId="29489" xr:uid="{00000000-0005-0000-0000-000086740000}"/>
    <cellStyle name="40% - Accent4 2 2 4 5" xfId="12538" xr:uid="{00000000-0005-0000-0000-000087740000}"/>
    <cellStyle name="40% - Accent4 2 2 4 5 2" xfId="35140" xr:uid="{00000000-0005-0000-0000-000088740000}"/>
    <cellStyle name="40% - Accent4 2 2 4 6" xfId="23839" xr:uid="{00000000-0005-0000-0000-000089740000}"/>
    <cellStyle name="40% - Accent4 2 2 5" xfId="1944" xr:uid="{00000000-0005-0000-0000-00008A740000}"/>
    <cellStyle name="40% - Accent4 2 2 5 2" xfId="3772" xr:uid="{00000000-0005-0000-0000-00008B740000}"/>
    <cellStyle name="40% - Accent4 2 2 5 2 2" xfId="9482" xr:uid="{00000000-0005-0000-0000-00008C740000}"/>
    <cellStyle name="40% - Accent4 2 2 5 2 2 2" xfId="20783" xr:uid="{00000000-0005-0000-0000-00008D740000}"/>
    <cellStyle name="40% - Accent4 2 2 5 2 2 2 2" xfId="43385" xr:uid="{00000000-0005-0000-0000-00008E740000}"/>
    <cellStyle name="40% - Accent4 2 2 5 2 2 3" xfId="32084" xr:uid="{00000000-0005-0000-0000-00008F740000}"/>
    <cellStyle name="40% - Accent4 2 2 5 2 3" xfId="15133" xr:uid="{00000000-0005-0000-0000-000090740000}"/>
    <cellStyle name="40% - Accent4 2 2 5 2 3 2" xfId="37735" xr:uid="{00000000-0005-0000-0000-000091740000}"/>
    <cellStyle name="40% - Accent4 2 2 5 2 4" xfId="26434" xr:uid="{00000000-0005-0000-0000-000092740000}"/>
    <cellStyle name="40% - Accent4 2 2 5 3" xfId="5310" xr:uid="{00000000-0005-0000-0000-000093740000}"/>
    <cellStyle name="40% - Accent4 2 2 5 3 2" xfId="10960" xr:uid="{00000000-0005-0000-0000-000094740000}"/>
    <cellStyle name="40% - Accent4 2 2 5 3 2 2" xfId="22261" xr:uid="{00000000-0005-0000-0000-000095740000}"/>
    <cellStyle name="40% - Accent4 2 2 5 3 2 2 2" xfId="44863" xr:uid="{00000000-0005-0000-0000-000096740000}"/>
    <cellStyle name="40% - Accent4 2 2 5 3 2 3" xfId="33562" xr:uid="{00000000-0005-0000-0000-000097740000}"/>
    <cellStyle name="40% - Accent4 2 2 5 3 3" xfId="16611" xr:uid="{00000000-0005-0000-0000-000098740000}"/>
    <cellStyle name="40% - Accent4 2 2 5 3 3 2" xfId="39213" xr:uid="{00000000-0005-0000-0000-000099740000}"/>
    <cellStyle name="40% - Accent4 2 2 5 3 4" xfId="27912" xr:uid="{00000000-0005-0000-0000-00009A740000}"/>
    <cellStyle name="40% - Accent4 2 2 5 4" xfId="7800" xr:uid="{00000000-0005-0000-0000-00009B740000}"/>
    <cellStyle name="40% - Accent4 2 2 5 4 2" xfId="19101" xr:uid="{00000000-0005-0000-0000-00009C740000}"/>
    <cellStyle name="40% - Accent4 2 2 5 4 2 2" xfId="41703" xr:uid="{00000000-0005-0000-0000-00009D740000}"/>
    <cellStyle name="40% - Accent4 2 2 5 4 3" xfId="30402" xr:uid="{00000000-0005-0000-0000-00009E740000}"/>
    <cellStyle name="40% - Accent4 2 2 5 5" xfId="13451" xr:uid="{00000000-0005-0000-0000-00009F740000}"/>
    <cellStyle name="40% - Accent4 2 2 5 5 2" xfId="36053" xr:uid="{00000000-0005-0000-0000-0000A0740000}"/>
    <cellStyle name="40% - Accent4 2 2 5 6" xfId="24752" xr:uid="{00000000-0005-0000-0000-0000A1740000}"/>
    <cellStyle name="40% - Accent4 2 2 6" xfId="2289" xr:uid="{00000000-0005-0000-0000-0000A2740000}"/>
    <cellStyle name="40% - Accent4 2 2 6 2" xfId="8125" xr:uid="{00000000-0005-0000-0000-0000A3740000}"/>
    <cellStyle name="40% - Accent4 2 2 6 2 2" xfId="19426" xr:uid="{00000000-0005-0000-0000-0000A4740000}"/>
    <cellStyle name="40% - Accent4 2 2 6 2 2 2" xfId="42028" xr:uid="{00000000-0005-0000-0000-0000A5740000}"/>
    <cellStyle name="40% - Accent4 2 2 6 2 3" xfId="30727" xr:uid="{00000000-0005-0000-0000-0000A6740000}"/>
    <cellStyle name="40% - Accent4 2 2 6 3" xfId="13776" xr:uid="{00000000-0005-0000-0000-0000A7740000}"/>
    <cellStyle name="40% - Accent4 2 2 6 3 2" xfId="36378" xr:uid="{00000000-0005-0000-0000-0000A8740000}"/>
    <cellStyle name="40% - Accent4 2 2 6 4" xfId="25077" xr:uid="{00000000-0005-0000-0000-0000A9740000}"/>
    <cellStyle name="40% - Accent4 2 2 7" xfId="4076" xr:uid="{00000000-0005-0000-0000-0000AA740000}"/>
    <cellStyle name="40% - Accent4 2 2 7 2" xfId="9726" xr:uid="{00000000-0005-0000-0000-0000AB740000}"/>
    <cellStyle name="40% - Accent4 2 2 7 2 2" xfId="21027" xr:uid="{00000000-0005-0000-0000-0000AC740000}"/>
    <cellStyle name="40% - Accent4 2 2 7 2 2 2" xfId="43629" xr:uid="{00000000-0005-0000-0000-0000AD740000}"/>
    <cellStyle name="40% - Accent4 2 2 7 2 3" xfId="32328" xr:uid="{00000000-0005-0000-0000-0000AE740000}"/>
    <cellStyle name="40% - Accent4 2 2 7 3" xfId="15377" xr:uid="{00000000-0005-0000-0000-0000AF740000}"/>
    <cellStyle name="40% - Accent4 2 2 7 3 2" xfId="37979" xr:uid="{00000000-0005-0000-0000-0000B0740000}"/>
    <cellStyle name="40% - Accent4 2 2 7 4" xfId="26678" xr:uid="{00000000-0005-0000-0000-0000B1740000}"/>
    <cellStyle name="40% - Accent4 2 2 8" xfId="6527" xr:uid="{00000000-0005-0000-0000-0000B2740000}"/>
    <cellStyle name="40% - Accent4 2 2 8 2" xfId="17828" xr:uid="{00000000-0005-0000-0000-0000B3740000}"/>
    <cellStyle name="40% - Accent4 2 2 8 2 2" xfId="40430" xr:uid="{00000000-0005-0000-0000-0000B4740000}"/>
    <cellStyle name="40% - Accent4 2 2 8 3" xfId="29129" xr:uid="{00000000-0005-0000-0000-0000B5740000}"/>
    <cellStyle name="40% - Accent4 2 2 9" xfId="12178" xr:uid="{00000000-0005-0000-0000-0000B6740000}"/>
    <cellStyle name="40% - Accent4 2 2 9 2" xfId="34780" xr:uid="{00000000-0005-0000-0000-0000B7740000}"/>
    <cellStyle name="40% - Accent4 2 3" xfId="2819" xr:uid="{00000000-0005-0000-0000-0000B8740000}"/>
    <cellStyle name="40% - Accent4 2 3 2" xfId="3920" xr:uid="{00000000-0005-0000-0000-0000B9740000}"/>
    <cellStyle name="40% - Accent4 2 3 2 2" xfId="5834" xr:uid="{00000000-0005-0000-0000-0000BA740000}"/>
    <cellStyle name="40% - Accent4 2 3 2 2 2" xfId="11484" xr:uid="{00000000-0005-0000-0000-0000BB740000}"/>
    <cellStyle name="40% - Accent4 2 3 2 2 2 2" xfId="22785" xr:uid="{00000000-0005-0000-0000-0000BC740000}"/>
    <cellStyle name="40% - Accent4 2 3 2 2 2 2 2" xfId="45387" xr:uid="{00000000-0005-0000-0000-0000BD740000}"/>
    <cellStyle name="40% - Accent4 2 3 2 2 2 3" xfId="34086" xr:uid="{00000000-0005-0000-0000-0000BE740000}"/>
    <cellStyle name="40% - Accent4 2 3 2 2 3" xfId="17135" xr:uid="{00000000-0005-0000-0000-0000BF740000}"/>
    <cellStyle name="40% - Accent4 2 3 2 2 3 2" xfId="39737" xr:uid="{00000000-0005-0000-0000-0000C0740000}"/>
    <cellStyle name="40% - Accent4 2 3 2 2 4" xfId="28436" xr:uid="{00000000-0005-0000-0000-0000C1740000}"/>
    <cellStyle name="40% - Accent4 2 3 2 3" xfId="9607" xr:uid="{00000000-0005-0000-0000-0000C2740000}"/>
    <cellStyle name="40% - Accent4 2 3 2 3 2" xfId="20908" xr:uid="{00000000-0005-0000-0000-0000C3740000}"/>
    <cellStyle name="40% - Accent4 2 3 2 3 2 2" xfId="43510" xr:uid="{00000000-0005-0000-0000-0000C4740000}"/>
    <cellStyle name="40% - Accent4 2 3 2 3 3" xfId="32209" xr:uid="{00000000-0005-0000-0000-0000C5740000}"/>
    <cellStyle name="40% - Accent4 2 3 2 4" xfId="15258" xr:uid="{00000000-0005-0000-0000-0000C6740000}"/>
    <cellStyle name="40% - Accent4 2 3 2 4 2" xfId="37860" xr:uid="{00000000-0005-0000-0000-0000C7740000}"/>
    <cellStyle name="40% - Accent4 2 3 2 5" xfId="26559" xr:uid="{00000000-0005-0000-0000-0000C8740000}"/>
    <cellStyle name="40% - Accent4 2 3 3" xfId="4600" xr:uid="{00000000-0005-0000-0000-0000C9740000}"/>
    <cellStyle name="40% - Accent4 2 3 3 2" xfId="10250" xr:uid="{00000000-0005-0000-0000-0000CA740000}"/>
    <cellStyle name="40% - Accent4 2 3 3 2 2" xfId="21551" xr:uid="{00000000-0005-0000-0000-0000CB740000}"/>
    <cellStyle name="40% - Accent4 2 3 3 2 2 2" xfId="44153" xr:uid="{00000000-0005-0000-0000-0000CC740000}"/>
    <cellStyle name="40% - Accent4 2 3 3 2 3" xfId="32852" xr:uid="{00000000-0005-0000-0000-0000CD740000}"/>
    <cellStyle name="40% - Accent4 2 3 3 3" xfId="15901" xr:uid="{00000000-0005-0000-0000-0000CE740000}"/>
    <cellStyle name="40% - Accent4 2 3 3 3 2" xfId="38503" xr:uid="{00000000-0005-0000-0000-0000CF740000}"/>
    <cellStyle name="40% - Accent4 2 3 3 4" xfId="27202" xr:uid="{00000000-0005-0000-0000-0000D0740000}"/>
    <cellStyle name="40% - Accent4 2 3 4" xfId="8652" xr:uid="{00000000-0005-0000-0000-0000D1740000}"/>
    <cellStyle name="40% - Accent4 2 3 4 2" xfId="19953" xr:uid="{00000000-0005-0000-0000-0000D2740000}"/>
    <cellStyle name="40% - Accent4 2 3 4 2 2" xfId="42555" xr:uid="{00000000-0005-0000-0000-0000D3740000}"/>
    <cellStyle name="40% - Accent4 2 3 4 3" xfId="31254" xr:uid="{00000000-0005-0000-0000-0000D4740000}"/>
    <cellStyle name="40% - Accent4 2 3 5" xfId="14303" xr:uid="{00000000-0005-0000-0000-0000D5740000}"/>
    <cellStyle name="40% - Accent4 2 3 5 2" xfId="36905" xr:uid="{00000000-0005-0000-0000-0000D6740000}"/>
    <cellStyle name="40% - Accent4 2 3 6" xfId="25604" xr:uid="{00000000-0005-0000-0000-0000D7740000}"/>
    <cellStyle name="40% - Accent4 2 4" xfId="2830" xr:uid="{00000000-0005-0000-0000-0000D8740000}"/>
    <cellStyle name="40% - Accent4 2 5" xfId="3940" xr:uid="{00000000-0005-0000-0000-0000D9740000}"/>
    <cellStyle name="40% - Accent4 2 5 2" xfId="9612" xr:uid="{00000000-0005-0000-0000-0000DA740000}"/>
    <cellStyle name="40% - Accent4 2 5 2 2" xfId="20913" xr:uid="{00000000-0005-0000-0000-0000DB740000}"/>
    <cellStyle name="40% - Accent4 2 5 2 2 2" xfId="43515" xr:uid="{00000000-0005-0000-0000-0000DC740000}"/>
    <cellStyle name="40% - Accent4 2 5 2 3" xfId="32214" xr:uid="{00000000-0005-0000-0000-0000DD740000}"/>
    <cellStyle name="40% - Accent4 2 5 3" xfId="15263" xr:uid="{00000000-0005-0000-0000-0000DE740000}"/>
    <cellStyle name="40% - Accent4 2 5 3 2" xfId="37865" xr:uid="{00000000-0005-0000-0000-0000DF740000}"/>
    <cellStyle name="40% - Accent4 2 5 4" xfId="26564" xr:uid="{00000000-0005-0000-0000-0000E0740000}"/>
    <cellStyle name="40% - Accent4 2 6" xfId="3567" xr:uid="{00000000-0005-0000-0000-0000E1740000}"/>
    <cellStyle name="40% - Accent4 2 7" xfId="150" xr:uid="{00000000-0005-0000-0000-0000E2740000}"/>
    <cellStyle name="40% - Accent4 3" xfId="220" xr:uid="{00000000-0005-0000-0000-0000E3740000}"/>
    <cellStyle name="40% - Accent4 3 2" xfId="347" xr:uid="{00000000-0005-0000-0000-0000E4740000}"/>
    <cellStyle name="40% - Accent4 3 2 10" xfId="23457" xr:uid="{00000000-0005-0000-0000-0000E5740000}"/>
    <cellStyle name="40% - Accent4 3 2 2" xfId="607" xr:uid="{00000000-0005-0000-0000-0000E6740000}"/>
    <cellStyle name="40% - Accent4 3 2 2 2" xfId="1317" xr:uid="{00000000-0005-0000-0000-0000E7740000}"/>
    <cellStyle name="40% - Accent4 3 2 2 2 2" xfId="1950" xr:uid="{00000000-0005-0000-0000-0000E8740000}"/>
    <cellStyle name="40% - Accent4 3 2 2 2 2 2" xfId="3386" xr:uid="{00000000-0005-0000-0000-0000E9740000}"/>
    <cellStyle name="40% - Accent4 3 2 2 2 2 2 2" xfId="6358" xr:uid="{00000000-0005-0000-0000-0000EA740000}"/>
    <cellStyle name="40% - Accent4 3 2 2 2 2 2 2 2" xfId="12008" xr:uid="{00000000-0005-0000-0000-0000EB740000}"/>
    <cellStyle name="40% - Accent4 3 2 2 2 2 2 2 2 2" xfId="23309" xr:uid="{00000000-0005-0000-0000-0000EC740000}"/>
    <cellStyle name="40% - Accent4 3 2 2 2 2 2 2 2 2 2" xfId="45911" xr:uid="{00000000-0005-0000-0000-0000ED740000}"/>
    <cellStyle name="40% - Accent4 3 2 2 2 2 2 2 2 3" xfId="34610" xr:uid="{00000000-0005-0000-0000-0000EE740000}"/>
    <cellStyle name="40% - Accent4 3 2 2 2 2 2 2 3" xfId="17659" xr:uid="{00000000-0005-0000-0000-0000EF740000}"/>
    <cellStyle name="40% - Accent4 3 2 2 2 2 2 2 3 2" xfId="40261" xr:uid="{00000000-0005-0000-0000-0000F0740000}"/>
    <cellStyle name="40% - Accent4 3 2 2 2 2 2 2 4" xfId="28960" xr:uid="{00000000-0005-0000-0000-0000F1740000}"/>
    <cellStyle name="40% - Accent4 3 2 2 2 2 2 3" xfId="9176" xr:uid="{00000000-0005-0000-0000-0000F2740000}"/>
    <cellStyle name="40% - Accent4 3 2 2 2 2 2 3 2" xfId="20477" xr:uid="{00000000-0005-0000-0000-0000F3740000}"/>
    <cellStyle name="40% - Accent4 3 2 2 2 2 2 3 2 2" xfId="43079" xr:uid="{00000000-0005-0000-0000-0000F4740000}"/>
    <cellStyle name="40% - Accent4 3 2 2 2 2 2 3 3" xfId="31778" xr:uid="{00000000-0005-0000-0000-0000F5740000}"/>
    <cellStyle name="40% - Accent4 3 2 2 2 2 2 4" xfId="14827" xr:uid="{00000000-0005-0000-0000-0000F6740000}"/>
    <cellStyle name="40% - Accent4 3 2 2 2 2 2 4 2" xfId="37429" xr:uid="{00000000-0005-0000-0000-0000F7740000}"/>
    <cellStyle name="40% - Accent4 3 2 2 2 2 2 5" xfId="26128" xr:uid="{00000000-0005-0000-0000-0000F8740000}"/>
    <cellStyle name="40% - Accent4 3 2 2 2 2 3" xfId="5124" xr:uid="{00000000-0005-0000-0000-0000F9740000}"/>
    <cellStyle name="40% - Accent4 3 2 2 2 2 3 2" xfId="10774" xr:uid="{00000000-0005-0000-0000-0000FA740000}"/>
    <cellStyle name="40% - Accent4 3 2 2 2 2 3 2 2" xfId="22075" xr:uid="{00000000-0005-0000-0000-0000FB740000}"/>
    <cellStyle name="40% - Accent4 3 2 2 2 2 3 2 2 2" xfId="44677" xr:uid="{00000000-0005-0000-0000-0000FC740000}"/>
    <cellStyle name="40% - Accent4 3 2 2 2 2 3 2 3" xfId="33376" xr:uid="{00000000-0005-0000-0000-0000FD740000}"/>
    <cellStyle name="40% - Accent4 3 2 2 2 2 3 3" xfId="16425" xr:uid="{00000000-0005-0000-0000-0000FE740000}"/>
    <cellStyle name="40% - Accent4 3 2 2 2 2 3 3 2" xfId="39027" xr:uid="{00000000-0005-0000-0000-0000FF740000}"/>
    <cellStyle name="40% - Accent4 3 2 2 2 2 3 4" xfId="27726" xr:uid="{00000000-0005-0000-0000-000000750000}"/>
    <cellStyle name="40% - Accent4 3 2 2 2 2 4" xfId="7806" xr:uid="{00000000-0005-0000-0000-000001750000}"/>
    <cellStyle name="40% - Accent4 3 2 2 2 2 4 2" xfId="19107" xr:uid="{00000000-0005-0000-0000-000002750000}"/>
    <cellStyle name="40% - Accent4 3 2 2 2 2 4 2 2" xfId="41709" xr:uid="{00000000-0005-0000-0000-000003750000}"/>
    <cellStyle name="40% - Accent4 3 2 2 2 2 4 3" xfId="30408" xr:uid="{00000000-0005-0000-0000-000004750000}"/>
    <cellStyle name="40% - Accent4 3 2 2 2 2 5" xfId="13457" xr:uid="{00000000-0005-0000-0000-000005750000}"/>
    <cellStyle name="40% - Accent4 3 2 2 2 2 5 2" xfId="36059" xr:uid="{00000000-0005-0000-0000-000006750000}"/>
    <cellStyle name="40% - Accent4 3 2 2 2 2 6" xfId="24758" xr:uid="{00000000-0005-0000-0000-000007750000}"/>
    <cellStyle name="40% - Accent4 3 2 2 2 3" xfId="2715" xr:uid="{00000000-0005-0000-0000-000008750000}"/>
    <cellStyle name="40% - Accent4 3 2 2 2 3 2" xfId="5734" xr:uid="{00000000-0005-0000-0000-000009750000}"/>
    <cellStyle name="40% - Accent4 3 2 2 2 3 2 2" xfId="11384" xr:uid="{00000000-0005-0000-0000-00000A750000}"/>
    <cellStyle name="40% - Accent4 3 2 2 2 3 2 2 2" xfId="22685" xr:uid="{00000000-0005-0000-0000-00000B750000}"/>
    <cellStyle name="40% - Accent4 3 2 2 2 3 2 2 2 2" xfId="45287" xr:uid="{00000000-0005-0000-0000-00000C750000}"/>
    <cellStyle name="40% - Accent4 3 2 2 2 3 2 2 3" xfId="33986" xr:uid="{00000000-0005-0000-0000-00000D750000}"/>
    <cellStyle name="40% - Accent4 3 2 2 2 3 2 3" xfId="17035" xr:uid="{00000000-0005-0000-0000-00000E750000}"/>
    <cellStyle name="40% - Accent4 3 2 2 2 3 2 3 2" xfId="39637" xr:uid="{00000000-0005-0000-0000-00000F750000}"/>
    <cellStyle name="40% - Accent4 3 2 2 2 3 2 4" xfId="28336" xr:uid="{00000000-0005-0000-0000-000010750000}"/>
    <cellStyle name="40% - Accent4 3 2 2 2 3 3" xfId="8551" xr:uid="{00000000-0005-0000-0000-000011750000}"/>
    <cellStyle name="40% - Accent4 3 2 2 2 3 3 2" xfId="19852" xr:uid="{00000000-0005-0000-0000-000012750000}"/>
    <cellStyle name="40% - Accent4 3 2 2 2 3 3 2 2" xfId="42454" xr:uid="{00000000-0005-0000-0000-000013750000}"/>
    <cellStyle name="40% - Accent4 3 2 2 2 3 3 3" xfId="31153" xr:uid="{00000000-0005-0000-0000-000014750000}"/>
    <cellStyle name="40% - Accent4 3 2 2 2 3 4" xfId="14202" xr:uid="{00000000-0005-0000-0000-000015750000}"/>
    <cellStyle name="40% - Accent4 3 2 2 2 3 4 2" xfId="36804" xr:uid="{00000000-0005-0000-0000-000016750000}"/>
    <cellStyle name="40% - Accent4 3 2 2 2 3 5" xfId="25503" xr:uid="{00000000-0005-0000-0000-000017750000}"/>
    <cellStyle name="40% - Accent4 3 2 2 2 4" xfId="4500" xr:uid="{00000000-0005-0000-0000-000018750000}"/>
    <cellStyle name="40% - Accent4 3 2 2 2 4 2" xfId="10150" xr:uid="{00000000-0005-0000-0000-000019750000}"/>
    <cellStyle name="40% - Accent4 3 2 2 2 4 2 2" xfId="21451" xr:uid="{00000000-0005-0000-0000-00001A750000}"/>
    <cellStyle name="40% - Accent4 3 2 2 2 4 2 2 2" xfId="44053" xr:uid="{00000000-0005-0000-0000-00001B750000}"/>
    <cellStyle name="40% - Accent4 3 2 2 2 4 2 3" xfId="32752" xr:uid="{00000000-0005-0000-0000-00001C750000}"/>
    <cellStyle name="40% - Accent4 3 2 2 2 4 3" xfId="15801" xr:uid="{00000000-0005-0000-0000-00001D750000}"/>
    <cellStyle name="40% - Accent4 3 2 2 2 4 3 2" xfId="38403" xr:uid="{00000000-0005-0000-0000-00001E750000}"/>
    <cellStyle name="40% - Accent4 3 2 2 2 4 4" xfId="27102" xr:uid="{00000000-0005-0000-0000-00001F750000}"/>
    <cellStyle name="40% - Accent4 3 2 2 2 5" xfId="7296" xr:uid="{00000000-0005-0000-0000-000020750000}"/>
    <cellStyle name="40% - Accent4 3 2 2 2 5 2" xfId="18597" xr:uid="{00000000-0005-0000-0000-000021750000}"/>
    <cellStyle name="40% - Accent4 3 2 2 2 5 2 2" xfId="41199" xr:uid="{00000000-0005-0000-0000-000022750000}"/>
    <cellStyle name="40% - Accent4 3 2 2 2 5 3" xfId="29898" xr:uid="{00000000-0005-0000-0000-000023750000}"/>
    <cellStyle name="40% - Accent4 3 2 2 2 6" xfId="12947" xr:uid="{00000000-0005-0000-0000-000024750000}"/>
    <cellStyle name="40% - Accent4 3 2 2 2 6 2" xfId="35549" xr:uid="{00000000-0005-0000-0000-000025750000}"/>
    <cellStyle name="40% - Accent4 3 2 2 2 7" xfId="24248" xr:uid="{00000000-0005-0000-0000-000026750000}"/>
    <cellStyle name="40% - Accent4 3 2 2 3" xfId="1015" xr:uid="{00000000-0005-0000-0000-000027750000}"/>
    <cellStyle name="40% - Accent4 3 2 2 3 2" xfId="3078" xr:uid="{00000000-0005-0000-0000-000028750000}"/>
    <cellStyle name="40% - Accent4 3 2 2 3 2 2" xfId="6050" xr:uid="{00000000-0005-0000-0000-000029750000}"/>
    <cellStyle name="40% - Accent4 3 2 2 3 2 2 2" xfId="11700" xr:uid="{00000000-0005-0000-0000-00002A750000}"/>
    <cellStyle name="40% - Accent4 3 2 2 3 2 2 2 2" xfId="23001" xr:uid="{00000000-0005-0000-0000-00002B750000}"/>
    <cellStyle name="40% - Accent4 3 2 2 3 2 2 2 2 2" xfId="45603" xr:uid="{00000000-0005-0000-0000-00002C750000}"/>
    <cellStyle name="40% - Accent4 3 2 2 3 2 2 2 3" xfId="34302" xr:uid="{00000000-0005-0000-0000-00002D750000}"/>
    <cellStyle name="40% - Accent4 3 2 2 3 2 2 3" xfId="17351" xr:uid="{00000000-0005-0000-0000-00002E750000}"/>
    <cellStyle name="40% - Accent4 3 2 2 3 2 2 3 2" xfId="39953" xr:uid="{00000000-0005-0000-0000-00002F750000}"/>
    <cellStyle name="40% - Accent4 3 2 2 3 2 2 4" xfId="28652" xr:uid="{00000000-0005-0000-0000-000030750000}"/>
    <cellStyle name="40% - Accent4 3 2 2 3 2 3" xfId="8868" xr:uid="{00000000-0005-0000-0000-000031750000}"/>
    <cellStyle name="40% - Accent4 3 2 2 3 2 3 2" xfId="20169" xr:uid="{00000000-0005-0000-0000-000032750000}"/>
    <cellStyle name="40% - Accent4 3 2 2 3 2 3 2 2" xfId="42771" xr:uid="{00000000-0005-0000-0000-000033750000}"/>
    <cellStyle name="40% - Accent4 3 2 2 3 2 3 3" xfId="31470" xr:uid="{00000000-0005-0000-0000-000034750000}"/>
    <cellStyle name="40% - Accent4 3 2 2 3 2 4" xfId="14519" xr:uid="{00000000-0005-0000-0000-000035750000}"/>
    <cellStyle name="40% - Accent4 3 2 2 3 2 4 2" xfId="37121" xr:uid="{00000000-0005-0000-0000-000036750000}"/>
    <cellStyle name="40% - Accent4 3 2 2 3 2 5" xfId="25820" xr:uid="{00000000-0005-0000-0000-000037750000}"/>
    <cellStyle name="40% - Accent4 3 2 2 3 3" xfId="4816" xr:uid="{00000000-0005-0000-0000-000038750000}"/>
    <cellStyle name="40% - Accent4 3 2 2 3 3 2" xfId="10466" xr:uid="{00000000-0005-0000-0000-000039750000}"/>
    <cellStyle name="40% - Accent4 3 2 2 3 3 2 2" xfId="21767" xr:uid="{00000000-0005-0000-0000-00003A750000}"/>
    <cellStyle name="40% - Accent4 3 2 2 3 3 2 2 2" xfId="44369" xr:uid="{00000000-0005-0000-0000-00003B750000}"/>
    <cellStyle name="40% - Accent4 3 2 2 3 3 2 3" xfId="33068" xr:uid="{00000000-0005-0000-0000-00003C750000}"/>
    <cellStyle name="40% - Accent4 3 2 2 3 3 3" xfId="16117" xr:uid="{00000000-0005-0000-0000-00003D750000}"/>
    <cellStyle name="40% - Accent4 3 2 2 3 3 3 2" xfId="38719" xr:uid="{00000000-0005-0000-0000-00003E750000}"/>
    <cellStyle name="40% - Accent4 3 2 2 3 3 4" xfId="27418" xr:uid="{00000000-0005-0000-0000-00003F750000}"/>
    <cellStyle name="40% - Accent4 3 2 2 3 4" xfId="7003" xr:uid="{00000000-0005-0000-0000-000040750000}"/>
    <cellStyle name="40% - Accent4 3 2 2 3 4 2" xfId="18304" xr:uid="{00000000-0005-0000-0000-000041750000}"/>
    <cellStyle name="40% - Accent4 3 2 2 3 4 2 2" xfId="40906" xr:uid="{00000000-0005-0000-0000-000042750000}"/>
    <cellStyle name="40% - Accent4 3 2 2 3 4 3" xfId="29605" xr:uid="{00000000-0005-0000-0000-000043750000}"/>
    <cellStyle name="40% - Accent4 3 2 2 3 5" xfId="12654" xr:uid="{00000000-0005-0000-0000-000044750000}"/>
    <cellStyle name="40% - Accent4 3 2 2 3 5 2" xfId="35256" xr:uid="{00000000-0005-0000-0000-000045750000}"/>
    <cellStyle name="40% - Accent4 3 2 2 3 6" xfId="23955" xr:uid="{00000000-0005-0000-0000-000046750000}"/>
    <cellStyle name="40% - Accent4 3 2 2 4" xfId="1949" xr:uid="{00000000-0005-0000-0000-000047750000}"/>
    <cellStyle name="40% - Accent4 3 2 2 4 2" xfId="3775" xr:uid="{00000000-0005-0000-0000-000048750000}"/>
    <cellStyle name="40% - Accent4 3 2 2 4 2 2" xfId="9485" xr:uid="{00000000-0005-0000-0000-000049750000}"/>
    <cellStyle name="40% - Accent4 3 2 2 4 2 2 2" xfId="20786" xr:uid="{00000000-0005-0000-0000-00004A750000}"/>
    <cellStyle name="40% - Accent4 3 2 2 4 2 2 2 2" xfId="43388" xr:uid="{00000000-0005-0000-0000-00004B750000}"/>
    <cellStyle name="40% - Accent4 3 2 2 4 2 2 3" xfId="32087" xr:uid="{00000000-0005-0000-0000-00004C750000}"/>
    <cellStyle name="40% - Accent4 3 2 2 4 2 3" xfId="15136" xr:uid="{00000000-0005-0000-0000-00004D750000}"/>
    <cellStyle name="40% - Accent4 3 2 2 4 2 3 2" xfId="37738" xr:uid="{00000000-0005-0000-0000-00004E750000}"/>
    <cellStyle name="40% - Accent4 3 2 2 4 2 4" xfId="26437" xr:uid="{00000000-0005-0000-0000-00004F750000}"/>
    <cellStyle name="40% - Accent4 3 2 2 4 3" xfId="5426" xr:uid="{00000000-0005-0000-0000-000050750000}"/>
    <cellStyle name="40% - Accent4 3 2 2 4 3 2" xfId="11076" xr:uid="{00000000-0005-0000-0000-000051750000}"/>
    <cellStyle name="40% - Accent4 3 2 2 4 3 2 2" xfId="22377" xr:uid="{00000000-0005-0000-0000-000052750000}"/>
    <cellStyle name="40% - Accent4 3 2 2 4 3 2 2 2" xfId="44979" xr:uid="{00000000-0005-0000-0000-000053750000}"/>
    <cellStyle name="40% - Accent4 3 2 2 4 3 2 3" xfId="33678" xr:uid="{00000000-0005-0000-0000-000054750000}"/>
    <cellStyle name="40% - Accent4 3 2 2 4 3 3" xfId="16727" xr:uid="{00000000-0005-0000-0000-000055750000}"/>
    <cellStyle name="40% - Accent4 3 2 2 4 3 3 2" xfId="39329" xr:uid="{00000000-0005-0000-0000-000056750000}"/>
    <cellStyle name="40% - Accent4 3 2 2 4 3 4" xfId="28028" xr:uid="{00000000-0005-0000-0000-000057750000}"/>
    <cellStyle name="40% - Accent4 3 2 2 4 4" xfId="7805" xr:uid="{00000000-0005-0000-0000-000058750000}"/>
    <cellStyle name="40% - Accent4 3 2 2 4 4 2" xfId="19106" xr:uid="{00000000-0005-0000-0000-000059750000}"/>
    <cellStyle name="40% - Accent4 3 2 2 4 4 2 2" xfId="41708" xr:uid="{00000000-0005-0000-0000-00005A750000}"/>
    <cellStyle name="40% - Accent4 3 2 2 4 4 3" xfId="30407" xr:uid="{00000000-0005-0000-0000-00005B750000}"/>
    <cellStyle name="40% - Accent4 3 2 2 4 5" xfId="13456" xr:uid="{00000000-0005-0000-0000-00005C750000}"/>
    <cellStyle name="40% - Accent4 3 2 2 4 5 2" xfId="36058" xr:uid="{00000000-0005-0000-0000-00005D750000}"/>
    <cellStyle name="40% - Accent4 3 2 2 4 6" xfId="24757" xr:uid="{00000000-0005-0000-0000-00005E750000}"/>
    <cellStyle name="40% - Accent4 3 2 2 5" xfId="2407" xr:uid="{00000000-0005-0000-0000-00005F750000}"/>
    <cellStyle name="40% - Accent4 3 2 2 5 2" xfId="8243" xr:uid="{00000000-0005-0000-0000-000060750000}"/>
    <cellStyle name="40% - Accent4 3 2 2 5 2 2" xfId="19544" xr:uid="{00000000-0005-0000-0000-000061750000}"/>
    <cellStyle name="40% - Accent4 3 2 2 5 2 2 2" xfId="42146" xr:uid="{00000000-0005-0000-0000-000062750000}"/>
    <cellStyle name="40% - Accent4 3 2 2 5 2 3" xfId="30845" xr:uid="{00000000-0005-0000-0000-000063750000}"/>
    <cellStyle name="40% - Accent4 3 2 2 5 3" xfId="13894" xr:uid="{00000000-0005-0000-0000-000064750000}"/>
    <cellStyle name="40% - Accent4 3 2 2 5 3 2" xfId="36496" xr:uid="{00000000-0005-0000-0000-000065750000}"/>
    <cellStyle name="40% - Accent4 3 2 2 5 4" xfId="25195" xr:uid="{00000000-0005-0000-0000-000066750000}"/>
    <cellStyle name="40% - Accent4 3 2 2 6" xfId="4192" xr:uid="{00000000-0005-0000-0000-000067750000}"/>
    <cellStyle name="40% - Accent4 3 2 2 6 2" xfId="9842" xr:uid="{00000000-0005-0000-0000-000068750000}"/>
    <cellStyle name="40% - Accent4 3 2 2 6 2 2" xfId="21143" xr:uid="{00000000-0005-0000-0000-000069750000}"/>
    <cellStyle name="40% - Accent4 3 2 2 6 2 2 2" xfId="43745" xr:uid="{00000000-0005-0000-0000-00006A750000}"/>
    <cellStyle name="40% - Accent4 3 2 2 6 2 3" xfId="32444" xr:uid="{00000000-0005-0000-0000-00006B750000}"/>
    <cellStyle name="40% - Accent4 3 2 2 6 3" xfId="15493" xr:uid="{00000000-0005-0000-0000-00006C750000}"/>
    <cellStyle name="40% - Accent4 3 2 2 6 3 2" xfId="38095" xr:uid="{00000000-0005-0000-0000-00006D750000}"/>
    <cellStyle name="40% - Accent4 3 2 2 6 4" xfId="26794" xr:uid="{00000000-0005-0000-0000-00006E750000}"/>
    <cellStyle name="40% - Accent4 3 2 2 7" xfId="6672" xr:uid="{00000000-0005-0000-0000-00006F750000}"/>
    <cellStyle name="40% - Accent4 3 2 2 7 2" xfId="17973" xr:uid="{00000000-0005-0000-0000-000070750000}"/>
    <cellStyle name="40% - Accent4 3 2 2 7 2 2" xfId="40575" xr:uid="{00000000-0005-0000-0000-000071750000}"/>
    <cellStyle name="40% - Accent4 3 2 2 7 3" xfId="29274" xr:uid="{00000000-0005-0000-0000-000072750000}"/>
    <cellStyle name="40% - Accent4 3 2 2 8" xfId="12323" xr:uid="{00000000-0005-0000-0000-000073750000}"/>
    <cellStyle name="40% - Accent4 3 2 2 8 2" xfId="34925" xr:uid="{00000000-0005-0000-0000-000074750000}"/>
    <cellStyle name="40% - Accent4 3 2 2 9" xfId="23624" xr:uid="{00000000-0005-0000-0000-000075750000}"/>
    <cellStyle name="40% - Accent4 3 2 3" xfId="1179" xr:uid="{00000000-0005-0000-0000-000076750000}"/>
    <cellStyle name="40% - Accent4 3 2 3 2" xfId="1951" xr:uid="{00000000-0005-0000-0000-000077750000}"/>
    <cellStyle name="40% - Accent4 3 2 3 2 2" xfId="3247" xr:uid="{00000000-0005-0000-0000-000078750000}"/>
    <cellStyle name="40% - Accent4 3 2 3 2 2 2" xfId="6219" xr:uid="{00000000-0005-0000-0000-000079750000}"/>
    <cellStyle name="40% - Accent4 3 2 3 2 2 2 2" xfId="11869" xr:uid="{00000000-0005-0000-0000-00007A750000}"/>
    <cellStyle name="40% - Accent4 3 2 3 2 2 2 2 2" xfId="23170" xr:uid="{00000000-0005-0000-0000-00007B750000}"/>
    <cellStyle name="40% - Accent4 3 2 3 2 2 2 2 2 2" xfId="45772" xr:uid="{00000000-0005-0000-0000-00007C750000}"/>
    <cellStyle name="40% - Accent4 3 2 3 2 2 2 2 3" xfId="34471" xr:uid="{00000000-0005-0000-0000-00007D750000}"/>
    <cellStyle name="40% - Accent4 3 2 3 2 2 2 3" xfId="17520" xr:uid="{00000000-0005-0000-0000-00007E750000}"/>
    <cellStyle name="40% - Accent4 3 2 3 2 2 2 3 2" xfId="40122" xr:uid="{00000000-0005-0000-0000-00007F750000}"/>
    <cellStyle name="40% - Accent4 3 2 3 2 2 2 4" xfId="28821" xr:uid="{00000000-0005-0000-0000-000080750000}"/>
    <cellStyle name="40% - Accent4 3 2 3 2 2 3" xfId="9037" xr:uid="{00000000-0005-0000-0000-000081750000}"/>
    <cellStyle name="40% - Accent4 3 2 3 2 2 3 2" xfId="20338" xr:uid="{00000000-0005-0000-0000-000082750000}"/>
    <cellStyle name="40% - Accent4 3 2 3 2 2 3 2 2" xfId="42940" xr:uid="{00000000-0005-0000-0000-000083750000}"/>
    <cellStyle name="40% - Accent4 3 2 3 2 2 3 3" xfId="31639" xr:uid="{00000000-0005-0000-0000-000084750000}"/>
    <cellStyle name="40% - Accent4 3 2 3 2 2 4" xfId="14688" xr:uid="{00000000-0005-0000-0000-000085750000}"/>
    <cellStyle name="40% - Accent4 3 2 3 2 2 4 2" xfId="37290" xr:uid="{00000000-0005-0000-0000-000086750000}"/>
    <cellStyle name="40% - Accent4 3 2 3 2 2 5" xfId="25989" xr:uid="{00000000-0005-0000-0000-000087750000}"/>
    <cellStyle name="40% - Accent4 3 2 3 2 3" xfId="4985" xr:uid="{00000000-0005-0000-0000-000088750000}"/>
    <cellStyle name="40% - Accent4 3 2 3 2 3 2" xfId="10635" xr:uid="{00000000-0005-0000-0000-000089750000}"/>
    <cellStyle name="40% - Accent4 3 2 3 2 3 2 2" xfId="21936" xr:uid="{00000000-0005-0000-0000-00008A750000}"/>
    <cellStyle name="40% - Accent4 3 2 3 2 3 2 2 2" xfId="44538" xr:uid="{00000000-0005-0000-0000-00008B750000}"/>
    <cellStyle name="40% - Accent4 3 2 3 2 3 2 3" xfId="33237" xr:uid="{00000000-0005-0000-0000-00008C750000}"/>
    <cellStyle name="40% - Accent4 3 2 3 2 3 3" xfId="16286" xr:uid="{00000000-0005-0000-0000-00008D750000}"/>
    <cellStyle name="40% - Accent4 3 2 3 2 3 3 2" xfId="38888" xr:uid="{00000000-0005-0000-0000-00008E750000}"/>
    <cellStyle name="40% - Accent4 3 2 3 2 3 4" xfId="27587" xr:uid="{00000000-0005-0000-0000-00008F750000}"/>
    <cellStyle name="40% - Accent4 3 2 3 2 4" xfId="7807" xr:uid="{00000000-0005-0000-0000-000090750000}"/>
    <cellStyle name="40% - Accent4 3 2 3 2 4 2" xfId="19108" xr:uid="{00000000-0005-0000-0000-000091750000}"/>
    <cellStyle name="40% - Accent4 3 2 3 2 4 2 2" xfId="41710" xr:uid="{00000000-0005-0000-0000-000092750000}"/>
    <cellStyle name="40% - Accent4 3 2 3 2 4 3" xfId="30409" xr:uid="{00000000-0005-0000-0000-000093750000}"/>
    <cellStyle name="40% - Accent4 3 2 3 2 5" xfId="13458" xr:uid="{00000000-0005-0000-0000-000094750000}"/>
    <cellStyle name="40% - Accent4 3 2 3 2 5 2" xfId="36060" xr:uid="{00000000-0005-0000-0000-000095750000}"/>
    <cellStyle name="40% - Accent4 3 2 3 2 6" xfId="24759" xr:uid="{00000000-0005-0000-0000-000096750000}"/>
    <cellStyle name="40% - Accent4 3 2 3 3" xfId="2576" xr:uid="{00000000-0005-0000-0000-000097750000}"/>
    <cellStyle name="40% - Accent4 3 2 3 3 2" xfId="5595" xr:uid="{00000000-0005-0000-0000-000098750000}"/>
    <cellStyle name="40% - Accent4 3 2 3 3 2 2" xfId="11245" xr:uid="{00000000-0005-0000-0000-000099750000}"/>
    <cellStyle name="40% - Accent4 3 2 3 3 2 2 2" xfId="22546" xr:uid="{00000000-0005-0000-0000-00009A750000}"/>
    <cellStyle name="40% - Accent4 3 2 3 3 2 2 2 2" xfId="45148" xr:uid="{00000000-0005-0000-0000-00009B750000}"/>
    <cellStyle name="40% - Accent4 3 2 3 3 2 2 3" xfId="33847" xr:uid="{00000000-0005-0000-0000-00009C750000}"/>
    <cellStyle name="40% - Accent4 3 2 3 3 2 3" xfId="16896" xr:uid="{00000000-0005-0000-0000-00009D750000}"/>
    <cellStyle name="40% - Accent4 3 2 3 3 2 3 2" xfId="39498" xr:uid="{00000000-0005-0000-0000-00009E750000}"/>
    <cellStyle name="40% - Accent4 3 2 3 3 2 4" xfId="28197" xr:uid="{00000000-0005-0000-0000-00009F750000}"/>
    <cellStyle name="40% - Accent4 3 2 3 3 3" xfId="8412" xr:uid="{00000000-0005-0000-0000-0000A0750000}"/>
    <cellStyle name="40% - Accent4 3 2 3 3 3 2" xfId="19713" xr:uid="{00000000-0005-0000-0000-0000A1750000}"/>
    <cellStyle name="40% - Accent4 3 2 3 3 3 2 2" xfId="42315" xr:uid="{00000000-0005-0000-0000-0000A2750000}"/>
    <cellStyle name="40% - Accent4 3 2 3 3 3 3" xfId="31014" xr:uid="{00000000-0005-0000-0000-0000A3750000}"/>
    <cellStyle name="40% - Accent4 3 2 3 3 4" xfId="14063" xr:uid="{00000000-0005-0000-0000-0000A4750000}"/>
    <cellStyle name="40% - Accent4 3 2 3 3 4 2" xfId="36665" xr:uid="{00000000-0005-0000-0000-0000A5750000}"/>
    <cellStyle name="40% - Accent4 3 2 3 3 5" xfId="25364" xr:uid="{00000000-0005-0000-0000-0000A6750000}"/>
    <cellStyle name="40% - Accent4 3 2 3 4" xfId="4361" xr:uid="{00000000-0005-0000-0000-0000A7750000}"/>
    <cellStyle name="40% - Accent4 3 2 3 4 2" xfId="10011" xr:uid="{00000000-0005-0000-0000-0000A8750000}"/>
    <cellStyle name="40% - Accent4 3 2 3 4 2 2" xfId="21312" xr:uid="{00000000-0005-0000-0000-0000A9750000}"/>
    <cellStyle name="40% - Accent4 3 2 3 4 2 2 2" xfId="43914" xr:uid="{00000000-0005-0000-0000-0000AA750000}"/>
    <cellStyle name="40% - Accent4 3 2 3 4 2 3" xfId="32613" xr:uid="{00000000-0005-0000-0000-0000AB750000}"/>
    <cellStyle name="40% - Accent4 3 2 3 4 3" xfId="15662" xr:uid="{00000000-0005-0000-0000-0000AC750000}"/>
    <cellStyle name="40% - Accent4 3 2 3 4 3 2" xfId="38264" xr:uid="{00000000-0005-0000-0000-0000AD750000}"/>
    <cellStyle name="40% - Accent4 3 2 3 4 4" xfId="26963" xr:uid="{00000000-0005-0000-0000-0000AE750000}"/>
    <cellStyle name="40% - Accent4 3 2 3 5" xfId="7158" xr:uid="{00000000-0005-0000-0000-0000AF750000}"/>
    <cellStyle name="40% - Accent4 3 2 3 5 2" xfId="18459" xr:uid="{00000000-0005-0000-0000-0000B0750000}"/>
    <cellStyle name="40% - Accent4 3 2 3 5 2 2" xfId="41061" xr:uid="{00000000-0005-0000-0000-0000B1750000}"/>
    <cellStyle name="40% - Accent4 3 2 3 5 3" xfId="29760" xr:uid="{00000000-0005-0000-0000-0000B2750000}"/>
    <cellStyle name="40% - Accent4 3 2 3 6" xfId="12809" xr:uid="{00000000-0005-0000-0000-0000B3750000}"/>
    <cellStyle name="40% - Accent4 3 2 3 6 2" xfId="35411" xr:uid="{00000000-0005-0000-0000-0000B4750000}"/>
    <cellStyle name="40% - Accent4 3 2 3 7" xfId="24110" xr:uid="{00000000-0005-0000-0000-0000B5750000}"/>
    <cellStyle name="40% - Accent4 3 2 4" xfId="868" xr:uid="{00000000-0005-0000-0000-0000B6750000}"/>
    <cellStyle name="40% - Accent4 3 2 4 2" xfId="2940" xr:uid="{00000000-0005-0000-0000-0000B7750000}"/>
    <cellStyle name="40% - Accent4 3 2 4 2 2" xfId="5912" xr:uid="{00000000-0005-0000-0000-0000B8750000}"/>
    <cellStyle name="40% - Accent4 3 2 4 2 2 2" xfId="11562" xr:uid="{00000000-0005-0000-0000-0000B9750000}"/>
    <cellStyle name="40% - Accent4 3 2 4 2 2 2 2" xfId="22863" xr:uid="{00000000-0005-0000-0000-0000BA750000}"/>
    <cellStyle name="40% - Accent4 3 2 4 2 2 2 2 2" xfId="45465" xr:uid="{00000000-0005-0000-0000-0000BB750000}"/>
    <cellStyle name="40% - Accent4 3 2 4 2 2 2 3" xfId="34164" xr:uid="{00000000-0005-0000-0000-0000BC750000}"/>
    <cellStyle name="40% - Accent4 3 2 4 2 2 3" xfId="17213" xr:uid="{00000000-0005-0000-0000-0000BD750000}"/>
    <cellStyle name="40% - Accent4 3 2 4 2 2 3 2" xfId="39815" xr:uid="{00000000-0005-0000-0000-0000BE750000}"/>
    <cellStyle name="40% - Accent4 3 2 4 2 2 4" xfId="28514" xr:uid="{00000000-0005-0000-0000-0000BF750000}"/>
    <cellStyle name="40% - Accent4 3 2 4 2 3" xfId="8730" xr:uid="{00000000-0005-0000-0000-0000C0750000}"/>
    <cellStyle name="40% - Accent4 3 2 4 2 3 2" xfId="20031" xr:uid="{00000000-0005-0000-0000-0000C1750000}"/>
    <cellStyle name="40% - Accent4 3 2 4 2 3 2 2" xfId="42633" xr:uid="{00000000-0005-0000-0000-0000C2750000}"/>
    <cellStyle name="40% - Accent4 3 2 4 2 3 3" xfId="31332" xr:uid="{00000000-0005-0000-0000-0000C3750000}"/>
    <cellStyle name="40% - Accent4 3 2 4 2 4" xfId="14381" xr:uid="{00000000-0005-0000-0000-0000C4750000}"/>
    <cellStyle name="40% - Accent4 3 2 4 2 4 2" xfId="36983" xr:uid="{00000000-0005-0000-0000-0000C5750000}"/>
    <cellStyle name="40% - Accent4 3 2 4 2 5" xfId="25682" xr:uid="{00000000-0005-0000-0000-0000C6750000}"/>
    <cellStyle name="40% - Accent4 3 2 4 3" xfId="4678" xr:uid="{00000000-0005-0000-0000-0000C7750000}"/>
    <cellStyle name="40% - Accent4 3 2 4 3 2" xfId="10328" xr:uid="{00000000-0005-0000-0000-0000C8750000}"/>
    <cellStyle name="40% - Accent4 3 2 4 3 2 2" xfId="21629" xr:uid="{00000000-0005-0000-0000-0000C9750000}"/>
    <cellStyle name="40% - Accent4 3 2 4 3 2 2 2" xfId="44231" xr:uid="{00000000-0005-0000-0000-0000CA750000}"/>
    <cellStyle name="40% - Accent4 3 2 4 3 2 3" xfId="32930" xr:uid="{00000000-0005-0000-0000-0000CB750000}"/>
    <cellStyle name="40% - Accent4 3 2 4 3 3" xfId="15979" xr:uid="{00000000-0005-0000-0000-0000CC750000}"/>
    <cellStyle name="40% - Accent4 3 2 4 3 3 2" xfId="38581" xr:uid="{00000000-0005-0000-0000-0000CD750000}"/>
    <cellStyle name="40% - Accent4 3 2 4 3 4" xfId="27280" xr:uid="{00000000-0005-0000-0000-0000CE750000}"/>
    <cellStyle name="40% - Accent4 3 2 4 4" xfId="6865" xr:uid="{00000000-0005-0000-0000-0000CF750000}"/>
    <cellStyle name="40% - Accent4 3 2 4 4 2" xfId="18166" xr:uid="{00000000-0005-0000-0000-0000D0750000}"/>
    <cellStyle name="40% - Accent4 3 2 4 4 2 2" xfId="40768" xr:uid="{00000000-0005-0000-0000-0000D1750000}"/>
    <cellStyle name="40% - Accent4 3 2 4 4 3" xfId="29467" xr:uid="{00000000-0005-0000-0000-0000D2750000}"/>
    <cellStyle name="40% - Accent4 3 2 4 5" xfId="12516" xr:uid="{00000000-0005-0000-0000-0000D3750000}"/>
    <cellStyle name="40% - Accent4 3 2 4 5 2" xfId="35118" xr:uid="{00000000-0005-0000-0000-0000D4750000}"/>
    <cellStyle name="40% - Accent4 3 2 4 6" xfId="23817" xr:uid="{00000000-0005-0000-0000-0000D5750000}"/>
    <cellStyle name="40% - Accent4 3 2 5" xfId="1948" xr:uid="{00000000-0005-0000-0000-0000D6750000}"/>
    <cellStyle name="40% - Accent4 3 2 5 2" xfId="3774" xr:uid="{00000000-0005-0000-0000-0000D7750000}"/>
    <cellStyle name="40% - Accent4 3 2 5 2 2" xfId="9484" xr:uid="{00000000-0005-0000-0000-0000D8750000}"/>
    <cellStyle name="40% - Accent4 3 2 5 2 2 2" xfId="20785" xr:uid="{00000000-0005-0000-0000-0000D9750000}"/>
    <cellStyle name="40% - Accent4 3 2 5 2 2 2 2" xfId="43387" xr:uid="{00000000-0005-0000-0000-0000DA750000}"/>
    <cellStyle name="40% - Accent4 3 2 5 2 2 3" xfId="32086" xr:uid="{00000000-0005-0000-0000-0000DB750000}"/>
    <cellStyle name="40% - Accent4 3 2 5 2 3" xfId="15135" xr:uid="{00000000-0005-0000-0000-0000DC750000}"/>
    <cellStyle name="40% - Accent4 3 2 5 2 3 2" xfId="37737" xr:uid="{00000000-0005-0000-0000-0000DD750000}"/>
    <cellStyle name="40% - Accent4 3 2 5 2 4" xfId="26436" xr:uid="{00000000-0005-0000-0000-0000DE750000}"/>
    <cellStyle name="40% - Accent4 3 2 5 3" xfId="5288" xr:uid="{00000000-0005-0000-0000-0000DF750000}"/>
    <cellStyle name="40% - Accent4 3 2 5 3 2" xfId="10938" xr:uid="{00000000-0005-0000-0000-0000E0750000}"/>
    <cellStyle name="40% - Accent4 3 2 5 3 2 2" xfId="22239" xr:uid="{00000000-0005-0000-0000-0000E1750000}"/>
    <cellStyle name="40% - Accent4 3 2 5 3 2 2 2" xfId="44841" xr:uid="{00000000-0005-0000-0000-0000E2750000}"/>
    <cellStyle name="40% - Accent4 3 2 5 3 2 3" xfId="33540" xr:uid="{00000000-0005-0000-0000-0000E3750000}"/>
    <cellStyle name="40% - Accent4 3 2 5 3 3" xfId="16589" xr:uid="{00000000-0005-0000-0000-0000E4750000}"/>
    <cellStyle name="40% - Accent4 3 2 5 3 3 2" xfId="39191" xr:uid="{00000000-0005-0000-0000-0000E5750000}"/>
    <cellStyle name="40% - Accent4 3 2 5 3 4" xfId="27890" xr:uid="{00000000-0005-0000-0000-0000E6750000}"/>
    <cellStyle name="40% - Accent4 3 2 5 4" xfId="7804" xr:uid="{00000000-0005-0000-0000-0000E7750000}"/>
    <cellStyle name="40% - Accent4 3 2 5 4 2" xfId="19105" xr:uid="{00000000-0005-0000-0000-0000E8750000}"/>
    <cellStyle name="40% - Accent4 3 2 5 4 2 2" xfId="41707" xr:uid="{00000000-0005-0000-0000-0000E9750000}"/>
    <cellStyle name="40% - Accent4 3 2 5 4 3" xfId="30406" xr:uid="{00000000-0005-0000-0000-0000EA750000}"/>
    <cellStyle name="40% - Accent4 3 2 5 5" xfId="13455" xr:uid="{00000000-0005-0000-0000-0000EB750000}"/>
    <cellStyle name="40% - Accent4 3 2 5 5 2" xfId="36057" xr:uid="{00000000-0005-0000-0000-0000EC750000}"/>
    <cellStyle name="40% - Accent4 3 2 5 6" xfId="24756" xr:uid="{00000000-0005-0000-0000-0000ED750000}"/>
    <cellStyle name="40% - Accent4 3 2 6" xfId="2266" xr:uid="{00000000-0005-0000-0000-0000EE750000}"/>
    <cellStyle name="40% - Accent4 3 2 6 2" xfId="8102" xr:uid="{00000000-0005-0000-0000-0000EF750000}"/>
    <cellStyle name="40% - Accent4 3 2 6 2 2" xfId="19403" xr:uid="{00000000-0005-0000-0000-0000F0750000}"/>
    <cellStyle name="40% - Accent4 3 2 6 2 2 2" xfId="42005" xr:uid="{00000000-0005-0000-0000-0000F1750000}"/>
    <cellStyle name="40% - Accent4 3 2 6 2 3" xfId="30704" xr:uid="{00000000-0005-0000-0000-0000F2750000}"/>
    <cellStyle name="40% - Accent4 3 2 6 3" xfId="13753" xr:uid="{00000000-0005-0000-0000-0000F3750000}"/>
    <cellStyle name="40% - Accent4 3 2 6 3 2" xfId="36355" xr:uid="{00000000-0005-0000-0000-0000F4750000}"/>
    <cellStyle name="40% - Accent4 3 2 6 4" xfId="25054" xr:uid="{00000000-0005-0000-0000-0000F5750000}"/>
    <cellStyle name="40% - Accent4 3 2 7" xfId="4054" xr:uid="{00000000-0005-0000-0000-0000F6750000}"/>
    <cellStyle name="40% - Accent4 3 2 7 2" xfId="9704" xr:uid="{00000000-0005-0000-0000-0000F7750000}"/>
    <cellStyle name="40% - Accent4 3 2 7 2 2" xfId="21005" xr:uid="{00000000-0005-0000-0000-0000F8750000}"/>
    <cellStyle name="40% - Accent4 3 2 7 2 2 2" xfId="43607" xr:uid="{00000000-0005-0000-0000-0000F9750000}"/>
    <cellStyle name="40% - Accent4 3 2 7 2 3" xfId="32306" xr:uid="{00000000-0005-0000-0000-0000FA750000}"/>
    <cellStyle name="40% - Accent4 3 2 7 3" xfId="15355" xr:uid="{00000000-0005-0000-0000-0000FB750000}"/>
    <cellStyle name="40% - Accent4 3 2 7 3 2" xfId="37957" xr:uid="{00000000-0005-0000-0000-0000FC750000}"/>
    <cellStyle name="40% - Accent4 3 2 7 4" xfId="26656" xr:uid="{00000000-0005-0000-0000-0000FD750000}"/>
    <cellStyle name="40% - Accent4 3 2 8" xfId="6505" xr:uid="{00000000-0005-0000-0000-0000FE750000}"/>
    <cellStyle name="40% - Accent4 3 2 8 2" xfId="17806" xr:uid="{00000000-0005-0000-0000-0000FF750000}"/>
    <cellStyle name="40% - Accent4 3 2 8 2 2" xfId="40408" xr:uid="{00000000-0005-0000-0000-000000760000}"/>
    <cellStyle name="40% - Accent4 3 2 8 3" xfId="29107" xr:uid="{00000000-0005-0000-0000-000001760000}"/>
    <cellStyle name="40% - Accent4 3 2 9" xfId="12156" xr:uid="{00000000-0005-0000-0000-000002760000}"/>
    <cellStyle name="40% - Accent4 3 2 9 2" xfId="34758" xr:uid="{00000000-0005-0000-0000-000003760000}"/>
    <cellStyle name="40% - Accent4 3 3" xfId="411" xr:uid="{00000000-0005-0000-0000-000004760000}"/>
    <cellStyle name="40% - Accent4 3 3 10" xfId="23506" xr:uid="{00000000-0005-0000-0000-000005760000}"/>
    <cellStyle name="40% - Accent4 3 3 2" xfId="656" xr:uid="{00000000-0005-0000-0000-000006760000}"/>
    <cellStyle name="40% - Accent4 3 3 2 2" xfId="1366" xr:uid="{00000000-0005-0000-0000-000007760000}"/>
    <cellStyle name="40% - Accent4 3 3 2 2 2" xfId="1954" xr:uid="{00000000-0005-0000-0000-000008760000}"/>
    <cellStyle name="40% - Accent4 3 3 2 2 2 2" xfId="3435" xr:uid="{00000000-0005-0000-0000-000009760000}"/>
    <cellStyle name="40% - Accent4 3 3 2 2 2 2 2" xfId="6407" xr:uid="{00000000-0005-0000-0000-00000A760000}"/>
    <cellStyle name="40% - Accent4 3 3 2 2 2 2 2 2" xfId="12057" xr:uid="{00000000-0005-0000-0000-00000B760000}"/>
    <cellStyle name="40% - Accent4 3 3 2 2 2 2 2 2 2" xfId="23358" xr:uid="{00000000-0005-0000-0000-00000C760000}"/>
    <cellStyle name="40% - Accent4 3 3 2 2 2 2 2 2 2 2" xfId="45960" xr:uid="{00000000-0005-0000-0000-00000D760000}"/>
    <cellStyle name="40% - Accent4 3 3 2 2 2 2 2 2 3" xfId="34659" xr:uid="{00000000-0005-0000-0000-00000E760000}"/>
    <cellStyle name="40% - Accent4 3 3 2 2 2 2 2 3" xfId="17708" xr:uid="{00000000-0005-0000-0000-00000F760000}"/>
    <cellStyle name="40% - Accent4 3 3 2 2 2 2 2 3 2" xfId="40310" xr:uid="{00000000-0005-0000-0000-000010760000}"/>
    <cellStyle name="40% - Accent4 3 3 2 2 2 2 2 4" xfId="29009" xr:uid="{00000000-0005-0000-0000-000011760000}"/>
    <cellStyle name="40% - Accent4 3 3 2 2 2 2 3" xfId="9225" xr:uid="{00000000-0005-0000-0000-000012760000}"/>
    <cellStyle name="40% - Accent4 3 3 2 2 2 2 3 2" xfId="20526" xr:uid="{00000000-0005-0000-0000-000013760000}"/>
    <cellStyle name="40% - Accent4 3 3 2 2 2 2 3 2 2" xfId="43128" xr:uid="{00000000-0005-0000-0000-000014760000}"/>
    <cellStyle name="40% - Accent4 3 3 2 2 2 2 3 3" xfId="31827" xr:uid="{00000000-0005-0000-0000-000015760000}"/>
    <cellStyle name="40% - Accent4 3 3 2 2 2 2 4" xfId="14876" xr:uid="{00000000-0005-0000-0000-000016760000}"/>
    <cellStyle name="40% - Accent4 3 3 2 2 2 2 4 2" xfId="37478" xr:uid="{00000000-0005-0000-0000-000017760000}"/>
    <cellStyle name="40% - Accent4 3 3 2 2 2 2 5" xfId="26177" xr:uid="{00000000-0005-0000-0000-000018760000}"/>
    <cellStyle name="40% - Accent4 3 3 2 2 2 3" xfId="5173" xr:uid="{00000000-0005-0000-0000-000019760000}"/>
    <cellStyle name="40% - Accent4 3 3 2 2 2 3 2" xfId="10823" xr:uid="{00000000-0005-0000-0000-00001A760000}"/>
    <cellStyle name="40% - Accent4 3 3 2 2 2 3 2 2" xfId="22124" xr:uid="{00000000-0005-0000-0000-00001B760000}"/>
    <cellStyle name="40% - Accent4 3 3 2 2 2 3 2 2 2" xfId="44726" xr:uid="{00000000-0005-0000-0000-00001C760000}"/>
    <cellStyle name="40% - Accent4 3 3 2 2 2 3 2 3" xfId="33425" xr:uid="{00000000-0005-0000-0000-00001D760000}"/>
    <cellStyle name="40% - Accent4 3 3 2 2 2 3 3" xfId="16474" xr:uid="{00000000-0005-0000-0000-00001E760000}"/>
    <cellStyle name="40% - Accent4 3 3 2 2 2 3 3 2" xfId="39076" xr:uid="{00000000-0005-0000-0000-00001F760000}"/>
    <cellStyle name="40% - Accent4 3 3 2 2 2 3 4" xfId="27775" xr:uid="{00000000-0005-0000-0000-000020760000}"/>
    <cellStyle name="40% - Accent4 3 3 2 2 2 4" xfId="7810" xr:uid="{00000000-0005-0000-0000-000021760000}"/>
    <cellStyle name="40% - Accent4 3 3 2 2 2 4 2" xfId="19111" xr:uid="{00000000-0005-0000-0000-000022760000}"/>
    <cellStyle name="40% - Accent4 3 3 2 2 2 4 2 2" xfId="41713" xr:uid="{00000000-0005-0000-0000-000023760000}"/>
    <cellStyle name="40% - Accent4 3 3 2 2 2 4 3" xfId="30412" xr:uid="{00000000-0005-0000-0000-000024760000}"/>
    <cellStyle name="40% - Accent4 3 3 2 2 2 5" xfId="13461" xr:uid="{00000000-0005-0000-0000-000025760000}"/>
    <cellStyle name="40% - Accent4 3 3 2 2 2 5 2" xfId="36063" xr:uid="{00000000-0005-0000-0000-000026760000}"/>
    <cellStyle name="40% - Accent4 3 3 2 2 2 6" xfId="24762" xr:uid="{00000000-0005-0000-0000-000027760000}"/>
    <cellStyle name="40% - Accent4 3 3 2 2 3" xfId="2764" xr:uid="{00000000-0005-0000-0000-000028760000}"/>
    <cellStyle name="40% - Accent4 3 3 2 2 3 2" xfId="5783" xr:uid="{00000000-0005-0000-0000-000029760000}"/>
    <cellStyle name="40% - Accent4 3 3 2 2 3 2 2" xfId="11433" xr:uid="{00000000-0005-0000-0000-00002A760000}"/>
    <cellStyle name="40% - Accent4 3 3 2 2 3 2 2 2" xfId="22734" xr:uid="{00000000-0005-0000-0000-00002B760000}"/>
    <cellStyle name="40% - Accent4 3 3 2 2 3 2 2 2 2" xfId="45336" xr:uid="{00000000-0005-0000-0000-00002C760000}"/>
    <cellStyle name="40% - Accent4 3 3 2 2 3 2 2 3" xfId="34035" xr:uid="{00000000-0005-0000-0000-00002D760000}"/>
    <cellStyle name="40% - Accent4 3 3 2 2 3 2 3" xfId="17084" xr:uid="{00000000-0005-0000-0000-00002E760000}"/>
    <cellStyle name="40% - Accent4 3 3 2 2 3 2 3 2" xfId="39686" xr:uid="{00000000-0005-0000-0000-00002F760000}"/>
    <cellStyle name="40% - Accent4 3 3 2 2 3 2 4" xfId="28385" xr:uid="{00000000-0005-0000-0000-000030760000}"/>
    <cellStyle name="40% - Accent4 3 3 2 2 3 3" xfId="8600" xr:uid="{00000000-0005-0000-0000-000031760000}"/>
    <cellStyle name="40% - Accent4 3 3 2 2 3 3 2" xfId="19901" xr:uid="{00000000-0005-0000-0000-000032760000}"/>
    <cellStyle name="40% - Accent4 3 3 2 2 3 3 2 2" xfId="42503" xr:uid="{00000000-0005-0000-0000-000033760000}"/>
    <cellStyle name="40% - Accent4 3 3 2 2 3 3 3" xfId="31202" xr:uid="{00000000-0005-0000-0000-000034760000}"/>
    <cellStyle name="40% - Accent4 3 3 2 2 3 4" xfId="14251" xr:uid="{00000000-0005-0000-0000-000035760000}"/>
    <cellStyle name="40% - Accent4 3 3 2 2 3 4 2" xfId="36853" xr:uid="{00000000-0005-0000-0000-000036760000}"/>
    <cellStyle name="40% - Accent4 3 3 2 2 3 5" xfId="25552" xr:uid="{00000000-0005-0000-0000-000037760000}"/>
    <cellStyle name="40% - Accent4 3 3 2 2 4" xfId="4549" xr:uid="{00000000-0005-0000-0000-000038760000}"/>
    <cellStyle name="40% - Accent4 3 3 2 2 4 2" xfId="10199" xr:uid="{00000000-0005-0000-0000-000039760000}"/>
    <cellStyle name="40% - Accent4 3 3 2 2 4 2 2" xfId="21500" xr:uid="{00000000-0005-0000-0000-00003A760000}"/>
    <cellStyle name="40% - Accent4 3 3 2 2 4 2 2 2" xfId="44102" xr:uid="{00000000-0005-0000-0000-00003B760000}"/>
    <cellStyle name="40% - Accent4 3 3 2 2 4 2 3" xfId="32801" xr:uid="{00000000-0005-0000-0000-00003C760000}"/>
    <cellStyle name="40% - Accent4 3 3 2 2 4 3" xfId="15850" xr:uid="{00000000-0005-0000-0000-00003D760000}"/>
    <cellStyle name="40% - Accent4 3 3 2 2 4 3 2" xfId="38452" xr:uid="{00000000-0005-0000-0000-00003E760000}"/>
    <cellStyle name="40% - Accent4 3 3 2 2 4 4" xfId="27151" xr:uid="{00000000-0005-0000-0000-00003F760000}"/>
    <cellStyle name="40% - Accent4 3 3 2 2 5" xfId="7345" xr:uid="{00000000-0005-0000-0000-000040760000}"/>
    <cellStyle name="40% - Accent4 3 3 2 2 5 2" xfId="18646" xr:uid="{00000000-0005-0000-0000-000041760000}"/>
    <cellStyle name="40% - Accent4 3 3 2 2 5 2 2" xfId="41248" xr:uid="{00000000-0005-0000-0000-000042760000}"/>
    <cellStyle name="40% - Accent4 3 3 2 2 5 3" xfId="29947" xr:uid="{00000000-0005-0000-0000-000043760000}"/>
    <cellStyle name="40% - Accent4 3 3 2 2 6" xfId="12996" xr:uid="{00000000-0005-0000-0000-000044760000}"/>
    <cellStyle name="40% - Accent4 3 3 2 2 6 2" xfId="35598" xr:uid="{00000000-0005-0000-0000-000045760000}"/>
    <cellStyle name="40% - Accent4 3 3 2 2 7" xfId="24297" xr:uid="{00000000-0005-0000-0000-000046760000}"/>
    <cellStyle name="40% - Accent4 3 3 2 3" xfId="1064" xr:uid="{00000000-0005-0000-0000-000047760000}"/>
    <cellStyle name="40% - Accent4 3 3 2 3 2" xfId="3127" xr:uid="{00000000-0005-0000-0000-000048760000}"/>
    <cellStyle name="40% - Accent4 3 3 2 3 2 2" xfId="6099" xr:uid="{00000000-0005-0000-0000-000049760000}"/>
    <cellStyle name="40% - Accent4 3 3 2 3 2 2 2" xfId="11749" xr:uid="{00000000-0005-0000-0000-00004A760000}"/>
    <cellStyle name="40% - Accent4 3 3 2 3 2 2 2 2" xfId="23050" xr:uid="{00000000-0005-0000-0000-00004B760000}"/>
    <cellStyle name="40% - Accent4 3 3 2 3 2 2 2 2 2" xfId="45652" xr:uid="{00000000-0005-0000-0000-00004C760000}"/>
    <cellStyle name="40% - Accent4 3 3 2 3 2 2 2 3" xfId="34351" xr:uid="{00000000-0005-0000-0000-00004D760000}"/>
    <cellStyle name="40% - Accent4 3 3 2 3 2 2 3" xfId="17400" xr:uid="{00000000-0005-0000-0000-00004E760000}"/>
    <cellStyle name="40% - Accent4 3 3 2 3 2 2 3 2" xfId="40002" xr:uid="{00000000-0005-0000-0000-00004F760000}"/>
    <cellStyle name="40% - Accent4 3 3 2 3 2 2 4" xfId="28701" xr:uid="{00000000-0005-0000-0000-000050760000}"/>
    <cellStyle name="40% - Accent4 3 3 2 3 2 3" xfId="8917" xr:uid="{00000000-0005-0000-0000-000051760000}"/>
    <cellStyle name="40% - Accent4 3 3 2 3 2 3 2" xfId="20218" xr:uid="{00000000-0005-0000-0000-000052760000}"/>
    <cellStyle name="40% - Accent4 3 3 2 3 2 3 2 2" xfId="42820" xr:uid="{00000000-0005-0000-0000-000053760000}"/>
    <cellStyle name="40% - Accent4 3 3 2 3 2 3 3" xfId="31519" xr:uid="{00000000-0005-0000-0000-000054760000}"/>
    <cellStyle name="40% - Accent4 3 3 2 3 2 4" xfId="14568" xr:uid="{00000000-0005-0000-0000-000055760000}"/>
    <cellStyle name="40% - Accent4 3 3 2 3 2 4 2" xfId="37170" xr:uid="{00000000-0005-0000-0000-000056760000}"/>
    <cellStyle name="40% - Accent4 3 3 2 3 2 5" xfId="25869" xr:uid="{00000000-0005-0000-0000-000057760000}"/>
    <cellStyle name="40% - Accent4 3 3 2 3 3" xfId="4865" xr:uid="{00000000-0005-0000-0000-000058760000}"/>
    <cellStyle name="40% - Accent4 3 3 2 3 3 2" xfId="10515" xr:uid="{00000000-0005-0000-0000-000059760000}"/>
    <cellStyle name="40% - Accent4 3 3 2 3 3 2 2" xfId="21816" xr:uid="{00000000-0005-0000-0000-00005A760000}"/>
    <cellStyle name="40% - Accent4 3 3 2 3 3 2 2 2" xfId="44418" xr:uid="{00000000-0005-0000-0000-00005B760000}"/>
    <cellStyle name="40% - Accent4 3 3 2 3 3 2 3" xfId="33117" xr:uid="{00000000-0005-0000-0000-00005C760000}"/>
    <cellStyle name="40% - Accent4 3 3 2 3 3 3" xfId="16166" xr:uid="{00000000-0005-0000-0000-00005D760000}"/>
    <cellStyle name="40% - Accent4 3 3 2 3 3 3 2" xfId="38768" xr:uid="{00000000-0005-0000-0000-00005E760000}"/>
    <cellStyle name="40% - Accent4 3 3 2 3 3 4" xfId="27467" xr:uid="{00000000-0005-0000-0000-00005F760000}"/>
    <cellStyle name="40% - Accent4 3 3 2 3 4" xfId="7052" xr:uid="{00000000-0005-0000-0000-000060760000}"/>
    <cellStyle name="40% - Accent4 3 3 2 3 4 2" xfId="18353" xr:uid="{00000000-0005-0000-0000-000061760000}"/>
    <cellStyle name="40% - Accent4 3 3 2 3 4 2 2" xfId="40955" xr:uid="{00000000-0005-0000-0000-000062760000}"/>
    <cellStyle name="40% - Accent4 3 3 2 3 4 3" xfId="29654" xr:uid="{00000000-0005-0000-0000-000063760000}"/>
    <cellStyle name="40% - Accent4 3 3 2 3 5" xfId="12703" xr:uid="{00000000-0005-0000-0000-000064760000}"/>
    <cellStyle name="40% - Accent4 3 3 2 3 5 2" xfId="35305" xr:uid="{00000000-0005-0000-0000-000065760000}"/>
    <cellStyle name="40% - Accent4 3 3 2 3 6" xfId="24004" xr:uid="{00000000-0005-0000-0000-000066760000}"/>
    <cellStyle name="40% - Accent4 3 3 2 4" xfId="1953" xr:uid="{00000000-0005-0000-0000-000067760000}"/>
    <cellStyle name="40% - Accent4 3 3 2 4 2" xfId="3777" xr:uid="{00000000-0005-0000-0000-000068760000}"/>
    <cellStyle name="40% - Accent4 3 3 2 4 2 2" xfId="9487" xr:uid="{00000000-0005-0000-0000-000069760000}"/>
    <cellStyle name="40% - Accent4 3 3 2 4 2 2 2" xfId="20788" xr:uid="{00000000-0005-0000-0000-00006A760000}"/>
    <cellStyle name="40% - Accent4 3 3 2 4 2 2 2 2" xfId="43390" xr:uid="{00000000-0005-0000-0000-00006B760000}"/>
    <cellStyle name="40% - Accent4 3 3 2 4 2 2 3" xfId="32089" xr:uid="{00000000-0005-0000-0000-00006C760000}"/>
    <cellStyle name="40% - Accent4 3 3 2 4 2 3" xfId="15138" xr:uid="{00000000-0005-0000-0000-00006D760000}"/>
    <cellStyle name="40% - Accent4 3 3 2 4 2 3 2" xfId="37740" xr:uid="{00000000-0005-0000-0000-00006E760000}"/>
    <cellStyle name="40% - Accent4 3 3 2 4 2 4" xfId="26439" xr:uid="{00000000-0005-0000-0000-00006F760000}"/>
    <cellStyle name="40% - Accent4 3 3 2 4 3" xfId="5475" xr:uid="{00000000-0005-0000-0000-000070760000}"/>
    <cellStyle name="40% - Accent4 3 3 2 4 3 2" xfId="11125" xr:uid="{00000000-0005-0000-0000-000071760000}"/>
    <cellStyle name="40% - Accent4 3 3 2 4 3 2 2" xfId="22426" xr:uid="{00000000-0005-0000-0000-000072760000}"/>
    <cellStyle name="40% - Accent4 3 3 2 4 3 2 2 2" xfId="45028" xr:uid="{00000000-0005-0000-0000-000073760000}"/>
    <cellStyle name="40% - Accent4 3 3 2 4 3 2 3" xfId="33727" xr:uid="{00000000-0005-0000-0000-000074760000}"/>
    <cellStyle name="40% - Accent4 3 3 2 4 3 3" xfId="16776" xr:uid="{00000000-0005-0000-0000-000075760000}"/>
    <cellStyle name="40% - Accent4 3 3 2 4 3 3 2" xfId="39378" xr:uid="{00000000-0005-0000-0000-000076760000}"/>
    <cellStyle name="40% - Accent4 3 3 2 4 3 4" xfId="28077" xr:uid="{00000000-0005-0000-0000-000077760000}"/>
    <cellStyle name="40% - Accent4 3 3 2 4 4" xfId="7809" xr:uid="{00000000-0005-0000-0000-000078760000}"/>
    <cellStyle name="40% - Accent4 3 3 2 4 4 2" xfId="19110" xr:uid="{00000000-0005-0000-0000-000079760000}"/>
    <cellStyle name="40% - Accent4 3 3 2 4 4 2 2" xfId="41712" xr:uid="{00000000-0005-0000-0000-00007A760000}"/>
    <cellStyle name="40% - Accent4 3 3 2 4 4 3" xfId="30411" xr:uid="{00000000-0005-0000-0000-00007B760000}"/>
    <cellStyle name="40% - Accent4 3 3 2 4 5" xfId="13460" xr:uid="{00000000-0005-0000-0000-00007C760000}"/>
    <cellStyle name="40% - Accent4 3 3 2 4 5 2" xfId="36062" xr:uid="{00000000-0005-0000-0000-00007D760000}"/>
    <cellStyle name="40% - Accent4 3 3 2 4 6" xfId="24761" xr:uid="{00000000-0005-0000-0000-00007E760000}"/>
    <cellStyle name="40% - Accent4 3 3 2 5" xfId="2456" xr:uid="{00000000-0005-0000-0000-00007F760000}"/>
    <cellStyle name="40% - Accent4 3 3 2 5 2" xfId="8292" xr:uid="{00000000-0005-0000-0000-000080760000}"/>
    <cellStyle name="40% - Accent4 3 3 2 5 2 2" xfId="19593" xr:uid="{00000000-0005-0000-0000-000081760000}"/>
    <cellStyle name="40% - Accent4 3 3 2 5 2 2 2" xfId="42195" xr:uid="{00000000-0005-0000-0000-000082760000}"/>
    <cellStyle name="40% - Accent4 3 3 2 5 2 3" xfId="30894" xr:uid="{00000000-0005-0000-0000-000083760000}"/>
    <cellStyle name="40% - Accent4 3 3 2 5 3" xfId="13943" xr:uid="{00000000-0005-0000-0000-000084760000}"/>
    <cellStyle name="40% - Accent4 3 3 2 5 3 2" xfId="36545" xr:uid="{00000000-0005-0000-0000-000085760000}"/>
    <cellStyle name="40% - Accent4 3 3 2 5 4" xfId="25244" xr:uid="{00000000-0005-0000-0000-000086760000}"/>
    <cellStyle name="40% - Accent4 3 3 2 6" xfId="4241" xr:uid="{00000000-0005-0000-0000-000087760000}"/>
    <cellStyle name="40% - Accent4 3 3 2 6 2" xfId="9891" xr:uid="{00000000-0005-0000-0000-000088760000}"/>
    <cellStyle name="40% - Accent4 3 3 2 6 2 2" xfId="21192" xr:uid="{00000000-0005-0000-0000-000089760000}"/>
    <cellStyle name="40% - Accent4 3 3 2 6 2 2 2" xfId="43794" xr:uid="{00000000-0005-0000-0000-00008A760000}"/>
    <cellStyle name="40% - Accent4 3 3 2 6 2 3" xfId="32493" xr:uid="{00000000-0005-0000-0000-00008B760000}"/>
    <cellStyle name="40% - Accent4 3 3 2 6 3" xfId="15542" xr:uid="{00000000-0005-0000-0000-00008C760000}"/>
    <cellStyle name="40% - Accent4 3 3 2 6 3 2" xfId="38144" xr:uid="{00000000-0005-0000-0000-00008D760000}"/>
    <cellStyle name="40% - Accent4 3 3 2 6 4" xfId="26843" xr:uid="{00000000-0005-0000-0000-00008E760000}"/>
    <cellStyle name="40% - Accent4 3 3 2 7" xfId="6721" xr:uid="{00000000-0005-0000-0000-00008F760000}"/>
    <cellStyle name="40% - Accent4 3 3 2 7 2" xfId="18022" xr:uid="{00000000-0005-0000-0000-000090760000}"/>
    <cellStyle name="40% - Accent4 3 3 2 7 2 2" xfId="40624" xr:uid="{00000000-0005-0000-0000-000091760000}"/>
    <cellStyle name="40% - Accent4 3 3 2 7 3" xfId="29323" xr:uid="{00000000-0005-0000-0000-000092760000}"/>
    <cellStyle name="40% - Accent4 3 3 2 8" xfId="12372" xr:uid="{00000000-0005-0000-0000-000093760000}"/>
    <cellStyle name="40% - Accent4 3 3 2 8 2" xfId="34974" xr:uid="{00000000-0005-0000-0000-000094760000}"/>
    <cellStyle name="40% - Accent4 3 3 2 9" xfId="23673" xr:uid="{00000000-0005-0000-0000-000095760000}"/>
    <cellStyle name="40% - Accent4 3 3 3" xfId="1228" xr:uid="{00000000-0005-0000-0000-000096760000}"/>
    <cellStyle name="40% - Accent4 3 3 3 2" xfId="1955" xr:uid="{00000000-0005-0000-0000-000097760000}"/>
    <cellStyle name="40% - Accent4 3 3 3 2 2" xfId="3296" xr:uid="{00000000-0005-0000-0000-000098760000}"/>
    <cellStyle name="40% - Accent4 3 3 3 2 2 2" xfId="6268" xr:uid="{00000000-0005-0000-0000-000099760000}"/>
    <cellStyle name="40% - Accent4 3 3 3 2 2 2 2" xfId="11918" xr:uid="{00000000-0005-0000-0000-00009A760000}"/>
    <cellStyle name="40% - Accent4 3 3 3 2 2 2 2 2" xfId="23219" xr:uid="{00000000-0005-0000-0000-00009B760000}"/>
    <cellStyle name="40% - Accent4 3 3 3 2 2 2 2 2 2" xfId="45821" xr:uid="{00000000-0005-0000-0000-00009C760000}"/>
    <cellStyle name="40% - Accent4 3 3 3 2 2 2 2 3" xfId="34520" xr:uid="{00000000-0005-0000-0000-00009D760000}"/>
    <cellStyle name="40% - Accent4 3 3 3 2 2 2 3" xfId="17569" xr:uid="{00000000-0005-0000-0000-00009E760000}"/>
    <cellStyle name="40% - Accent4 3 3 3 2 2 2 3 2" xfId="40171" xr:uid="{00000000-0005-0000-0000-00009F760000}"/>
    <cellStyle name="40% - Accent4 3 3 3 2 2 2 4" xfId="28870" xr:uid="{00000000-0005-0000-0000-0000A0760000}"/>
    <cellStyle name="40% - Accent4 3 3 3 2 2 3" xfId="9086" xr:uid="{00000000-0005-0000-0000-0000A1760000}"/>
    <cellStyle name="40% - Accent4 3 3 3 2 2 3 2" xfId="20387" xr:uid="{00000000-0005-0000-0000-0000A2760000}"/>
    <cellStyle name="40% - Accent4 3 3 3 2 2 3 2 2" xfId="42989" xr:uid="{00000000-0005-0000-0000-0000A3760000}"/>
    <cellStyle name="40% - Accent4 3 3 3 2 2 3 3" xfId="31688" xr:uid="{00000000-0005-0000-0000-0000A4760000}"/>
    <cellStyle name="40% - Accent4 3 3 3 2 2 4" xfId="14737" xr:uid="{00000000-0005-0000-0000-0000A5760000}"/>
    <cellStyle name="40% - Accent4 3 3 3 2 2 4 2" xfId="37339" xr:uid="{00000000-0005-0000-0000-0000A6760000}"/>
    <cellStyle name="40% - Accent4 3 3 3 2 2 5" xfId="26038" xr:uid="{00000000-0005-0000-0000-0000A7760000}"/>
    <cellStyle name="40% - Accent4 3 3 3 2 3" xfId="5034" xr:uid="{00000000-0005-0000-0000-0000A8760000}"/>
    <cellStyle name="40% - Accent4 3 3 3 2 3 2" xfId="10684" xr:uid="{00000000-0005-0000-0000-0000A9760000}"/>
    <cellStyle name="40% - Accent4 3 3 3 2 3 2 2" xfId="21985" xr:uid="{00000000-0005-0000-0000-0000AA760000}"/>
    <cellStyle name="40% - Accent4 3 3 3 2 3 2 2 2" xfId="44587" xr:uid="{00000000-0005-0000-0000-0000AB760000}"/>
    <cellStyle name="40% - Accent4 3 3 3 2 3 2 3" xfId="33286" xr:uid="{00000000-0005-0000-0000-0000AC760000}"/>
    <cellStyle name="40% - Accent4 3 3 3 2 3 3" xfId="16335" xr:uid="{00000000-0005-0000-0000-0000AD760000}"/>
    <cellStyle name="40% - Accent4 3 3 3 2 3 3 2" xfId="38937" xr:uid="{00000000-0005-0000-0000-0000AE760000}"/>
    <cellStyle name="40% - Accent4 3 3 3 2 3 4" xfId="27636" xr:uid="{00000000-0005-0000-0000-0000AF760000}"/>
    <cellStyle name="40% - Accent4 3 3 3 2 4" xfId="7811" xr:uid="{00000000-0005-0000-0000-0000B0760000}"/>
    <cellStyle name="40% - Accent4 3 3 3 2 4 2" xfId="19112" xr:uid="{00000000-0005-0000-0000-0000B1760000}"/>
    <cellStyle name="40% - Accent4 3 3 3 2 4 2 2" xfId="41714" xr:uid="{00000000-0005-0000-0000-0000B2760000}"/>
    <cellStyle name="40% - Accent4 3 3 3 2 4 3" xfId="30413" xr:uid="{00000000-0005-0000-0000-0000B3760000}"/>
    <cellStyle name="40% - Accent4 3 3 3 2 5" xfId="13462" xr:uid="{00000000-0005-0000-0000-0000B4760000}"/>
    <cellStyle name="40% - Accent4 3 3 3 2 5 2" xfId="36064" xr:uid="{00000000-0005-0000-0000-0000B5760000}"/>
    <cellStyle name="40% - Accent4 3 3 3 2 6" xfId="24763" xr:uid="{00000000-0005-0000-0000-0000B6760000}"/>
    <cellStyle name="40% - Accent4 3 3 3 3" xfId="2625" xr:uid="{00000000-0005-0000-0000-0000B7760000}"/>
    <cellStyle name="40% - Accent4 3 3 3 3 2" xfId="5644" xr:uid="{00000000-0005-0000-0000-0000B8760000}"/>
    <cellStyle name="40% - Accent4 3 3 3 3 2 2" xfId="11294" xr:uid="{00000000-0005-0000-0000-0000B9760000}"/>
    <cellStyle name="40% - Accent4 3 3 3 3 2 2 2" xfId="22595" xr:uid="{00000000-0005-0000-0000-0000BA760000}"/>
    <cellStyle name="40% - Accent4 3 3 3 3 2 2 2 2" xfId="45197" xr:uid="{00000000-0005-0000-0000-0000BB760000}"/>
    <cellStyle name="40% - Accent4 3 3 3 3 2 2 3" xfId="33896" xr:uid="{00000000-0005-0000-0000-0000BC760000}"/>
    <cellStyle name="40% - Accent4 3 3 3 3 2 3" xfId="16945" xr:uid="{00000000-0005-0000-0000-0000BD760000}"/>
    <cellStyle name="40% - Accent4 3 3 3 3 2 3 2" xfId="39547" xr:uid="{00000000-0005-0000-0000-0000BE760000}"/>
    <cellStyle name="40% - Accent4 3 3 3 3 2 4" xfId="28246" xr:uid="{00000000-0005-0000-0000-0000BF760000}"/>
    <cellStyle name="40% - Accent4 3 3 3 3 3" xfId="8461" xr:uid="{00000000-0005-0000-0000-0000C0760000}"/>
    <cellStyle name="40% - Accent4 3 3 3 3 3 2" xfId="19762" xr:uid="{00000000-0005-0000-0000-0000C1760000}"/>
    <cellStyle name="40% - Accent4 3 3 3 3 3 2 2" xfId="42364" xr:uid="{00000000-0005-0000-0000-0000C2760000}"/>
    <cellStyle name="40% - Accent4 3 3 3 3 3 3" xfId="31063" xr:uid="{00000000-0005-0000-0000-0000C3760000}"/>
    <cellStyle name="40% - Accent4 3 3 3 3 4" xfId="14112" xr:uid="{00000000-0005-0000-0000-0000C4760000}"/>
    <cellStyle name="40% - Accent4 3 3 3 3 4 2" xfId="36714" xr:uid="{00000000-0005-0000-0000-0000C5760000}"/>
    <cellStyle name="40% - Accent4 3 3 3 3 5" xfId="25413" xr:uid="{00000000-0005-0000-0000-0000C6760000}"/>
    <cellStyle name="40% - Accent4 3 3 3 4" xfId="4410" xr:uid="{00000000-0005-0000-0000-0000C7760000}"/>
    <cellStyle name="40% - Accent4 3 3 3 4 2" xfId="10060" xr:uid="{00000000-0005-0000-0000-0000C8760000}"/>
    <cellStyle name="40% - Accent4 3 3 3 4 2 2" xfId="21361" xr:uid="{00000000-0005-0000-0000-0000C9760000}"/>
    <cellStyle name="40% - Accent4 3 3 3 4 2 2 2" xfId="43963" xr:uid="{00000000-0005-0000-0000-0000CA760000}"/>
    <cellStyle name="40% - Accent4 3 3 3 4 2 3" xfId="32662" xr:uid="{00000000-0005-0000-0000-0000CB760000}"/>
    <cellStyle name="40% - Accent4 3 3 3 4 3" xfId="15711" xr:uid="{00000000-0005-0000-0000-0000CC760000}"/>
    <cellStyle name="40% - Accent4 3 3 3 4 3 2" xfId="38313" xr:uid="{00000000-0005-0000-0000-0000CD760000}"/>
    <cellStyle name="40% - Accent4 3 3 3 4 4" xfId="27012" xr:uid="{00000000-0005-0000-0000-0000CE760000}"/>
    <cellStyle name="40% - Accent4 3 3 3 5" xfId="7207" xr:uid="{00000000-0005-0000-0000-0000CF760000}"/>
    <cellStyle name="40% - Accent4 3 3 3 5 2" xfId="18508" xr:uid="{00000000-0005-0000-0000-0000D0760000}"/>
    <cellStyle name="40% - Accent4 3 3 3 5 2 2" xfId="41110" xr:uid="{00000000-0005-0000-0000-0000D1760000}"/>
    <cellStyle name="40% - Accent4 3 3 3 5 3" xfId="29809" xr:uid="{00000000-0005-0000-0000-0000D2760000}"/>
    <cellStyle name="40% - Accent4 3 3 3 6" xfId="12858" xr:uid="{00000000-0005-0000-0000-0000D3760000}"/>
    <cellStyle name="40% - Accent4 3 3 3 6 2" xfId="35460" xr:uid="{00000000-0005-0000-0000-0000D4760000}"/>
    <cellStyle name="40% - Accent4 3 3 3 7" xfId="24159" xr:uid="{00000000-0005-0000-0000-0000D5760000}"/>
    <cellStyle name="40% - Accent4 3 3 4" xfId="919" xr:uid="{00000000-0005-0000-0000-0000D6760000}"/>
    <cellStyle name="40% - Accent4 3 3 4 2" xfId="2989" xr:uid="{00000000-0005-0000-0000-0000D7760000}"/>
    <cellStyle name="40% - Accent4 3 3 4 2 2" xfId="5961" xr:uid="{00000000-0005-0000-0000-0000D8760000}"/>
    <cellStyle name="40% - Accent4 3 3 4 2 2 2" xfId="11611" xr:uid="{00000000-0005-0000-0000-0000D9760000}"/>
    <cellStyle name="40% - Accent4 3 3 4 2 2 2 2" xfId="22912" xr:uid="{00000000-0005-0000-0000-0000DA760000}"/>
    <cellStyle name="40% - Accent4 3 3 4 2 2 2 2 2" xfId="45514" xr:uid="{00000000-0005-0000-0000-0000DB760000}"/>
    <cellStyle name="40% - Accent4 3 3 4 2 2 2 3" xfId="34213" xr:uid="{00000000-0005-0000-0000-0000DC760000}"/>
    <cellStyle name="40% - Accent4 3 3 4 2 2 3" xfId="17262" xr:uid="{00000000-0005-0000-0000-0000DD760000}"/>
    <cellStyle name="40% - Accent4 3 3 4 2 2 3 2" xfId="39864" xr:uid="{00000000-0005-0000-0000-0000DE760000}"/>
    <cellStyle name="40% - Accent4 3 3 4 2 2 4" xfId="28563" xr:uid="{00000000-0005-0000-0000-0000DF760000}"/>
    <cellStyle name="40% - Accent4 3 3 4 2 3" xfId="8779" xr:uid="{00000000-0005-0000-0000-0000E0760000}"/>
    <cellStyle name="40% - Accent4 3 3 4 2 3 2" xfId="20080" xr:uid="{00000000-0005-0000-0000-0000E1760000}"/>
    <cellStyle name="40% - Accent4 3 3 4 2 3 2 2" xfId="42682" xr:uid="{00000000-0005-0000-0000-0000E2760000}"/>
    <cellStyle name="40% - Accent4 3 3 4 2 3 3" xfId="31381" xr:uid="{00000000-0005-0000-0000-0000E3760000}"/>
    <cellStyle name="40% - Accent4 3 3 4 2 4" xfId="14430" xr:uid="{00000000-0005-0000-0000-0000E4760000}"/>
    <cellStyle name="40% - Accent4 3 3 4 2 4 2" xfId="37032" xr:uid="{00000000-0005-0000-0000-0000E5760000}"/>
    <cellStyle name="40% - Accent4 3 3 4 2 5" xfId="25731" xr:uid="{00000000-0005-0000-0000-0000E6760000}"/>
    <cellStyle name="40% - Accent4 3 3 4 3" xfId="4727" xr:uid="{00000000-0005-0000-0000-0000E7760000}"/>
    <cellStyle name="40% - Accent4 3 3 4 3 2" xfId="10377" xr:uid="{00000000-0005-0000-0000-0000E8760000}"/>
    <cellStyle name="40% - Accent4 3 3 4 3 2 2" xfId="21678" xr:uid="{00000000-0005-0000-0000-0000E9760000}"/>
    <cellStyle name="40% - Accent4 3 3 4 3 2 2 2" xfId="44280" xr:uid="{00000000-0005-0000-0000-0000EA760000}"/>
    <cellStyle name="40% - Accent4 3 3 4 3 2 3" xfId="32979" xr:uid="{00000000-0005-0000-0000-0000EB760000}"/>
    <cellStyle name="40% - Accent4 3 3 4 3 3" xfId="16028" xr:uid="{00000000-0005-0000-0000-0000EC760000}"/>
    <cellStyle name="40% - Accent4 3 3 4 3 3 2" xfId="38630" xr:uid="{00000000-0005-0000-0000-0000ED760000}"/>
    <cellStyle name="40% - Accent4 3 3 4 3 4" xfId="27329" xr:uid="{00000000-0005-0000-0000-0000EE760000}"/>
    <cellStyle name="40% - Accent4 3 3 4 4" xfId="6914" xr:uid="{00000000-0005-0000-0000-0000EF760000}"/>
    <cellStyle name="40% - Accent4 3 3 4 4 2" xfId="18215" xr:uid="{00000000-0005-0000-0000-0000F0760000}"/>
    <cellStyle name="40% - Accent4 3 3 4 4 2 2" xfId="40817" xr:uid="{00000000-0005-0000-0000-0000F1760000}"/>
    <cellStyle name="40% - Accent4 3 3 4 4 3" xfId="29516" xr:uid="{00000000-0005-0000-0000-0000F2760000}"/>
    <cellStyle name="40% - Accent4 3 3 4 5" xfId="12565" xr:uid="{00000000-0005-0000-0000-0000F3760000}"/>
    <cellStyle name="40% - Accent4 3 3 4 5 2" xfId="35167" xr:uid="{00000000-0005-0000-0000-0000F4760000}"/>
    <cellStyle name="40% - Accent4 3 3 4 6" xfId="23866" xr:uid="{00000000-0005-0000-0000-0000F5760000}"/>
    <cellStyle name="40% - Accent4 3 3 5" xfId="1952" xr:uid="{00000000-0005-0000-0000-0000F6760000}"/>
    <cellStyle name="40% - Accent4 3 3 5 2" xfId="3776" xr:uid="{00000000-0005-0000-0000-0000F7760000}"/>
    <cellStyle name="40% - Accent4 3 3 5 2 2" xfId="9486" xr:uid="{00000000-0005-0000-0000-0000F8760000}"/>
    <cellStyle name="40% - Accent4 3 3 5 2 2 2" xfId="20787" xr:uid="{00000000-0005-0000-0000-0000F9760000}"/>
    <cellStyle name="40% - Accent4 3 3 5 2 2 2 2" xfId="43389" xr:uid="{00000000-0005-0000-0000-0000FA760000}"/>
    <cellStyle name="40% - Accent4 3 3 5 2 2 3" xfId="32088" xr:uid="{00000000-0005-0000-0000-0000FB760000}"/>
    <cellStyle name="40% - Accent4 3 3 5 2 3" xfId="15137" xr:uid="{00000000-0005-0000-0000-0000FC760000}"/>
    <cellStyle name="40% - Accent4 3 3 5 2 3 2" xfId="37739" xr:uid="{00000000-0005-0000-0000-0000FD760000}"/>
    <cellStyle name="40% - Accent4 3 3 5 2 4" xfId="26438" xr:uid="{00000000-0005-0000-0000-0000FE760000}"/>
    <cellStyle name="40% - Accent4 3 3 5 3" xfId="5337" xr:uid="{00000000-0005-0000-0000-0000FF760000}"/>
    <cellStyle name="40% - Accent4 3 3 5 3 2" xfId="10987" xr:uid="{00000000-0005-0000-0000-000000770000}"/>
    <cellStyle name="40% - Accent4 3 3 5 3 2 2" xfId="22288" xr:uid="{00000000-0005-0000-0000-000001770000}"/>
    <cellStyle name="40% - Accent4 3 3 5 3 2 2 2" xfId="44890" xr:uid="{00000000-0005-0000-0000-000002770000}"/>
    <cellStyle name="40% - Accent4 3 3 5 3 2 3" xfId="33589" xr:uid="{00000000-0005-0000-0000-000003770000}"/>
    <cellStyle name="40% - Accent4 3 3 5 3 3" xfId="16638" xr:uid="{00000000-0005-0000-0000-000004770000}"/>
    <cellStyle name="40% - Accent4 3 3 5 3 3 2" xfId="39240" xr:uid="{00000000-0005-0000-0000-000005770000}"/>
    <cellStyle name="40% - Accent4 3 3 5 3 4" xfId="27939" xr:uid="{00000000-0005-0000-0000-000006770000}"/>
    <cellStyle name="40% - Accent4 3 3 5 4" xfId="7808" xr:uid="{00000000-0005-0000-0000-000007770000}"/>
    <cellStyle name="40% - Accent4 3 3 5 4 2" xfId="19109" xr:uid="{00000000-0005-0000-0000-000008770000}"/>
    <cellStyle name="40% - Accent4 3 3 5 4 2 2" xfId="41711" xr:uid="{00000000-0005-0000-0000-000009770000}"/>
    <cellStyle name="40% - Accent4 3 3 5 4 3" xfId="30410" xr:uid="{00000000-0005-0000-0000-00000A770000}"/>
    <cellStyle name="40% - Accent4 3 3 5 5" xfId="13459" xr:uid="{00000000-0005-0000-0000-00000B770000}"/>
    <cellStyle name="40% - Accent4 3 3 5 5 2" xfId="36061" xr:uid="{00000000-0005-0000-0000-00000C770000}"/>
    <cellStyle name="40% - Accent4 3 3 5 6" xfId="24760" xr:uid="{00000000-0005-0000-0000-00000D770000}"/>
    <cellStyle name="40% - Accent4 3 3 6" xfId="2316" xr:uid="{00000000-0005-0000-0000-00000E770000}"/>
    <cellStyle name="40% - Accent4 3 3 6 2" xfId="8152" xr:uid="{00000000-0005-0000-0000-00000F770000}"/>
    <cellStyle name="40% - Accent4 3 3 6 2 2" xfId="19453" xr:uid="{00000000-0005-0000-0000-000010770000}"/>
    <cellStyle name="40% - Accent4 3 3 6 2 2 2" xfId="42055" xr:uid="{00000000-0005-0000-0000-000011770000}"/>
    <cellStyle name="40% - Accent4 3 3 6 2 3" xfId="30754" xr:uid="{00000000-0005-0000-0000-000012770000}"/>
    <cellStyle name="40% - Accent4 3 3 6 3" xfId="13803" xr:uid="{00000000-0005-0000-0000-000013770000}"/>
    <cellStyle name="40% - Accent4 3 3 6 3 2" xfId="36405" xr:uid="{00000000-0005-0000-0000-000014770000}"/>
    <cellStyle name="40% - Accent4 3 3 6 4" xfId="25104" xr:uid="{00000000-0005-0000-0000-000015770000}"/>
    <cellStyle name="40% - Accent4 3 3 7" xfId="4103" xr:uid="{00000000-0005-0000-0000-000016770000}"/>
    <cellStyle name="40% - Accent4 3 3 7 2" xfId="9753" xr:uid="{00000000-0005-0000-0000-000017770000}"/>
    <cellStyle name="40% - Accent4 3 3 7 2 2" xfId="21054" xr:uid="{00000000-0005-0000-0000-000018770000}"/>
    <cellStyle name="40% - Accent4 3 3 7 2 2 2" xfId="43656" xr:uid="{00000000-0005-0000-0000-000019770000}"/>
    <cellStyle name="40% - Accent4 3 3 7 2 3" xfId="32355" xr:uid="{00000000-0005-0000-0000-00001A770000}"/>
    <cellStyle name="40% - Accent4 3 3 7 3" xfId="15404" xr:uid="{00000000-0005-0000-0000-00001B770000}"/>
    <cellStyle name="40% - Accent4 3 3 7 3 2" xfId="38006" xr:uid="{00000000-0005-0000-0000-00001C770000}"/>
    <cellStyle name="40% - Accent4 3 3 7 4" xfId="26705" xr:uid="{00000000-0005-0000-0000-00001D770000}"/>
    <cellStyle name="40% - Accent4 3 3 8" xfId="6554" xr:uid="{00000000-0005-0000-0000-00001E770000}"/>
    <cellStyle name="40% - Accent4 3 3 8 2" xfId="17855" xr:uid="{00000000-0005-0000-0000-00001F770000}"/>
    <cellStyle name="40% - Accent4 3 3 8 2 2" xfId="40457" xr:uid="{00000000-0005-0000-0000-000020770000}"/>
    <cellStyle name="40% - Accent4 3 3 8 3" xfId="29156" xr:uid="{00000000-0005-0000-0000-000021770000}"/>
    <cellStyle name="40% - Accent4 3 3 9" xfId="12205" xr:uid="{00000000-0005-0000-0000-000022770000}"/>
    <cellStyle name="40% - Accent4 3 3 9 2" xfId="34807" xr:uid="{00000000-0005-0000-0000-000023770000}"/>
    <cellStyle name="40% - Accent4 3 4" xfId="553" xr:uid="{00000000-0005-0000-0000-000024770000}"/>
    <cellStyle name="40% - Accent4 3 4 2" xfId="1132" xr:uid="{00000000-0005-0000-0000-000025770000}"/>
    <cellStyle name="40% - Accent4 3 4 2 2" xfId="1957" xr:uid="{00000000-0005-0000-0000-000026770000}"/>
    <cellStyle name="40% - Accent4 3 4 2 2 2" xfId="3199" xr:uid="{00000000-0005-0000-0000-000027770000}"/>
    <cellStyle name="40% - Accent4 3 4 2 2 2 2" xfId="6171" xr:uid="{00000000-0005-0000-0000-000028770000}"/>
    <cellStyle name="40% - Accent4 3 4 2 2 2 2 2" xfId="11821" xr:uid="{00000000-0005-0000-0000-000029770000}"/>
    <cellStyle name="40% - Accent4 3 4 2 2 2 2 2 2" xfId="23122" xr:uid="{00000000-0005-0000-0000-00002A770000}"/>
    <cellStyle name="40% - Accent4 3 4 2 2 2 2 2 2 2" xfId="45724" xr:uid="{00000000-0005-0000-0000-00002B770000}"/>
    <cellStyle name="40% - Accent4 3 4 2 2 2 2 2 3" xfId="34423" xr:uid="{00000000-0005-0000-0000-00002C770000}"/>
    <cellStyle name="40% - Accent4 3 4 2 2 2 2 3" xfId="17472" xr:uid="{00000000-0005-0000-0000-00002D770000}"/>
    <cellStyle name="40% - Accent4 3 4 2 2 2 2 3 2" xfId="40074" xr:uid="{00000000-0005-0000-0000-00002E770000}"/>
    <cellStyle name="40% - Accent4 3 4 2 2 2 2 4" xfId="28773" xr:uid="{00000000-0005-0000-0000-00002F770000}"/>
    <cellStyle name="40% - Accent4 3 4 2 2 2 3" xfId="8989" xr:uid="{00000000-0005-0000-0000-000030770000}"/>
    <cellStyle name="40% - Accent4 3 4 2 2 2 3 2" xfId="20290" xr:uid="{00000000-0005-0000-0000-000031770000}"/>
    <cellStyle name="40% - Accent4 3 4 2 2 2 3 2 2" xfId="42892" xr:uid="{00000000-0005-0000-0000-000032770000}"/>
    <cellStyle name="40% - Accent4 3 4 2 2 2 3 3" xfId="31591" xr:uid="{00000000-0005-0000-0000-000033770000}"/>
    <cellStyle name="40% - Accent4 3 4 2 2 2 4" xfId="14640" xr:uid="{00000000-0005-0000-0000-000034770000}"/>
    <cellStyle name="40% - Accent4 3 4 2 2 2 4 2" xfId="37242" xr:uid="{00000000-0005-0000-0000-000035770000}"/>
    <cellStyle name="40% - Accent4 3 4 2 2 2 5" xfId="25941" xr:uid="{00000000-0005-0000-0000-000036770000}"/>
    <cellStyle name="40% - Accent4 3 4 2 2 3" xfId="4937" xr:uid="{00000000-0005-0000-0000-000037770000}"/>
    <cellStyle name="40% - Accent4 3 4 2 2 3 2" xfId="10587" xr:uid="{00000000-0005-0000-0000-000038770000}"/>
    <cellStyle name="40% - Accent4 3 4 2 2 3 2 2" xfId="21888" xr:uid="{00000000-0005-0000-0000-000039770000}"/>
    <cellStyle name="40% - Accent4 3 4 2 2 3 2 2 2" xfId="44490" xr:uid="{00000000-0005-0000-0000-00003A770000}"/>
    <cellStyle name="40% - Accent4 3 4 2 2 3 2 3" xfId="33189" xr:uid="{00000000-0005-0000-0000-00003B770000}"/>
    <cellStyle name="40% - Accent4 3 4 2 2 3 3" xfId="16238" xr:uid="{00000000-0005-0000-0000-00003C770000}"/>
    <cellStyle name="40% - Accent4 3 4 2 2 3 3 2" xfId="38840" xr:uid="{00000000-0005-0000-0000-00003D770000}"/>
    <cellStyle name="40% - Accent4 3 4 2 2 3 4" xfId="27539" xr:uid="{00000000-0005-0000-0000-00003E770000}"/>
    <cellStyle name="40% - Accent4 3 4 2 2 4" xfId="7813" xr:uid="{00000000-0005-0000-0000-00003F770000}"/>
    <cellStyle name="40% - Accent4 3 4 2 2 4 2" xfId="19114" xr:uid="{00000000-0005-0000-0000-000040770000}"/>
    <cellStyle name="40% - Accent4 3 4 2 2 4 2 2" xfId="41716" xr:uid="{00000000-0005-0000-0000-000041770000}"/>
    <cellStyle name="40% - Accent4 3 4 2 2 4 3" xfId="30415" xr:uid="{00000000-0005-0000-0000-000042770000}"/>
    <cellStyle name="40% - Accent4 3 4 2 2 5" xfId="13464" xr:uid="{00000000-0005-0000-0000-000043770000}"/>
    <cellStyle name="40% - Accent4 3 4 2 2 5 2" xfId="36066" xr:uid="{00000000-0005-0000-0000-000044770000}"/>
    <cellStyle name="40% - Accent4 3 4 2 2 6" xfId="24765" xr:uid="{00000000-0005-0000-0000-000045770000}"/>
    <cellStyle name="40% - Accent4 3 4 2 3" xfId="2528" xr:uid="{00000000-0005-0000-0000-000046770000}"/>
    <cellStyle name="40% - Accent4 3 4 2 3 2" xfId="5547" xr:uid="{00000000-0005-0000-0000-000047770000}"/>
    <cellStyle name="40% - Accent4 3 4 2 3 2 2" xfId="11197" xr:uid="{00000000-0005-0000-0000-000048770000}"/>
    <cellStyle name="40% - Accent4 3 4 2 3 2 2 2" xfId="22498" xr:uid="{00000000-0005-0000-0000-000049770000}"/>
    <cellStyle name="40% - Accent4 3 4 2 3 2 2 2 2" xfId="45100" xr:uid="{00000000-0005-0000-0000-00004A770000}"/>
    <cellStyle name="40% - Accent4 3 4 2 3 2 2 3" xfId="33799" xr:uid="{00000000-0005-0000-0000-00004B770000}"/>
    <cellStyle name="40% - Accent4 3 4 2 3 2 3" xfId="16848" xr:uid="{00000000-0005-0000-0000-00004C770000}"/>
    <cellStyle name="40% - Accent4 3 4 2 3 2 3 2" xfId="39450" xr:uid="{00000000-0005-0000-0000-00004D770000}"/>
    <cellStyle name="40% - Accent4 3 4 2 3 2 4" xfId="28149" xr:uid="{00000000-0005-0000-0000-00004E770000}"/>
    <cellStyle name="40% - Accent4 3 4 2 3 3" xfId="8364" xr:uid="{00000000-0005-0000-0000-00004F770000}"/>
    <cellStyle name="40% - Accent4 3 4 2 3 3 2" xfId="19665" xr:uid="{00000000-0005-0000-0000-000050770000}"/>
    <cellStyle name="40% - Accent4 3 4 2 3 3 2 2" xfId="42267" xr:uid="{00000000-0005-0000-0000-000051770000}"/>
    <cellStyle name="40% - Accent4 3 4 2 3 3 3" xfId="30966" xr:uid="{00000000-0005-0000-0000-000052770000}"/>
    <cellStyle name="40% - Accent4 3 4 2 3 4" xfId="14015" xr:uid="{00000000-0005-0000-0000-000053770000}"/>
    <cellStyle name="40% - Accent4 3 4 2 3 4 2" xfId="36617" xr:uid="{00000000-0005-0000-0000-000054770000}"/>
    <cellStyle name="40% - Accent4 3 4 2 3 5" xfId="25316" xr:uid="{00000000-0005-0000-0000-000055770000}"/>
    <cellStyle name="40% - Accent4 3 4 2 4" xfId="4313" xr:uid="{00000000-0005-0000-0000-000056770000}"/>
    <cellStyle name="40% - Accent4 3 4 2 4 2" xfId="9963" xr:uid="{00000000-0005-0000-0000-000057770000}"/>
    <cellStyle name="40% - Accent4 3 4 2 4 2 2" xfId="21264" xr:uid="{00000000-0005-0000-0000-000058770000}"/>
    <cellStyle name="40% - Accent4 3 4 2 4 2 2 2" xfId="43866" xr:uid="{00000000-0005-0000-0000-000059770000}"/>
    <cellStyle name="40% - Accent4 3 4 2 4 2 3" xfId="32565" xr:uid="{00000000-0005-0000-0000-00005A770000}"/>
    <cellStyle name="40% - Accent4 3 4 2 4 3" xfId="15614" xr:uid="{00000000-0005-0000-0000-00005B770000}"/>
    <cellStyle name="40% - Accent4 3 4 2 4 3 2" xfId="38216" xr:uid="{00000000-0005-0000-0000-00005C770000}"/>
    <cellStyle name="40% - Accent4 3 4 2 4 4" xfId="26915" xr:uid="{00000000-0005-0000-0000-00005D770000}"/>
    <cellStyle name="40% - Accent4 3 4 2 5" xfId="7111" xr:uid="{00000000-0005-0000-0000-00005E770000}"/>
    <cellStyle name="40% - Accent4 3 4 2 5 2" xfId="18412" xr:uid="{00000000-0005-0000-0000-00005F770000}"/>
    <cellStyle name="40% - Accent4 3 4 2 5 2 2" xfId="41014" xr:uid="{00000000-0005-0000-0000-000060770000}"/>
    <cellStyle name="40% - Accent4 3 4 2 5 3" xfId="29713" xr:uid="{00000000-0005-0000-0000-000061770000}"/>
    <cellStyle name="40% - Accent4 3 4 2 6" xfId="12762" xr:uid="{00000000-0005-0000-0000-000062770000}"/>
    <cellStyle name="40% - Accent4 3 4 2 6 2" xfId="35364" xr:uid="{00000000-0005-0000-0000-000063770000}"/>
    <cellStyle name="40% - Accent4 3 4 2 7" xfId="24063" xr:uid="{00000000-0005-0000-0000-000064770000}"/>
    <cellStyle name="40% - Accent4 3 4 3" xfId="805" xr:uid="{00000000-0005-0000-0000-000065770000}"/>
    <cellStyle name="40% - Accent4 3 4 3 2" xfId="2893" xr:uid="{00000000-0005-0000-0000-000066770000}"/>
    <cellStyle name="40% - Accent4 3 4 3 2 2" xfId="5865" xr:uid="{00000000-0005-0000-0000-000067770000}"/>
    <cellStyle name="40% - Accent4 3 4 3 2 2 2" xfId="11515" xr:uid="{00000000-0005-0000-0000-000068770000}"/>
    <cellStyle name="40% - Accent4 3 4 3 2 2 2 2" xfId="22816" xr:uid="{00000000-0005-0000-0000-000069770000}"/>
    <cellStyle name="40% - Accent4 3 4 3 2 2 2 2 2" xfId="45418" xr:uid="{00000000-0005-0000-0000-00006A770000}"/>
    <cellStyle name="40% - Accent4 3 4 3 2 2 2 3" xfId="34117" xr:uid="{00000000-0005-0000-0000-00006B770000}"/>
    <cellStyle name="40% - Accent4 3 4 3 2 2 3" xfId="17166" xr:uid="{00000000-0005-0000-0000-00006C770000}"/>
    <cellStyle name="40% - Accent4 3 4 3 2 2 3 2" xfId="39768" xr:uid="{00000000-0005-0000-0000-00006D770000}"/>
    <cellStyle name="40% - Accent4 3 4 3 2 2 4" xfId="28467" xr:uid="{00000000-0005-0000-0000-00006E770000}"/>
    <cellStyle name="40% - Accent4 3 4 3 2 3" xfId="8683" xr:uid="{00000000-0005-0000-0000-00006F770000}"/>
    <cellStyle name="40% - Accent4 3 4 3 2 3 2" xfId="19984" xr:uid="{00000000-0005-0000-0000-000070770000}"/>
    <cellStyle name="40% - Accent4 3 4 3 2 3 2 2" xfId="42586" xr:uid="{00000000-0005-0000-0000-000071770000}"/>
    <cellStyle name="40% - Accent4 3 4 3 2 3 3" xfId="31285" xr:uid="{00000000-0005-0000-0000-000072770000}"/>
    <cellStyle name="40% - Accent4 3 4 3 2 4" xfId="14334" xr:uid="{00000000-0005-0000-0000-000073770000}"/>
    <cellStyle name="40% - Accent4 3 4 3 2 4 2" xfId="36936" xr:uid="{00000000-0005-0000-0000-000074770000}"/>
    <cellStyle name="40% - Accent4 3 4 3 2 5" xfId="25635" xr:uid="{00000000-0005-0000-0000-000075770000}"/>
    <cellStyle name="40% - Accent4 3 4 3 3" xfId="4631" xr:uid="{00000000-0005-0000-0000-000076770000}"/>
    <cellStyle name="40% - Accent4 3 4 3 3 2" xfId="10281" xr:uid="{00000000-0005-0000-0000-000077770000}"/>
    <cellStyle name="40% - Accent4 3 4 3 3 2 2" xfId="21582" xr:uid="{00000000-0005-0000-0000-000078770000}"/>
    <cellStyle name="40% - Accent4 3 4 3 3 2 2 2" xfId="44184" xr:uid="{00000000-0005-0000-0000-000079770000}"/>
    <cellStyle name="40% - Accent4 3 4 3 3 2 3" xfId="32883" xr:uid="{00000000-0005-0000-0000-00007A770000}"/>
    <cellStyle name="40% - Accent4 3 4 3 3 3" xfId="15932" xr:uid="{00000000-0005-0000-0000-00007B770000}"/>
    <cellStyle name="40% - Accent4 3 4 3 3 3 2" xfId="38534" xr:uid="{00000000-0005-0000-0000-00007C770000}"/>
    <cellStyle name="40% - Accent4 3 4 3 3 4" xfId="27233" xr:uid="{00000000-0005-0000-0000-00007D770000}"/>
    <cellStyle name="40% - Accent4 3 4 3 4" xfId="6814" xr:uid="{00000000-0005-0000-0000-00007E770000}"/>
    <cellStyle name="40% - Accent4 3 4 3 4 2" xfId="18115" xr:uid="{00000000-0005-0000-0000-00007F770000}"/>
    <cellStyle name="40% - Accent4 3 4 3 4 2 2" xfId="40717" xr:uid="{00000000-0005-0000-0000-000080770000}"/>
    <cellStyle name="40% - Accent4 3 4 3 4 3" xfId="29416" xr:uid="{00000000-0005-0000-0000-000081770000}"/>
    <cellStyle name="40% - Accent4 3 4 3 5" xfId="12465" xr:uid="{00000000-0005-0000-0000-000082770000}"/>
    <cellStyle name="40% - Accent4 3 4 3 5 2" xfId="35067" xr:uid="{00000000-0005-0000-0000-000083770000}"/>
    <cellStyle name="40% - Accent4 3 4 3 6" xfId="23766" xr:uid="{00000000-0005-0000-0000-000084770000}"/>
    <cellStyle name="40% - Accent4 3 4 4" xfId="1956" xr:uid="{00000000-0005-0000-0000-000085770000}"/>
    <cellStyle name="40% - Accent4 3 4 4 2" xfId="3778" xr:uid="{00000000-0005-0000-0000-000086770000}"/>
    <cellStyle name="40% - Accent4 3 4 4 2 2" xfId="9488" xr:uid="{00000000-0005-0000-0000-000087770000}"/>
    <cellStyle name="40% - Accent4 3 4 4 2 2 2" xfId="20789" xr:uid="{00000000-0005-0000-0000-000088770000}"/>
    <cellStyle name="40% - Accent4 3 4 4 2 2 2 2" xfId="43391" xr:uid="{00000000-0005-0000-0000-000089770000}"/>
    <cellStyle name="40% - Accent4 3 4 4 2 2 3" xfId="32090" xr:uid="{00000000-0005-0000-0000-00008A770000}"/>
    <cellStyle name="40% - Accent4 3 4 4 2 3" xfId="15139" xr:uid="{00000000-0005-0000-0000-00008B770000}"/>
    <cellStyle name="40% - Accent4 3 4 4 2 3 2" xfId="37741" xr:uid="{00000000-0005-0000-0000-00008C770000}"/>
    <cellStyle name="40% - Accent4 3 4 4 2 4" xfId="26440" xr:uid="{00000000-0005-0000-0000-00008D770000}"/>
    <cellStyle name="40% - Accent4 3 4 4 3" xfId="5241" xr:uid="{00000000-0005-0000-0000-00008E770000}"/>
    <cellStyle name="40% - Accent4 3 4 4 3 2" xfId="10891" xr:uid="{00000000-0005-0000-0000-00008F770000}"/>
    <cellStyle name="40% - Accent4 3 4 4 3 2 2" xfId="22192" xr:uid="{00000000-0005-0000-0000-000090770000}"/>
    <cellStyle name="40% - Accent4 3 4 4 3 2 2 2" xfId="44794" xr:uid="{00000000-0005-0000-0000-000091770000}"/>
    <cellStyle name="40% - Accent4 3 4 4 3 2 3" xfId="33493" xr:uid="{00000000-0005-0000-0000-000092770000}"/>
    <cellStyle name="40% - Accent4 3 4 4 3 3" xfId="16542" xr:uid="{00000000-0005-0000-0000-000093770000}"/>
    <cellStyle name="40% - Accent4 3 4 4 3 3 2" xfId="39144" xr:uid="{00000000-0005-0000-0000-000094770000}"/>
    <cellStyle name="40% - Accent4 3 4 4 3 4" xfId="27843" xr:uid="{00000000-0005-0000-0000-000095770000}"/>
    <cellStyle name="40% - Accent4 3 4 4 4" xfId="7812" xr:uid="{00000000-0005-0000-0000-000096770000}"/>
    <cellStyle name="40% - Accent4 3 4 4 4 2" xfId="19113" xr:uid="{00000000-0005-0000-0000-000097770000}"/>
    <cellStyle name="40% - Accent4 3 4 4 4 2 2" xfId="41715" xr:uid="{00000000-0005-0000-0000-000098770000}"/>
    <cellStyle name="40% - Accent4 3 4 4 4 3" xfId="30414" xr:uid="{00000000-0005-0000-0000-000099770000}"/>
    <cellStyle name="40% - Accent4 3 4 4 5" xfId="13463" xr:uid="{00000000-0005-0000-0000-00009A770000}"/>
    <cellStyle name="40% - Accent4 3 4 4 5 2" xfId="36065" xr:uid="{00000000-0005-0000-0000-00009B770000}"/>
    <cellStyle name="40% - Accent4 3 4 4 6" xfId="24764" xr:uid="{00000000-0005-0000-0000-00009C770000}"/>
    <cellStyle name="40% - Accent4 3 4 5" xfId="2213" xr:uid="{00000000-0005-0000-0000-00009D770000}"/>
    <cellStyle name="40% - Accent4 3 4 5 2" xfId="8055" xr:uid="{00000000-0005-0000-0000-00009E770000}"/>
    <cellStyle name="40% - Accent4 3 4 5 2 2" xfId="19356" xr:uid="{00000000-0005-0000-0000-00009F770000}"/>
    <cellStyle name="40% - Accent4 3 4 5 2 2 2" xfId="41958" xr:uid="{00000000-0005-0000-0000-0000A0770000}"/>
    <cellStyle name="40% - Accent4 3 4 5 2 3" xfId="30657" xr:uid="{00000000-0005-0000-0000-0000A1770000}"/>
    <cellStyle name="40% - Accent4 3 4 5 3" xfId="13706" xr:uid="{00000000-0005-0000-0000-0000A2770000}"/>
    <cellStyle name="40% - Accent4 3 4 5 3 2" xfId="36308" xr:uid="{00000000-0005-0000-0000-0000A3770000}"/>
    <cellStyle name="40% - Accent4 3 4 5 4" xfId="25007" xr:uid="{00000000-0005-0000-0000-0000A4770000}"/>
    <cellStyle name="40% - Accent4 3 4 6" xfId="4007" xr:uid="{00000000-0005-0000-0000-0000A5770000}"/>
    <cellStyle name="40% - Accent4 3 4 6 2" xfId="9657" xr:uid="{00000000-0005-0000-0000-0000A6770000}"/>
    <cellStyle name="40% - Accent4 3 4 6 2 2" xfId="20958" xr:uid="{00000000-0005-0000-0000-0000A7770000}"/>
    <cellStyle name="40% - Accent4 3 4 6 2 2 2" xfId="43560" xr:uid="{00000000-0005-0000-0000-0000A8770000}"/>
    <cellStyle name="40% - Accent4 3 4 6 2 3" xfId="32259" xr:uid="{00000000-0005-0000-0000-0000A9770000}"/>
    <cellStyle name="40% - Accent4 3 4 6 3" xfId="15308" xr:uid="{00000000-0005-0000-0000-0000AA770000}"/>
    <cellStyle name="40% - Accent4 3 4 6 3 2" xfId="37910" xr:uid="{00000000-0005-0000-0000-0000AB770000}"/>
    <cellStyle name="40% - Accent4 3 4 6 4" xfId="26609" xr:uid="{00000000-0005-0000-0000-0000AC770000}"/>
    <cellStyle name="40% - Accent4 3 4 7" xfId="6625" xr:uid="{00000000-0005-0000-0000-0000AD770000}"/>
    <cellStyle name="40% - Accent4 3 4 7 2" xfId="17926" xr:uid="{00000000-0005-0000-0000-0000AE770000}"/>
    <cellStyle name="40% - Accent4 3 4 7 2 2" xfId="40528" xr:uid="{00000000-0005-0000-0000-0000AF770000}"/>
    <cellStyle name="40% - Accent4 3 4 7 3" xfId="29227" xr:uid="{00000000-0005-0000-0000-0000B0770000}"/>
    <cellStyle name="40% - Accent4 3 4 8" xfId="12276" xr:uid="{00000000-0005-0000-0000-0000B1770000}"/>
    <cellStyle name="40% - Accent4 3 4 8 2" xfId="34878" xr:uid="{00000000-0005-0000-0000-0000B2770000}"/>
    <cellStyle name="40% - Accent4 3 4 9" xfId="23577" xr:uid="{00000000-0005-0000-0000-0000B3770000}"/>
    <cellStyle name="40% - Accent4 3 5" xfId="455" xr:uid="{00000000-0005-0000-0000-0000B4770000}"/>
    <cellStyle name="40% - Accent4 3 6" xfId="724" xr:uid="{00000000-0005-0000-0000-0000B5770000}"/>
    <cellStyle name="40% - Accent4 3 7" xfId="6458" xr:uid="{00000000-0005-0000-0000-0000B6770000}"/>
    <cellStyle name="40% - Accent4 3 7 2" xfId="17759" xr:uid="{00000000-0005-0000-0000-0000B7770000}"/>
    <cellStyle name="40% - Accent4 3 7 2 2" xfId="40361" xr:uid="{00000000-0005-0000-0000-0000B8770000}"/>
    <cellStyle name="40% - Accent4 3 7 3" xfId="29060" xr:uid="{00000000-0005-0000-0000-0000B9770000}"/>
    <cellStyle name="40% - Accent4 3 8" xfId="12109" xr:uid="{00000000-0005-0000-0000-0000BA770000}"/>
    <cellStyle name="40% - Accent4 3 8 2" xfId="34711" xr:uid="{00000000-0005-0000-0000-0000BB770000}"/>
    <cellStyle name="40% - Accent4 3 9" xfId="23410" xr:uid="{00000000-0005-0000-0000-0000BC770000}"/>
    <cellStyle name="40% - Accent4 4" xfId="240" xr:uid="{00000000-0005-0000-0000-0000BD770000}"/>
    <cellStyle name="40% - Accent4 4 10" xfId="3993" xr:uid="{00000000-0005-0000-0000-0000BE770000}"/>
    <cellStyle name="40% - Accent4 4 10 2" xfId="9643" xr:uid="{00000000-0005-0000-0000-0000BF770000}"/>
    <cellStyle name="40% - Accent4 4 10 2 2" xfId="20944" xr:uid="{00000000-0005-0000-0000-0000C0770000}"/>
    <cellStyle name="40% - Accent4 4 10 2 2 2" xfId="43546" xr:uid="{00000000-0005-0000-0000-0000C1770000}"/>
    <cellStyle name="40% - Accent4 4 10 2 3" xfId="32245" xr:uid="{00000000-0005-0000-0000-0000C2770000}"/>
    <cellStyle name="40% - Accent4 4 10 3" xfId="15294" xr:uid="{00000000-0005-0000-0000-0000C3770000}"/>
    <cellStyle name="40% - Accent4 4 10 3 2" xfId="37896" xr:uid="{00000000-0005-0000-0000-0000C4770000}"/>
    <cellStyle name="40% - Accent4 4 10 4" xfId="26595" xr:uid="{00000000-0005-0000-0000-0000C5770000}"/>
    <cellStyle name="40% - Accent4 4 11" xfId="6472" xr:uid="{00000000-0005-0000-0000-0000C6770000}"/>
    <cellStyle name="40% - Accent4 4 11 2" xfId="17773" xr:uid="{00000000-0005-0000-0000-0000C7770000}"/>
    <cellStyle name="40% - Accent4 4 11 2 2" xfId="40375" xr:uid="{00000000-0005-0000-0000-0000C8770000}"/>
    <cellStyle name="40% - Accent4 4 11 3" xfId="29074" xr:uid="{00000000-0005-0000-0000-0000C9770000}"/>
    <cellStyle name="40% - Accent4 4 12" xfId="12123" xr:uid="{00000000-0005-0000-0000-0000CA770000}"/>
    <cellStyle name="40% - Accent4 4 12 2" xfId="34725" xr:uid="{00000000-0005-0000-0000-0000CB770000}"/>
    <cellStyle name="40% - Accent4 4 13" xfId="23424" xr:uid="{00000000-0005-0000-0000-0000CC770000}"/>
    <cellStyle name="40% - Accent4 4 2" xfId="363" xr:uid="{00000000-0005-0000-0000-0000CD770000}"/>
    <cellStyle name="40% - Accent4 4 2 10" xfId="23471" xr:uid="{00000000-0005-0000-0000-0000CE770000}"/>
    <cellStyle name="40% - Accent4 4 2 2" xfId="621" xr:uid="{00000000-0005-0000-0000-0000CF770000}"/>
    <cellStyle name="40% - Accent4 4 2 2 2" xfId="1331" xr:uid="{00000000-0005-0000-0000-0000D0770000}"/>
    <cellStyle name="40% - Accent4 4 2 2 2 2" xfId="1961" xr:uid="{00000000-0005-0000-0000-0000D1770000}"/>
    <cellStyle name="40% - Accent4 4 2 2 2 2 2" xfId="3400" xr:uid="{00000000-0005-0000-0000-0000D2770000}"/>
    <cellStyle name="40% - Accent4 4 2 2 2 2 2 2" xfId="6372" xr:uid="{00000000-0005-0000-0000-0000D3770000}"/>
    <cellStyle name="40% - Accent4 4 2 2 2 2 2 2 2" xfId="12022" xr:uid="{00000000-0005-0000-0000-0000D4770000}"/>
    <cellStyle name="40% - Accent4 4 2 2 2 2 2 2 2 2" xfId="23323" xr:uid="{00000000-0005-0000-0000-0000D5770000}"/>
    <cellStyle name="40% - Accent4 4 2 2 2 2 2 2 2 2 2" xfId="45925" xr:uid="{00000000-0005-0000-0000-0000D6770000}"/>
    <cellStyle name="40% - Accent4 4 2 2 2 2 2 2 2 3" xfId="34624" xr:uid="{00000000-0005-0000-0000-0000D7770000}"/>
    <cellStyle name="40% - Accent4 4 2 2 2 2 2 2 3" xfId="17673" xr:uid="{00000000-0005-0000-0000-0000D8770000}"/>
    <cellStyle name="40% - Accent4 4 2 2 2 2 2 2 3 2" xfId="40275" xr:uid="{00000000-0005-0000-0000-0000D9770000}"/>
    <cellStyle name="40% - Accent4 4 2 2 2 2 2 2 4" xfId="28974" xr:uid="{00000000-0005-0000-0000-0000DA770000}"/>
    <cellStyle name="40% - Accent4 4 2 2 2 2 2 3" xfId="9190" xr:uid="{00000000-0005-0000-0000-0000DB770000}"/>
    <cellStyle name="40% - Accent4 4 2 2 2 2 2 3 2" xfId="20491" xr:uid="{00000000-0005-0000-0000-0000DC770000}"/>
    <cellStyle name="40% - Accent4 4 2 2 2 2 2 3 2 2" xfId="43093" xr:uid="{00000000-0005-0000-0000-0000DD770000}"/>
    <cellStyle name="40% - Accent4 4 2 2 2 2 2 3 3" xfId="31792" xr:uid="{00000000-0005-0000-0000-0000DE770000}"/>
    <cellStyle name="40% - Accent4 4 2 2 2 2 2 4" xfId="14841" xr:uid="{00000000-0005-0000-0000-0000DF770000}"/>
    <cellStyle name="40% - Accent4 4 2 2 2 2 2 4 2" xfId="37443" xr:uid="{00000000-0005-0000-0000-0000E0770000}"/>
    <cellStyle name="40% - Accent4 4 2 2 2 2 2 5" xfId="26142" xr:uid="{00000000-0005-0000-0000-0000E1770000}"/>
    <cellStyle name="40% - Accent4 4 2 2 2 2 3" xfId="5138" xr:uid="{00000000-0005-0000-0000-0000E2770000}"/>
    <cellStyle name="40% - Accent4 4 2 2 2 2 3 2" xfId="10788" xr:uid="{00000000-0005-0000-0000-0000E3770000}"/>
    <cellStyle name="40% - Accent4 4 2 2 2 2 3 2 2" xfId="22089" xr:uid="{00000000-0005-0000-0000-0000E4770000}"/>
    <cellStyle name="40% - Accent4 4 2 2 2 2 3 2 2 2" xfId="44691" xr:uid="{00000000-0005-0000-0000-0000E5770000}"/>
    <cellStyle name="40% - Accent4 4 2 2 2 2 3 2 3" xfId="33390" xr:uid="{00000000-0005-0000-0000-0000E6770000}"/>
    <cellStyle name="40% - Accent4 4 2 2 2 2 3 3" xfId="16439" xr:uid="{00000000-0005-0000-0000-0000E7770000}"/>
    <cellStyle name="40% - Accent4 4 2 2 2 2 3 3 2" xfId="39041" xr:uid="{00000000-0005-0000-0000-0000E8770000}"/>
    <cellStyle name="40% - Accent4 4 2 2 2 2 3 4" xfId="27740" xr:uid="{00000000-0005-0000-0000-0000E9770000}"/>
    <cellStyle name="40% - Accent4 4 2 2 2 2 4" xfId="7817" xr:uid="{00000000-0005-0000-0000-0000EA770000}"/>
    <cellStyle name="40% - Accent4 4 2 2 2 2 4 2" xfId="19118" xr:uid="{00000000-0005-0000-0000-0000EB770000}"/>
    <cellStyle name="40% - Accent4 4 2 2 2 2 4 2 2" xfId="41720" xr:uid="{00000000-0005-0000-0000-0000EC770000}"/>
    <cellStyle name="40% - Accent4 4 2 2 2 2 4 3" xfId="30419" xr:uid="{00000000-0005-0000-0000-0000ED770000}"/>
    <cellStyle name="40% - Accent4 4 2 2 2 2 5" xfId="13468" xr:uid="{00000000-0005-0000-0000-0000EE770000}"/>
    <cellStyle name="40% - Accent4 4 2 2 2 2 5 2" xfId="36070" xr:uid="{00000000-0005-0000-0000-0000EF770000}"/>
    <cellStyle name="40% - Accent4 4 2 2 2 2 6" xfId="24769" xr:uid="{00000000-0005-0000-0000-0000F0770000}"/>
    <cellStyle name="40% - Accent4 4 2 2 2 3" xfId="2729" xr:uid="{00000000-0005-0000-0000-0000F1770000}"/>
    <cellStyle name="40% - Accent4 4 2 2 2 3 2" xfId="5748" xr:uid="{00000000-0005-0000-0000-0000F2770000}"/>
    <cellStyle name="40% - Accent4 4 2 2 2 3 2 2" xfId="11398" xr:uid="{00000000-0005-0000-0000-0000F3770000}"/>
    <cellStyle name="40% - Accent4 4 2 2 2 3 2 2 2" xfId="22699" xr:uid="{00000000-0005-0000-0000-0000F4770000}"/>
    <cellStyle name="40% - Accent4 4 2 2 2 3 2 2 2 2" xfId="45301" xr:uid="{00000000-0005-0000-0000-0000F5770000}"/>
    <cellStyle name="40% - Accent4 4 2 2 2 3 2 2 3" xfId="34000" xr:uid="{00000000-0005-0000-0000-0000F6770000}"/>
    <cellStyle name="40% - Accent4 4 2 2 2 3 2 3" xfId="17049" xr:uid="{00000000-0005-0000-0000-0000F7770000}"/>
    <cellStyle name="40% - Accent4 4 2 2 2 3 2 3 2" xfId="39651" xr:uid="{00000000-0005-0000-0000-0000F8770000}"/>
    <cellStyle name="40% - Accent4 4 2 2 2 3 2 4" xfId="28350" xr:uid="{00000000-0005-0000-0000-0000F9770000}"/>
    <cellStyle name="40% - Accent4 4 2 2 2 3 3" xfId="8565" xr:uid="{00000000-0005-0000-0000-0000FA770000}"/>
    <cellStyle name="40% - Accent4 4 2 2 2 3 3 2" xfId="19866" xr:uid="{00000000-0005-0000-0000-0000FB770000}"/>
    <cellStyle name="40% - Accent4 4 2 2 2 3 3 2 2" xfId="42468" xr:uid="{00000000-0005-0000-0000-0000FC770000}"/>
    <cellStyle name="40% - Accent4 4 2 2 2 3 3 3" xfId="31167" xr:uid="{00000000-0005-0000-0000-0000FD770000}"/>
    <cellStyle name="40% - Accent4 4 2 2 2 3 4" xfId="14216" xr:uid="{00000000-0005-0000-0000-0000FE770000}"/>
    <cellStyle name="40% - Accent4 4 2 2 2 3 4 2" xfId="36818" xr:uid="{00000000-0005-0000-0000-0000FF770000}"/>
    <cellStyle name="40% - Accent4 4 2 2 2 3 5" xfId="25517" xr:uid="{00000000-0005-0000-0000-000000780000}"/>
    <cellStyle name="40% - Accent4 4 2 2 2 4" xfId="4514" xr:uid="{00000000-0005-0000-0000-000001780000}"/>
    <cellStyle name="40% - Accent4 4 2 2 2 4 2" xfId="10164" xr:uid="{00000000-0005-0000-0000-000002780000}"/>
    <cellStyle name="40% - Accent4 4 2 2 2 4 2 2" xfId="21465" xr:uid="{00000000-0005-0000-0000-000003780000}"/>
    <cellStyle name="40% - Accent4 4 2 2 2 4 2 2 2" xfId="44067" xr:uid="{00000000-0005-0000-0000-000004780000}"/>
    <cellStyle name="40% - Accent4 4 2 2 2 4 2 3" xfId="32766" xr:uid="{00000000-0005-0000-0000-000005780000}"/>
    <cellStyle name="40% - Accent4 4 2 2 2 4 3" xfId="15815" xr:uid="{00000000-0005-0000-0000-000006780000}"/>
    <cellStyle name="40% - Accent4 4 2 2 2 4 3 2" xfId="38417" xr:uid="{00000000-0005-0000-0000-000007780000}"/>
    <cellStyle name="40% - Accent4 4 2 2 2 4 4" xfId="27116" xr:uid="{00000000-0005-0000-0000-000008780000}"/>
    <cellStyle name="40% - Accent4 4 2 2 2 5" xfId="7310" xr:uid="{00000000-0005-0000-0000-000009780000}"/>
    <cellStyle name="40% - Accent4 4 2 2 2 5 2" xfId="18611" xr:uid="{00000000-0005-0000-0000-00000A780000}"/>
    <cellStyle name="40% - Accent4 4 2 2 2 5 2 2" xfId="41213" xr:uid="{00000000-0005-0000-0000-00000B780000}"/>
    <cellStyle name="40% - Accent4 4 2 2 2 5 3" xfId="29912" xr:uid="{00000000-0005-0000-0000-00000C780000}"/>
    <cellStyle name="40% - Accent4 4 2 2 2 6" xfId="12961" xr:uid="{00000000-0005-0000-0000-00000D780000}"/>
    <cellStyle name="40% - Accent4 4 2 2 2 6 2" xfId="35563" xr:uid="{00000000-0005-0000-0000-00000E780000}"/>
    <cellStyle name="40% - Accent4 4 2 2 2 7" xfId="24262" xr:uid="{00000000-0005-0000-0000-00000F780000}"/>
    <cellStyle name="40% - Accent4 4 2 2 3" xfId="1029" xr:uid="{00000000-0005-0000-0000-000010780000}"/>
    <cellStyle name="40% - Accent4 4 2 2 3 2" xfId="3092" xr:uid="{00000000-0005-0000-0000-000011780000}"/>
    <cellStyle name="40% - Accent4 4 2 2 3 2 2" xfId="6064" xr:uid="{00000000-0005-0000-0000-000012780000}"/>
    <cellStyle name="40% - Accent4 4 2 2 3 2 2 2" xfId="11714" xr:uid="{00000000-0005-0000-0000-000013780000}"/>
    <cellStyle name="40% - Accent4 4 2 2 3 2 2 2 2" xfId="23015" xr:uid="{00000000-0005-0000-0000-000014780000}"/>
    <cellStyle name="40% - Accent4 4 2 2 3 2 2 2 2 2" xfId="45617" xr:uid="{00000000-0005-0000-0000-000015780000}"/>
    <cellStyle name="40% - Accent4 4 2 2 3 2 2 2 3" xfId="34316" xr:uid="{00000000-0005-0000-0000-000016780000}"/>
    <cellStyle name="40% - Accent4 4 2 2 3 2 2 3" xfId="17365" xr:uid="{00000000-0005-0000-0000-000017780000}"/>
    <cellStyle name="40% - Accent4 4 2 2 3 2 2 3 2" xfId="39967" xr:uid="{00000000-0005-0000-0000-000018780000}"/>
    <cellStyle name="40% - Accent4 4 2 2 3 2 2 4" xfId="28666" xr:uid="{00000000-0005-0000-0000-000019780000}"/>
    <cellStyle name="40% - Accent4 4 2 2 3 2 3" xfId="8882" xr:uid="{00000000-0005-0000-0000-00001A780000}"/>
    <cellStyle name="40% - Accent4 4 2 2 3 2 3 2" xfId="20183" xr:uid="{00000000-0005-0000-0000-00001B780000}"/>
    <cellStyle name="40% - Accent4 4 2 2 3 2 3 2 2" xfId="42785" xr:uid="{00000000-0005-0000-0000-00001C780000}"/>
    <cellStyle name="40% - Accent4 4 2 2 3 2 3 3" xfId="31484" xr:uid="{00000000-0005-0000-0000-00001D780000}"/>
    <cellStyle name="40% - Accent4 4 2 2 3 2 4" xfId="14533" xr:uid="{00000000-0005-0000-0000-00001E780000}"/>
    <cellStyle name="40% - Accent4 4 2 2 3 2 4 2" xfId="37135" xr:uid="{00000000-0005-0000-0000-00001F780000}"/>
    <cellStyle name="40% - Accent4 4 2 2 3 2 5" xfId="25834" xr:uid="{00000000-0005-0000-0000-000020780000}"/>
    <cellStyle name="40% - Accent4 4 2 2 3 3" xfId="4830" xr:uid="{00000000-0005-0000-0000-000021780000}"/>
    <cellStyle name="40% - Accent4 4 2 2 3 3 2" xfId="10480" xr:uid="{00000000-0005-0000-0000-000022780000}"/>
    <cellStyle name="40% - Accent4 4 2 2 3 3 2 2" xfId="21781" xr:uid="{00000000-0005-0000-0000-000023780000}"/>
    <cellStyle name="40% - Accent4 4 2 2 3 3 2 2 2" xfId="44383" xr:uid="{00000000-0005-0000-0000-000024780000}"/>
    <cellStyle name="40% - Accent4 4 2 2 3 3 2 3" xfId="33082" xr:uid="{00000000-0005-0000-0000-000025780000}"/>
    <cellStyle name="40% - Accent4 4 2 2 3 3 3" xfId="16131" xr:uid="{00000000-0005-0000-0000-000026780000}"/>
    <cellStyle name="40% - Accent4 4 2 2 3 3 3 2" xfId="38733" xr:uid="{00000000-0005-0000-0000-000027780000}"/>
    <cellStyle name="40% - Accent4 4 2 2 3 3 4" xfId="27432" xr:uid="{00000000-0005-0000-0000-000028780000}"/>
    <cellStyle name="40% - Accent4 4 2 2 3 4" xfId="7017" xr:uid="{00000000-0005-0000-0000-000029780000}"/>
    <cellStyle name="40% - Accent4 4 2 2 3 4 2" xfId="18318" xr:uid="{00000000-0005-0000-0000-00002A780000}"/>
    <cellStyle name="40% - Accent4 4 2 2 3 4 2 2" xfId="40920" xr:uid="{00000000-0005-0000-0000-00002B780000}"/>
    <cellStyle name="40% - Accent4 4 2 2 3 4 3" xfId="29619" xr:uid="{00000000-0005-0000-0000-00002C780000}"/>
    <cellStyle name="40% - Accent4 4 2 2 3 5" xfId="12668" xr:uid="{00000000-0005-0000-0000-00002D780000}"/>
    <cellStyle name="40% - Accent4 4 2 2 3 5 2" xfId="35270" xr:uid="{00000000-0005-0000-0000-00002E780000}"/>
    <cellStyle name="40% - Accent4 4 2 2 3 6" xfId="23969" xr:uid="{00000000-0005-0000-0000-00002F780000}"/>
    <cellStyle name="40% - Accent4 4 2 2 4" xfId="1960" xr:uid="{00000000-0005-0000-0000-000030780000}"/>
    <cellStyle name="40% - Accent4 4 2 2 4 2" xfId="3781" xr:uid="{00000000-0005-0000-0000-000031780000}"/>
    <cellStyle name="40% - Accent4 4 2 2 4 2 2" xfId="9491" xr:uid="{00000000-0005-0000-0000-000032780000}"/>
    <cellStyle name="40% - Accent4 4 2 2 4 2 2 2" xfId="20792" xr:uid="{00000000-0005-0000-0000-000033780000}"/>
    <cellStyle name="40% - Accent4 4 2 2 4 2 2 2 2" xfId="43394" xr:uid="{00000000-0005-0000-0000-000034780000}"/>
    <cellStyle name="40% - Accent4 4 2 2 4 2 2 3" xfId="32093" xr:uid="{00000000-0005-0000-0000-000035780000}"/>
    <cellStyle name="40% - Accent4 4 2 2 4 2 3" xfId="15142" xr:uid="{00000000-0005-0000-0000-000036780000}"/>
    <cellStyle name="40% - Accent4 4 2 2 4 2 3 2" xfId="37744" xr:uid="{00000000-0005-0000-0000-000037780000}"/>
    <cellStyle name="40% - Accent4 4 2 2 4 2 4" xfId="26443" xr:uid="{00000000-0005-0000-0000-000038780000}"/>
    <cellStyle name="40% - Accent4 4 2 2 4 3" xfId="5440" xr:uid="{00000000-0005-0000-0000-000039780000}"/>
    <cellStyle name="40% - Accent4 4 2 2 4 3 2" xfId="11090" xr:uid="{00000000-0005-0000-0000-00003A780000}"/>
    <cellStyle name="40% - Accent4 4 2 2 4 3 2 2" xfId="22391" xr:uid="{00000000-0005-0000-0000-00003B780000}"/>
    <cellStyle name="40% - Accent4 4 2 2 4 3 2 2 2" xfId="44993" xr:uid="{00000000-0005-0000-0000-00003C780000}"/>
    <cellStyle name="40% - Accent4 4 2 2 4 3 2 3" xfId="33692" xr:uid="{00000000-0005-0000-0000-00003D780000}"/>
    <cellStyle name="40% - Accent4 4 2 2 4 3 3" xfId="16741" xr:uid="{00000000-0005-0000-0000-00003E780000}"/>
    <cellStyle name="40% - Accent4 4 2 2 4 3 3 2" xfId="39343" xr:uid="{00000000-0005-0000-0000-00003F780000}"/>
    <cellStyle name="40% - Accent4 4 2 2 4 3 4" xfId="28042" xr:uid="{00000000-0005-0000-0000-000040780000}"/>
    <cellStyle name="40% - Accent4 4 2 2 4 4" xfId="7816" xr:uid="{00000000-0005-0000-0000-000041780000}"/>
    <cellStyle name="40% - Accent4 4 2 2 4 4 2" xfId="19117" xr:uid="{00000000-0005-0000-0000-000042780000}"/>
    <cellStyle name="40% - Accent4 4 2 2 4 4 2 2" xfId="41719" xr:uid="{00000000-0005-0000-0000-000043780000}"/>
    <cellStyle name="40% - Accent4 4 2 2 4 4 3" xfId="30418" xr:uid="{00000000-0005-0000-0000-000044780000}"/>
    <cellStyle name="40% - Accent4 4 2 2 4 5" xfId="13467" xr:uid="{00000000-0005-0000-0000-000045780000}"/>
    <cellStyle name="40% - Accent4 4 2 2 4 5 2" xfId="36069" xr:uid="{00000000-0005-0000-0000-000046780000}"/>
    <cellStyle name="40% - Accent4 4 2 2 4 6" xfId="24768" xr:uid="{00000000-0005-0000-0000-000047780000}"/>
    <cellStyle name="40% - Accent4 4 2 2 5" xfId="2421" xr:uid="{00000000-0005-0000-0000-000048780000}"/>
    <cellStyle name="40% - Accent4 4 2 2 5 2" xfId="8257" xr:uid="{00000000-0005-0000-0000-000049780000}"/>
    <cellStyle name="40% - Accent4 4 2 2 5 2 2" xfId="19558" xr:uid="{00000000-0005-0000-0000-00004A780000}"/>
    <cellStyle name="40% - Accent4 4 2 2 5 2 2 2" xfId="42160" xr:uid="{00000000-0005-0000-0000-00004B780000}"/>
    <cellStyle name="40% - Accent4 4 2 2 5 2 3" xfId="30859" xr:uid="{00000000-0005-0000-0000-00004C780000}"/>
    <cellStyle name="40% - Accent4 4 2 2 5 3" xfId="13908" xr:uid="{00000000-0005-0000-0000-00004D780000}"/>
    <cellStyle name="40% - Accent4 4 2 2 5 3 2" xfId="36510" xr:uid="{00000000-0005-0000-0000-00004E780000}"/>
    <cellStyle name="40% - Accent4 4 2 2 5 4" xfId="25209" xr:uid="{00000000-0005-0000-0000-00004F780000}"/>
    <cellStyle name="40% - Accent4 4 2 2 6" xfId="4206" xr:uid="{00000000-0005-0000-0000-000050780000}"/>
    <cellStyle name="40% - Accent4 4 2 2 6 2" xfId="9856" xr:uid="{00000000-0005-0000-0000-000051780000}"/>
    <cellStyle name="40% - Accent4 4 2 2 6 2 2" xfId="21157" xr:uid="{00000000-0005-0000-0000-000052780000}"/>
    <cellStyle name="40% - Accent4 4 2 2 6 2 2 2" xfId="43759" xr:uid="{00000000-0005-0000-0000-000053780000}"/>
    <cellStyle name="40% - Accent4 4 2 2 6 2 3" xfId="32458" xr:uid="{00000000-0005-0000-0000-000054780000}"/>
    <cellStyle name="40% - Accent4 4 2 2 6 3" xfId="15507" xr:uid="{00000000-0005-0000-0000-000055780000}"/>
    <cellStyle name="40% - Accent4 4 2 2 6 3 2" xfId="38109" xr:uid="{00000000-0005-0000-0000-000056780000}"/>
    <cellStyle name="40% - Accent4 4 2 2 6 4" xfId="26808" xr:uid="{00000000-0005-0000-0000-000057780000}"/>
    <cellStyle name="40% - Accent4 4 2 2 7" xfId="6686" xr:uid="{00000000-0005-0000-0000-000058780000}"/>
    <cellStyle name="40% - Accent4 4 2 2 7 2" xfId="17987" xr:uid="{00000000-0005-0000-0000-000059780000}"/>
    <cellStyle name="40% - Accent4 4 2 2 7 2 2" xfId="40589" xr:uid="{00000000-0005-0000-0000-00005A780000}"/>
    <cellStyle name="40% - Accent4 4 2 2 7 3" xfId="29288" xr:uid="{00000000-0005-0000-0000-00005B780000}"/>
    <cellStyle name="40% - Accent4 4 2 2 8" xfId="12337" xr:uid="{00000000-0005-0000-0000-00005C780000}"/>
    <cellStyle name="40% - Accent4 4 2 2 8 2" xfId="34939" xr:uid="{00000000-0005-0000-0000-00005D780000}"/>
    <cellStyle name="40% - Accent4 4 2 2 9" xfId="23638" xr:uid="{00000000-0005-0000-0000-00005E780000}"/>
    <cellStyle name="40% - Accent4 4 2 3" xfId="1193" xr:uid="{00000000-0005-0000-0000-00005F780000}"/>
    <cellStyle name="40% - Accent4 4 2 3 2" xfId="1962" xr:uid="{00000000-0005-0000-0000-000060780000}"/>
    <cellStyle name="40% - Accent4 4 2 3 2 2" xfId="3261" xr:uid="{00000000-0005-0000-0000-000061780000}"/>
    <cellStyle name="40% - Accent4 4 2 3 2 2 2" xfId="6233" xr:uid="{00000000-0005-0000-0000-000062780000}"/>
    <cellStyle name="40% - Accent4 4 2 3 2 2 2 2" xfId="11883" xr:uid="{00000000-0005-0000-0000-000063780000}"/>
    <cellStyle name="40% - Accent4 4 2 3 2 2 2 2 2" xfId="23184" xr:uid="{00000000-0005-0000-0000-000064780000}"/>
    <cellStyle name="40% - Accent4 4 2 3 2 2 2 2 2 2" xfId="45786" xr:uid="{00000000-0005-0000-0000-000065780000}"/>
    <cellStyle name="40% - Accent4 4 2 3 2 2 2 2 3" xfId="34485" xr:uid="{00000000-0005-0000-0000-000066780000}"/>
    <cellStyle name="40% - Accent4 4 2 3 2 2 2 3" xfId="17534" xr:uid="{00000000-0005-0000-0000-000067780000}"/>
    <cellStyle name="40% - Accent4 4 2 3 2 2 2 3 2" xfId="40136" xr:uid="{00000000-0005-0000-0000-000068780000}"/>
    <cellStyle name="40% - Accent4 4 2 3 2 2 2 4" xfId="28835" xr:uid="{00000000-0005-0000-0000-000069780000}"/>
    <cellStyle name="40% - Accent4 4 2 3 2 2 3" xfId="9051" xr:uid="{00000000-0005-0000-0000-00006A780000}"/>
    <cellStyle name="40% - Accent4 4 2 3 2 2 3 2" xfId="20352" xr:uid="{00000000-0005-0000-0000-00006B780000}"/>
    <cellStyle name="40% - Accent4 4 2 3 2 2 3 2 2" xfId="42954" xr:uid="{00000000-0005-0000-0000-00006C780000}"/>
    <cellStyle name="40% - Accent4 4 2 3 2 2 3 3" xfId="31653" xr:uid="{00000000-0005-0000-0000-00006D780000}"/>
    <cellStyle name="40% - Accent4 4 2 3 2 2 4" xfId="14702" xr:uid="{00000000-0005-0000-0000-00006E780000}"/>
    <cellStyle name="40% - Accent4 4 2 3 2 2 4 2" xfId="37304" xr:uid="{00000000-0005-0000-0000-00006F780000}"/>
    <cellStyle name="40% - Accent4 4 2 3 2 2 5" xfId="26003" xr:uid="{00000000-0005-0000-0000-000070780000}"/>
    <cellStyle name="40% - Accent4 4 2 3 2 3" xfId="4999" xr:uid="{00000000-0005-0000-0000-000071780000}"/>
    <cellStyle name="40% - Accent4 4 2 3 2 3 2" xfId="10649" xr:uid="{00000000-0005-0000-0000-000072780000}"/>
    <cellStyle name="40% - Accent4 4 2 3 2 3 2 2" xfId="21950" xr:uid="{00000000-0005-0000-0000-000073780000}"/>
    <cellStyle name="40% - Accent4 4 2 3 2 3 2 2 2" xfId="44552" xr:uid="{00000000-0005-0000-0000-000074780000}"/>
    <cellStyle name="40% - Accent4 4 2 3 2 3 2 3" xfId="33251" xr:uid="{00000000-0005-0000-0000-000075780000}"/>
    <cellStyle name="40% - Accent4 4 2 3 2 3 3" xfId="16300" xr:uid="{00000000-0005-0000-0000-000076780000}"/>
    <cellStyle name="40% - Accent4 4 2 3 2 3 3 2" xfId="38902" xr:uid="{00000000-0005-0000-0000-000077780000}"/>
    <cellStyle name="40% - Accent4 4 2 3 2 3 4" xfId="27601" xr:uid="{00000000-0005-0000-0000-000078780000}"/>
    <cellStyle name="40% - Accent4 4 2 3 2 4" xfId="7818" xr:uid="{00000000-0005-0000-0000-000079780000}"/>
    <cellStyle name="40% - Accent4 4 2 3 2 4 2" xfId="19119" xr:uid="{00000000-0005-0000-0000-00007A780000}"/>
    <cellStyle name="40% - Accent4 4 2 3 2 4 2 2" xfId="41721" xr:uid="{00000000-0005-0000-0000-00007B780000}"/>
    <cellStyle name="40% - Accent4 4 2 3 2 4 3" xfId="30420" xr:uid="{00000000-0005-0000-0000-00007C780000}"/>
    <cellStyle name="40% - Accent4 4 2 3 2 5" xfId="13469" xr:uid="{00000000-0005-0000-0000-00007D780000}"/>
    <cellStyle name="40% - Accent4 4 2 3 2 5 2" xfId="36071" xr:uid="{00000000-0005-0000-0000-00007E780000}"/>
    <cellStyle name="40% - Accent4 4 2 3 2 6" xfId="24770" xr:uid="{00000000-0005-0000-0000-00007F780000}"/>
    <cellStyle name="40% - Accent4 4 2 3 3" xfId="2590" xr:uid="{00000000-0005-0000-0000-000080780000}"/>
    <cellStyle name="40% - Accent4 4 2 3 3 2" xfId="5609" xr:uid="{00000000-0005-0000-0000-000081780000}"/>
    <cellStyle name="40% - Accent4 4 2 3 3 2 2" xfId="11259" xr:uid="{00000000-0005-0000-0000-000082780000}"/>
    <cellStyle name="40% - Accent4 4 2 3 3 2 2 2" xfId="22560" xr:uid="{00000000-0005-0000-0000-000083780000}"/>
    <cellStyle name="40% - Accent4 4 2 3 3 2 2 2 2" xfId="45162" xr:uid="{00000000-0005-0000-0000-000084780000}"/>
    <cellStyle name="40% - Accent4 4 2 3 3 2 2 3" xfId="33861" xr:uid="{00000000-0005-0000-0000-000085780000}"/>
    <cellStyle name="40% - Accent4 4 2 3 3 2 3" xfId="16910" xr:uid="{00000000-0005-0000-0000-000086780000}"/>
    <cellStyle name="40% - Accent4 4 2 3 3 2 3 2" xfId="39512" xr:uid="{00000000-0005-0000-0000-000087780000}"/>
    <cellStyle name="40% - Accent4 4 2 3 3 2 4" xfId="28211" xr:uid="{00000000-0005-0000-0000-000088780000}"/>
    <cellStyle name="40% - Accent4 4 2 3 3 3" xfId="8426" xr:uid="{00000000-0005-0000-0000-000089780000}"/>
    <cellStyle name="40% - Accent4 4 2 3 3 3 2" xfId="19727" xr:uid="{00000000-0005-0000-0000-00008A780000}"/>
    <cellStyle name="40% - Accent4 4 2 3 3 3 2 2" xfId="42329" xr:uid="{00000000-0005-0000-0000-00008B780000}"/>
    <cellStyle name="40% - Accent4 4 2 3 3 3 3" xfId="31028" xr:uid="{00000000-0005-0000-0000-00008C780000}"/>
    <cellStyle name="40% - Accent4 4 2 3 3 4" xfId="14077" xr:uid="{00000000-0005-0000-0000-00008D780000}"/>
    <cellStyle name="40% - Accent4 4 2 3 3 4 2" xfId="36679" xr:uid="{00000000-0005-0000-0000-00008E780000}"/>
    <cellStyle name="40% - Accent4 4 2 3 3 5" xfId="25378" xr:uid="{00000000-0005-0000-0000-00008F780000}"/>
    <cellStyle name="40% - Accent4 4 2 3 4" xfId="4375" xr:uid="{00000000-0005-0000-0000-000090780000}"/>
    <cellStyle name="40% - Accent4 4 2 3 4 2" xfId="10025" xr:uid="{00000000-0005-0000-0000-000091780000}"/>
    <cellStyle name="40% - Accent4 4 2 3 4 2 2" xfId="21326" xr:uid="{00000000-0005-0000-0000-000092780000}"/>
    <cellStyle name="40% - Accent4 4 2 3 4 2 2 2" xfId="43928" xr:uid="{00000000-0005-0000-0000-000093780000}"/>
    <cellStyle name="40% - Accent4 4 2 3 4 2 3" xfId="32627" xr:uid="{00000000-0005-0000-0000-000094780000}"/>
    <cellStyle name="40% - Accent4 4 2 3 4 3" xfId="15676" xr:uid="{00000000-0005-0000-0000-000095780000}"/>
    <cellStyle name="40% - Accent4 4 2 3 4 3 2" xfId="38278" xr:uid="{00000000-0005-0000-0000-000096780000}"/>
    <cellStyle name="40% - Accent4 4 2 3 4 4" xfId="26977" xr:uid="{00000000-0005-0000-0000-000097780000}"/>
    <cellStyle name="40% - Accent4 4 2 3 5" xfId="7172" xr:uid="{00000000-0005-0000-0000-000098780000}"/>
    <cellStyle name="40% - Accent4 4 2 3 5 2" xfId="18473" xr:uid="{00000000-0005-0000-0000-000099780000}"/>
    <cellStyle name="40% - Accent4 4 2 3 5 2 2" xfId="41075" xr:uid="{00000000-0005-0000-0000-00009A780000}"/>
    <cellStyle name="40% - Accent4 4 2 3 5 3" xfId="29774" xr:uid="{00000000-0005-0000-0000-00009B780000}"/>
    <cellStyle name="40% - Accent4 4 2 3 6" xfId="12823" xr:uid="{00000000-0005-0000-0000-00009C780000}"/>
    <cellStyle name="40% - Accent4 4 2 3 6 2" xfId="35425" xr:uid="{00000000-0005-0000-0000-00009D780000}"/>
    <cellStyle name="40% - Accent4 4 2 3 7" xfId="24124" xr:uid="{00000000-0005-0000-0000-00009E780000}"/>
    <cellStyle name="40% - Accent4 4 2 4" xfId="883" xr:uid="{00000000-0005-0000-0000-00009F780000}"/>
    <cellStyle name="40% - Accent4 4 2 4 2" xfId="2954" xr:uid="{00000000-0005-0000-0000-0000A0780000}"/>
    <cellStyle name="40% - Accent4 4 2 4 2 2" xfId="5926" xr:uid="{00000000-0005-0000-0000-0000A1780000}"/>
    <cellStyle name="40% - Accent4 4 2 4 2 2 2" xfId="11576" xr:uid="{00000000-0005-0000-0000-0000A2780000}"/>
    <cellStyle name="40% - Accent4 4 2 4 2 2 2 2" xfId="22877" xr:uid="{00000000-0005-0000-0000-0000A3780000}"/>
    <cellStyle name="40% - Accent4 4 2 4 2 2 2 2 2" xfId="45479" xr:uid="{00000000-0005-0000-0000-0000A4780000}"/>
    <cellStyle name="40% - Accent4 4 2 4 2 2 2 3" xfId="34178" xr:uid="{00000000-0005-0000-0000-0000A5780000}"/>
    <cellStyle name="40% - Accent4 4 2 4 2 2 3" xfId="17227" xr:uid="{00000000-0005-0000-0000-0000A6780000}"/>
    <cellStyle name="40% - Accent4 4 2 4 2 2 3 2" xfId="39829" xr:uid="{00000000-0005-0000-0000-0000A7780000}"/>
    <cellStyle name="40% - Accent4 4 2 4 2 2 4" xfId="28528" xr:uid="{00000000-0005-0000-0000-0000A8780000}"/>
    <cellStyle name="40% - Accent4 4 2 4 2 3" xfId="8744" xr:uid="{00000000-0005-0000-0000-0000A9780000}"/>
    <cellStyle name="40% - Accent4 4 2 4 2 3 2" xfId="20045" xr:uid="{00000000-0005-0000-0000-0000AA780000}"/>
    <cellStyle name="40% - Accent4 4 2 4 2 3 2 2" xfId="42647" xr:uid="{00000000-0005-0000-0000-0000AB780000}"/>
    <cellStyle name="40% - Accent4 4 2 4 2 3 3" xfId="31346" xr:uid="{00000000-0005-0000-0000-0000AC780000}"/>
    <cellStyle name="40% - Accent4 4 2 4 2 4" xfId="14395" xr:uid="{00000000-0005-0000-0000-0000AD780000}"/>
    <cellStyle name="40% - Accent4 4 2 4 2 4 2" xfId="36997" xr:uid="{00000000-0005-0000-0000-0000AE780000}"/>
    <cellStyle name="40% - Accent4 4 2 4 2 5" xfId="25696" xr:uid="{00000000-0005-0000-0000-0000AF780000}"/>
    <cellStyle name="40% - Accent4 4 2 4 3" xfId="4692" xr:uid="{00000000-0005-0000-0000-0000B0780000}"/>
    <cellStyle name="40% - Accent4 4 2 4 3 2" xfId="10342" xr:uid="{00000000-0005-0000-0000-0000B1780000}"/>
    <cellStyle name="40% - Accent4 4 2 4 3 2 2" xfId="21643" xr:uid="{00000000-0005-0000-0000-0000B2780000}"/>
    <cellStyle name="40% - Accent4 4 2 4 3 2 2 2" xfId="44245" xr:uid="{00000000-0005-0000-0000-0000B3780000}"/>
    <cellStyle name="40% - Accent4 4 2 4 3 2 3" xfId="32944" xr:uid="{00000000-0005-0000-0000-0000B4780000}"/>
    <cellStyle name="40% - Accent4 4 2 4 3 3" xfId="15993" xr:uid="{00000000-0005-0000-0000-0000B5780000}"/>
    <cellStyle name="40% - Accent4 4 2 4 3 3 2" xfId="38595" xr:uid="{00000000-0005-0000-0000-0000B6780000}"/>
    <cellStyle name="40% - Accent4 4 2 4 3 4" xfId="27294" xr:uid="{00000000-0005-0000-0000-0000B7780000}"/>
    <cellStyle name="40% - Accent4 4 2 4 4" xfId="6879" xr:uid="{00000000-0005-0000-0000-0000B8780000}"/>
    <cellStyle name="40% - Accent4 4 2 4 4 2" xfId="18180" xr:uid="{00000000-0005-0000-0000-0000B9780000}"/>
    <cellStyle name="40% - Accent4 4 2 4 4 2 2" xfId="40782" xr:uid="{00000000-0005-0000-0000-0000BA780000}"/>
    <cellStyle name="40% - Accent4 4 2 4 4 3" xfId="29481" xr:uid="{00000000-0005-0000-0000-0000BB780000}"/>
    <cellStyle name="40% - Accent4 4 2 4 5" xfId="12530" xr:uid="{00000000-0005-0000-0000-0000BC780000}"/>
    <cellStyle name="40% - Accent4 4 2 4 5 2" xfId="35132" xr:uid="{00000000-0005-0000-0000-0000BD780000}"/>
    <cellStyle name="40% - Accent4 4 2 4 6" xfId="23831" xr:uid="{00000000-0005-0000-0000-0000BE780000}"/>
    <cellStyle name="40% - Accent4 4 2 5" xfId="1959" xr:uid="{00000000-0005-0000-0000-0000BF780000}"/>
    <cellStyle name="40% - Accent4 4 2 5 2" xfId="3780" xr:uid="{00000000-0005-0000-0000-0000C0780000}"/>
    <cellStyle name="40% - Accent4 4 2 5 2 2" xfId="9490" xr:uid="{00000000-0005-0000-0000-0000C1780000}"/>
    <cellStyle name="40% - Accent4 4 2 5 2 2 2" xfId="20791" xr:uid="{00000000-0005-0000-0000-0000C2780000}"/>
    <cellStyle name="40% - Accent4 4 2 5 2 2 2 2" xfId="43393" xr:uid="{00000000-0005-0000-0000-0000C3780000}"/>
    <cellStyle name="40% - Accent4 4 2 5 2 2 3" xfId="32092" xr:uid="{00000000-0005-0000-0000-0000C4780000}"/>
    <cellStyle name="40% - Accent4 4 2 5 2 3" xfId="15141" xr:uid="{00000000-0005-0000-0000-0000C5780000}"/>
    <cellStyle name="40% - Accent4 4 2 5 2 3 2" xfId="37743" xr:uid="{00000000-0005-0000-0000-0000C6780000}"/>
    <cellStyle name="40% - Accent4 4 2 5 2 4" xfId="26442" xr:uid="{00000000-0005-0000-0000-0000C7780000}"/>
    <cellStyle name="40% - Accent4 4 2 5 3" xfId="5302" xr:uid="{00000000-0005-0000-0000-0000C8780000}"/>
    <cellStyle name="40% - Accent4 4 2 5 3 2" xfId="10952" xr:uid="{00000000-0005-0000-0000-0000C9780000}"/>
    <cellStyle name="40% - Accent4 4 2 5 3 2 2" xfId="22253" xr:uid="{00000000-0005-0000-0000-0000CA780000}"/>
    <cellStyle name="40% - Accent4 4 2 5 3 2 2 2" xfId="44855" xr:uid="{00000000-0005-0000-0000-0000CB780000}"/>
    <cellStyle name="40% - Accent4 4 2 5 3 2 3" xfId="33554" xr:uid="{00000000-0005-0000-0000-0000CC780000}"/>
    <cellStyle name="40% - Accent4 4 2 5 3 3" xfId="16603" xr:uid="{00000000-0005-0000-0000-0000CD780000}"/>
    <cellStyle name="40% - Accent4 4 2 5 3 3 2" xfId="39205" xr:uid="{00000000-0005-0000-0000-0000CE780000}"/>
    <cellStyle name="40% - Accent4 4 2 5 3 4" xfId="27904" xr:uid="{00000000-0005-0000-0000-0000CF780000}"/>
    <cellStyle name="40% - Accent4 4 2 5 4" xfId="7815" xr:uid="{00000000-0005-0000-0000-0000D0780000}"/>
    <cellStyle name="40% - Accent4 4 2 5 4 2" xfId="19116" xr:uid="{00000000-0005-0000-0000-0000D1780000}"/>
    <cellStyle name="40% - Accent4 4 2 5 4 2 2" xfId="41718" xr:uid="{00000000-0005-0000-0000-0000D2780000}"/>
    <cellStyle name="40% - Accent4 4 2 5 4 3" xfId="30417" xr:uid="{00000000-0005-0000-0000-0000D3780000}"/>
    <cellStyle name="40% - Accent4 4 2 5 5" xfId="13466" xr:uid="{00000000-0005-0000-0000-0000D4780000}"/>
    <cellStyle name="40% - Accent4 4 2 5 5 2" xfId="36068" xr:uid="{00000000-0005-0000-0000-0000D5780000}"/>
    <cellStyle name="40% - Accent4 4 2 5 6" xfId="24767" xr:uid="{00000000-0005-0000-0000-0000D6780000}"/>
    <cellStyle name="40% - Accent4 4 2 6" xfId="2281" xr:uid="{00000000-0005-0000-0000-0000D7780000}"/>
    <cellStyle name="40% - Accent4 4 2 6 2" xfId="8117" xr:uid="{00000000-0005-0000-0000-0000D8780000}"/>
    <cellStyle name="40% - Accent4 4 2 6 2 2" xfId="19418" xr:uid="{00000000-0005-0000-0000-0000D9780000}"/>
    <cellStyle name="40% - Accent4 4 2 6 2 2 2" xfId="42020" xr:uid="{00000000-0005-0000-0000-0000DA780000}"/>
    <cellStyle name="40% - Accent4 4 2 6 2 3" xfId="30719" xr:uid="{00000000-0005-0000-0000-0000DB780000}"/>
    <cellStyle name="40% - Accent4 4 2 6 3" xfId="13768" xr:uid="{00000000-0005-0000-0000-0000DC780000}"/>
    <cellStyle name="40% - Accent4 4 2 6 3 2" xfId="36370" xr:uid="{00000000-0005-0000-0000-0000DD780000}"/>
    <cellStyle name="40% - Accent4 4 2 6 4" xfId="25069" xr:uid="{00000000-0005-0000-0000-0000DE780000}"/>
    <cellStyle name="40% - Accent4 4 2 7" xfId="4068" xr:uid="{00000000-0005-0000-0000-0000DF780000}"/>
    <cellStyle name="40% - Accent4 4 2 7 2" xfId="9718" xr:uid="{00000000-0005-0000-0000-0000E0780000}"/>
    <cellStyle name="40% - Accent4 4 2 7 2 2" xfId="21019" xr:uid="{00000000-0005-0000-0000-0000E1780000}"/>
    <cellStyle name="40% - Accent4 4 2 7 2 2 2" xfId="43621" xr:uid="{00000000-0005-0000-0000-0000E2780000}"/>
    <cellStyle name="40% - Accent4 4 2 7 2 3" xfId="32320" xr:uid="{00000000-0005-0000-0000-0000E3780000}"/>
    <cellStyle name="40% - Accent4 4 2 7 3" xfId="15369" xr:uid="{00000000-0005-0000-0000-0000E4780000}"/>
    <cellStyle name="40% - Accent4 4 2 7 3 2" xfId="37971" xr:uid="{00000000-0005-0000-0000-0000E5780000}"/>
    <cellStyle name="40% - Accent4 4 2 7 4" xfId="26670" xr:uid="{00000000-0005-0000-0000-0000E6780000}"/>
    <cellStyle name="40% - Accent4 4 2 8" xfId="6519" xr:uid="{00000000-0005-0000-0000-0000E7780000}"/>
    <cellStyle name="40% - Accent4 4 2 8 2" xfId="17820" xr:uid="{00000000-0005-0000-0000-0000E8780000}"/>
    <cellStyle name="40% - Accent4 4 2 8 2 2" xfId="40422" xr:uid="{00000000-0005-0000-0000-0000E9780000}"/>
    <cellStyle name="40% - Accent4 4 2 8 3" xfId="29121" xr:uid="{00000000-0005-0000-0000-0000EA780000}"/>
    <cellStyle name="40% - Accent4 4 2 9" xfId="12170" xr:uid="{00000000-0005-0000-0000-0000EB780000}"/>
    <cellStyle name="40% - Accent4 4 2 9 2" xfId="34772" xr:uid="{00000000-0005-0000-0000-0000EC780000}"/>
    <cellStyle name="40% - Accent4 4 3" xfId="425" xr:uid="{00000000-0005-0000-0000-0000ED780000}"/>
    <cellStyle name="40% - Accent4 4 3 10" xfId="23520" xr:uid="{00000000-0005-0000-0000-0000EE780000}"/>
    <cellStyle name="40% - Accent4 4 3 2" xfId="670" xr:uid="{00000000-0005-0000-0000-0000EF780000}"/>
    <cellStyle name="40% - Accent4 4 3 2 2" xfId="1380" xr:uid="{00000000-0005-0000-0000-0000F0780000}"/>
    <cellStyle name="40% - Accent4 4 3 2 2 2" xfId="1965" xr:uid="{00000000-0005-0000-0000-0000F1780000}"/>
    <cellStyle name="40% - Accent4 4 3 2 2 2 2" xfId="3449" xr:uid="{00000000-0005-0000-0000-0000F2780000}"/>
    <cellStyle name="40% - Accent4 4 3 2 2 2 2 2" xfId="6421" xr:uid="{00000000-0005-0000-0000-0000F3780000}"/>
    <cellStyle name="40% - Accent4 4 3 2 2 2 2 2 2" xfId="12071" xr:uid="{00000000-0005-0000-0000-0000F4780000}"/>
    <cellStyle name="40% - Accent4 4 3 2 2 2 2 2 2 2" xfId="23372" xr:uid="{00000000-0005-0000-0000-0000F5780000}"/>
    <cellStyle name="40% - Accent4 4 3 2 2 2 2 2 2 2 2" xfId="45974" xr:uid="{00000000-0005-0000-0000-0000F6780000}"/>
    <cellStyle name="40% - Accent4 4 3 2 2 2 2 2 2 3" xfId="34673" xr:uid="{00000000-0005-0000-0000-0000F7780000}"/>
    <cellStyle name="40% - Accent4 4 3 2 2 2 2 2 3" xfId="17722" xr:uid="{00000000-0005-0000-0000-0000F8780000}"/>
    <cellStyle name="40% - Accent4 4 3 2 2 2 2 2 3 2" xfId="40324" xr:uid="{00000000-0005-0000-0000-0000F9780000}"/>
    <cellStyle name="40% - Accent4 4 3 2 2 2 2 2 4" xfId="29023" xr:uid="{00000000-0005-0000-0000-0000FA780000}"/>
    <cellStyle name="40% - Accent4 4 3 2 2 2 2 3" xfId="9239" xr:uid="{00000000-0005-0000-0000-0000FB780000}"/>
    <cellStyle name="40% - Accent4 4 3 2 2 2 2 3 2" xfId="20540" xr:uid="{00000000-0005-0000-0000-0000FC780000}"/>
    <cellStyle name="40% - Accent4 4 3 2 2 2 2 3 2 2" xfId="43142" xr:uid="{00000000-0005-0000-0000-0000FD780000}"/>
    <cellStyle name="40% - Accent4 4 3 2 2 2 2 3 3" xfId="31841" xr:uid="{00000000-0005-0000-0000-0000FE780000}"/>
    <cellStyle name="40% - Accent4 4 3 2 2 2 2 4" xfId="14890" xr:uid="{00000000-0005-0000-0000-0000FF780000}"/>
    <cellStyle name="40% - Accent4 4 3 2 2 2 2 4 2" xfId="37492" xr:uid="{00000000-0005-0000-0000-000000790000}"/>
    <cellStyle name="40% - Accent4 4 3 2 2 2 2 5" xfId="26191" xr:uid="{00000000-0005-0000-0000-000001790000}"/>
    <cellStyle name="40% - Accent4 4 3 2 2 2 3" xfId="5187" xr:uid="{00000000-0005-0000-0000-000002790000}"/>
    <cellStyle name="40% - Accent4 4 3 2 2 2 3 2" xfId="10837" xr:uid="{00000000-0005-0000-0000-000003790000}"/>
    <cellStyle name="40% - Accent4 4 3 2 2 2 3 2 2" xfId="22138" xr:uid="{00000000-0005-0000-0000-000004790000}"/>
    <cellStyle name="40% - Accent4 4 3 2 2 2 3 2 2 2" xfId="44740" xr:uid="{00000000-0005-0000-0000-000005790000}"/>
    <cellStyle name="40% - Accent4 4 3 2 2 2 3 2 3" xfId="33439" xr:uid="{00000000-0005-0000-0000-000006790000}"/>
    <cellStyle name="40% - Accent4 4 3 2 2 2 3 3" xfId="16488" xr:uid="{00000000-0005-0000-0000-000007790000}"/>
    <cellStyle name="40% - Accent4 4 3 2 2 2 3 3 2" xfId="39090" xr:uid="{00000000-0005-0000-0000-000008790000}"/>
    <cellStyle name="40% - Accent4 4 3 2 2 2 3 4" xfId="27789" xr:uid="{00000000-0005-0000-0000-000009790000}"/>
    <cellStyle name="40% - Accent4 4 3 2 2 2 4" xfId="7821" xr:uid="{00000000-0005-0000-0000-00000A790000}"/>
    <cellStyle name="40% - Accent4 4 3 2 2 2 4 2" xfId="19122" xr:uid="{00000000-0005-0000-0000-00000B790000}"/>
    <cellStyle name="40% - Accent4 4 3 2 2 2 4 2 2" xfId="41724" xr:uid="{00000000-0005-0000-0000-00000C790000}"/>
    <cellStyle name="40% - Accent4 4 3 2 2 2 4 3" xfId="30423" xr:uid="{00000000-0005-0000-0000-00000D790000}"/>
    <cellStyle name="40% - Accent4 4 3 2 2 2 5" xfId="13472" xr:uid="{00000000-0005-0000-0000-00000E790000}"/>
    <cellStyle name="40% - Accent4 4 3 2 2 2 5 2" xfId="36074" xr:uid="{00000000-0005-0000-0000-00000F790000}"/>
    <cellStyle name="40% - Accent4 4 3 2 2 2 6" xfId="24773" xr:uid="{00000000-0005-0000-0000-000010790000}"/>
    <cellStyle name="40% - Accent4 4 3 2 2 3" xfId="2778" xr:uid="{00000000-0005-0000-0000-000011790000}"/>
    <cellStyle name="40% - Accent4 4 3 2 2 3 2" xfId="5797" xr:uid="{00000000-0005-0000-0000-000012790000}"/>
    <cellStyle name="40% - Accent4 4 3 2 2 3 2 2" xfId="11447" xr:uid="{00000000-0005-0000-0000-000013790000}"/>
    <cellStyle name="40% - Accent4 4 3 2 2 3 2 2 2" xfId="22748" xr:uid="{00000000-0005-0000-0000-000014790000}"/>
    <cellStyle name="40% - Accent4 4 3 2 2 3 2 2 2 2" xfId="45350" xr:uid="{00000000-0005-0000-0000-000015790000}"/>
    <cellStyle name="40% - Accent4 4 3 2 2 3 2 2 3" xfId="34049" xr:uid="{00000000-0005-0000-0000-000016790000}"/>
    <cellStyle name="40% - Accent4 4 3 2 2 3 2 3" xfId="17098" xr:uid="{00000000-0005-0000-0000-000017790000}"/>
    <cellStyle name="40% - Accent4 4 3 2 2 3 2 3 2" xfId="39700" xr:uid="{00000000-0005-0000-0000-000018790000}"/>
    <cellStyle name="40% - Accent4 4 3 2 2 3 2 4" xfId="28399" xr:uid="{00000000-0005-0000-0000-000019790000}"/>
    <cellStyle name="40% - Accent4 4 3 2 2 3 3" xfId="8614" xr:uid="{00000000-0005-0000-0000-00001A790000}"/>
    <cellStyle name="40% - Accent4 4 3 2 2 3 3 2" xfId="19915" xr:uid="{00000000-0005-0000-0000-00001B790000}"/>
    <cellStyle name="40% - Accent4 4 3 2 2 3 3 2 2" xfId="42517" xr:uid="{00000000-0005-0000-0000-00001C790000}"/>
    <cellStyle name="40% - Accent4 4 3 2 2 3 3 3" xfId="31216" xr:uid="{00000000-0005-0000-0000-00001D790000}"/>
    <cellStyle name="40% - Accent4 4 3 2 2 3 4" xfId="14265" xr:uid="{00000000-0005-0000-0000-00001E790000}"/>
    <cellStyle name="40% - Accent4 4 3 2 2 3 4 2" xfId="36867" xr:uid="{00000000-0005-0000-0000-00001F790000}"/>
    <cellStyle name="40% - Accent4 4 3 2 2 3 5" xfId="25566" xr:uid="{00000000-0005-0000-0000-000020790000}"/>
    <cellStyle name="40% - Accent4 4 3 2 2 4" xfId="4563" xr:uid="{00000000-0005-0000-0000-000021790000}"/>
    <cellStyle name="40% - Accent4 4 3 2 2 4 2" xfId="10213" xr:uid="{00000000-0005-0000-0000-000022790000}"/>
    <cellStyle name="40% - Accent4 4 3 2 2 4 2 2" xfId="21514" xr:uid="{00000000-0005-0000-0000-000023790000}"/>
    <cellStyle name="40% - Accent4 4 3 2 2 4 2 2 2" xfId="44116" xr:uid="{00000000-0005-0000-0000-000024790000}"/>
    <cellStyle name="40% - Accent4 4 3 2 2 4 2 3" xfId="32815" xr:uid="{00000000-0005-0000-0000-000025790000}"/>
    <cellStyle name="40% - Accent4 4 3 2 2 4 3" xfId="15864" xr:uid="{00000000-0005-0000-0000-000026790000}"/>
    <cellStyle name="40% - Accent4 4 3 2 2 4 3 2" xfId="38466" xr:uid="{00000000-0005-0000-0000-000027790000}"/>
    <cellStyle name="40% - Accent4 4 3 2 2 4 4" xfId="27165" xr:uid="{00000000-0005-0000-0000-000028790000}"/>
    <cellStyle name="40% - Accent4 4 3 2 2 5" xfId="7359" xr:uid="{00000000-0005-0000-0000-000029790000}"/>
    <cellStyle name="40% - Accent4 4 3 2 2 5 2" xfId="18660" xr:uid="{00000000-0005-0000-0000-00002A790000}"/>
    <cellStyle name="40% - Accent4 4 3 2 2 5 2 2" xfId="41262" xr:uid="{00000000-0005-0000-0000-00002B790000}"/>
    <cellStyle name="40% - Accent4 4 3 2 2 5 3" xfId="29961" xr:uid="{00000000-0005-0000-0000-00002C790000}"/>
    <cellStyle name="40% - Accent4 4 3 2 2 6" xfId="13010" xr:uid="{00000000-0005-0000-0000-00002D790000}"/>
    <cellStyle name="40% - Accent4 4 3 2 2 6 2" xfId="35612" xr:uid="{00000000-0005-0000-0000-00002E790000}"/>
    <cellStyle name="40% - Accent4 4 3 2 2 7" xfId="24311" xr:uid="{00000000-0005-0000-0000-00002F790000}"/>
    <cellStyle name="40% - Accent4 4 3 2 3" xfId="1078" xr:uid="{00000000-0005-0000-0000-000030790000}"/>
    <cellStyle name="40% - Accent4 4 3 2 3 2" xfId="3141" xr:uid="{00000000-0005-0000-0000-000031790000}"/>
    <cellStyle name="40% - Accent4 4 3 2 3 2 2" xfId="6113" xr:uid="{00000000-0005-0000-0000-000032790000}"/>
    <cellStyle name="40% - Accent4 4 3 2 3 2 2 2" xfId="11763" xr:uid="{00000000-0005-0000-0000-000033790000}"/>
    <cellStyle name="40% - Accent4 4 3 2 3 2 2 2 2" xfId="23064" xr:uid="{00000000-0005-0000-0000-000034790000}"/>
    <cellStyle name="40% - Accent4 4 3 2 3 2 2 2 2 2" xfId="45666" xr:uid="{00000000-0005-0000-0000-000035790000}"/>
    <cellStyle name="40% - Accent4 4 3 2 3 2 2 2 3" xfId="34365" xr:uid="{00000000-0005-0000-0000-000036790000}"/>
    <cellStyle name="40% - Accent4 4 3 2 3 2 2 3" xfId="17414" xr:uid="{00000000-0005-0000-0000-000037790000}"/>
    <cellStyle name="40% - Accent4 4 3 2 3 2 2 3 2" xfId="40016" xr:uid="{00000000-0005-0000-0000-000038790000}"/>
    <cellStyle name="40% - Accent4 4 3 2 3 2 2 4" xfId="28715" xr:uid="{00000000-0005-0000-0000-000039790000}"/>
    <cellStyle name="40% - Accent4 4 3 2 3 2 3" xfId="8931" xr:uid="{00000000-0005-0000-0000-00003A790000}"/>
    <cellStyle name="40% - Accent4 4 3 2 3 2 3 2" xfId="20232" xr:uid="{00000000-0005-0000-0000-00003B790000}"/>
    <cellStyle name="40% - Accent4 4 3 2 3 2 3 2 2" xfId="42834" xr:uid="{00000000-0005-0000-0000-00003C790000}"/>
    <cellStyle name="40% - Accent4 4 3 2 3 2 3 3" xfId="31533" xr:uid="{00000000-0005-0000-0000-00003D790000}"/>
    <cellStyle name="40% - Accent4 4 3 2 3 2 4" xfId="14582" xr:uid="{00000000-0005-0000-0000-00003E790000}"/>
    <cellStyle name="40% - Accent4 4 3 2 3 2 4 2" xfId="37184" xr:uid="{00000000-0005-0000-0000-00003F790000}"/>
    <cellStyle name="40% - Accent4 4 3 2 3 2 5" xfId="25883" xr:uid="{00000000-0005-0000-0000-000040790000}"/>
    <cellStyle name="40% - Accent4 4 3 2 3 3" xfId="4879" xr:uid="{00000000-0005-0000-0000-000041790000}"/>
    <cellStyle name="40% - Accent4 4 3 2 3 3 2" xfId="10529" xr:uid="{00000000-0005-0000-0000-000042790000}"/>
    <cellStyle name="40% - Accent4 4 3 2 3 3 2 2" xfId="21830" xr:uid="{00000000-0005-0000-0000-000043790000}"/>
    <cellStyle name="40% - Accent4 4 3 2 3 3 2 2 2" xfId="44432" xr:uid="{00000000-0005-0000-0000-000044790000}"/>
    <cellStyle name="40% - Accent4 4 3 2 3 3 2 3" xfId="33131" xr:uid="{00000000-0005-0000-0000-000045790000}"/>
    <cellStyle name="40% - Accent4 4 3 2 3 3 3" xfId="16180" xr:uid="{00000000-0005-0000-0000-000046790000}"/>
    <cellStyle name="40% - Accent4 4 3 2 3 3 3 2" xfId="38782" xr:uid="{00000000-0005-0000-0000-000047790000}"/>
    <cellStyle name="40% - Accent4 4 3 2 3 3 4" xfId="27481" xr:uid="{00000000-0005-0000-0000-000048790000}"/>
    <cellStyle name="40% - Accent4 4 3 2 3 4" xfId="7066" xr:uid="{00000000-0005-0000-0000-000049790000}"/>
    <cellStyle name="40% - Accent4 4 3 2 3 4 2" xfId="18367" xr:uid="{00000000-0005-0000-0000-00004A790000}"/>
    <cellStyle name="40% - Accent4 4 3 2 3 4 2 2" xfId="40969" xr:uid="{00000000-0005-0000-0000-00004B790000}"/>
    <cellStyle name="40% - Accent4 4 3 2 3 4 3" xfId="29668" xr:uid="{00000000-0005-0000-0000-00004C790000}"/>
    <cellStyle name="40% - Accent4 4 3 2 3 5" xfId="12717" xr:uid="{00000000-0005-0000-0000-00004D790000}"/>
    <cellStyle name="40% - Accent4 4 3 2 3 5 2" xfId="35319" xr:uid="{00000000-0005-0000-0000-00004E790000}"/>
    <cellStyle name="40% - Accent4 4 3 2 3 6" xfId="24018" xr:uid="{00000000-0005-0000-0000-00004F790000}"/>
    <cellStyle name="40% - Accent4 4 3 2 4" xfId="1964" xr:uid="{00000000-0005-0000-0000-000050790000}"/>
    <cellStyle name="40% - Accent4 4 3 2 4 2" xfId="3783" xr:uid="{00000000-0005-0000-0000-000051790000}"/>
    <cellStyle name="40% - Accent4 4 3 2 4 2 2" xfId="9493" xr:uid="{00000000-0005-0000-0000-000052790000}"/>
    <cellStyle name="40% - Accent4 4 3 2 4 2 2 2" xfId="20794" xr:uid="{00000000-0005-0000-0000-000053790000}"/>
    <cellStyle name="40% - Accent4 4 3 2 4 2 2 2 2" xfId="43396" xr:uid="{00000000-0005-0000-0000-000054790000}"/>
    <cellStyle name="40% - Accent4 4 3 2 4 2 2 3" xfId="32095" xr:uid="{00000000-0005-0000-0000-000055790000}"/>
    <cellStyle name="40% - Accent4 4 3 2 4 2 3" xfId="15144" xr:uid="{00000000-0005-0000-0000-000056790000}"/>
    <cellStyle name="40% - Accent4 4 3 2 4 2 3 2" xfId="37746" xr:uid="{00000000-0005-0000-0000-000057790000}"/>
    <cellStyle name="40% - Accent4 4 3 2 4 2 4" xfId="26445" xr:uid="{00000000-0005-0000-0000-000058790000}"/>
    <cellStyle name="40% - Accent4 4 3 2 4 3" xfId="5489" xr:uid="{00000000-0005-0000-0000-000059790000}"/>
    <cellStyle name="40% - Accent4 4 3 2 4 3 2" xfId="11139" xr:uid="{00000000-0005-0000-0000-00005A790000}"/>
    <cellStyle name="40% - Accent4 4 3 2 4 3 2 2" xfId="22440" xr:uid="{00000000-0005-0000-0000-00005B790000}"/>
    <cellStyle name="40% - Accent4 4 3 2 4 3 2 2 2" xfId="45042" xr:uid="{00000000-0005-0000-0000-00005C790000}"/>
    <cellStyle name="40% - Accent4 4 3 2 4 3 2 3" xfId="33741" xr:uid="{00000000-0005-0000-0000-00005D790000}"/>
    <cellStyle name="40% - Accent4 4 3 2 4 3 3" xfId="16790" xr:uid="{00000000-0005-0000-0000-00005E790000}"/>
    <cellStyle name="40% - Accent4 4 3 2 4 3 3 2" xfId="39392" xr:uid="{00000000-0005-0000-0000-00005F790000}"/>
    <cellStyle name="40% - Accent4 4 3 2 4 3 4" xfId="28091" xr:uid="{00000000-0005-0000-0000-000060790000}"/>
    <cellStyle name="40% - Accent4 4 3 2 4 4" xfId="7820" xr:uid="{00000000-0005-0000-0000-000061790000}"/>
    <cellStyle name="40% - Accent4 4 3 2 4 4 2" xfId="19121" xr:uid="{00000000-0005-0000-0000-000062790000}"/>
    <cellStyle name="40% - Accent4 4 3 2 4 4 2 2" xfId="41723" xr:uid="{00000000-0005-0000-0000-000063790000}"/>
    <cellStyle name="40% - Accent4 4 3 2 4 4 3" xfId="30422" xr:uid="{00000000-0005-0000-0000-000064790000}"/>
    <cellStyle name="40% - Accent4 4 3 2 4 5" xfId="13471" xr:uid="{00000000-0005-0000-0000-000065790000}"/>
    <cellStyle name="40% - Accent4 4 3 2 4 5 2" xfId="36073" xr:uid="{00000000-0005-0000-0000-000066790000}"/>
    <cellStyle name="40% - Accent4 4 3 2 4 6" xfId="24772" xr:uid="{00000000-0005-0000-0000-000067790000}"/>
    <cellStyle name="40% - Accent4 4 3 2 5" xfId="2470" xr:uid="{00000000-0005-0000-0000-000068790000}"/>
    <cellStyle name="40% - Accent4 4 3 2 5 2" xfId="8306" xr:uid="{00000000-0005-0000-0000-000069790000}"/>
    <cellStyle name="40% - Accent4 4 3 2 5 2 2" xfId="19607" xr:uid="{00000000-0005-0000-0000-00006A790000}"/>
    <cellStyle name="40% - Accent4 4 3 2 5 2 2 2" xfId="42209" xr:uid="{00000000-0005-0000-0000-00006B790000}"/>
    <cellStyle name="40% - Accent4 4 3 2 5 2 3" xfId="30908" xr:uid="{00000000-0005-0000-0000-00006C790000}"/>
    <cellStyle name="40% - Accent4 4 3 2 5 3" xfId="13957" xr:uid="{00000000-0005-0000-0000-00006D790000}"/>
    <cellStyle name="40% - Accent4 4 3 2 5 3 2" xfId="36559" xr:uid="{00000000-0005-0000-0000-00006E790000}"/>
    <cellStyle name="40% - Accent4 4 3 2 5 4" xfId="25258" xr:uid="{00000000-0005-0000-0000-00006F790000}"/>
    <cellStyle name="40% - Accent4 4 3 2 6" xfId="4255" xr:uid="{00000000-0005-0000-0000-000070790000}"/>
    <cellStyle name="40% - Accent4 4 3 2 6 2" xfId="9905" xr:uid="{00000000-0005-0000-0000-000071790000}"/>
    <cellStyle name="40% - Accent4 4 3 2 6 2 2" xfId="21206" xr:uid="{00000000-0005-0000-0000-000072790000}"/>
    <cellStyle name="40% - Accent4 4 3 2 6 2 2 2" xfId="43808" xr:uid="{00000000-0005-0000-0000-000073790000}"/>
    <cellStyle name="40% - Accent4 4 3 2 6 2 3" xfId="32507" xr:uid="{00000000-0005-0000-0000-000074790000}"/>
    <cellStyle name="40% - Accent4 4 3 2 6 3" xfId="15556" xr:uid="{00000000-0005-0000-0000-000075790000}"/>
    <cellStyle name="40% - Accent4 4 3 2 6 3 2" xfId="38158" xr:uid="{00000000-0005-0000-0000-000076790000}"/>
    <cellStyle name="40% - Accent4 4 3 2 6 4" xfId="26857" xr:uid="{00000000-0005-0000-0000-000077790000}"/>
    <cellStyle name="40% - Accent4 4 3 2 7" xfId="6735" xr:uid="{00000000-0005-0000-0000-000078790000}"/>
    <cellStyle name="40% - Accent4 4 3 2 7 2" xfId="18036" xr:uid="{00000000-0005-0000-0000-000079790000}"/>
    <cellStyle name="40% - Accent4 4 3 2 7 2 2" xfId="40638" xr:uid="{00000000-0005-0000-0000-00007A790000}"/>
    <cellStyle name="40% - Accent4 4 3 2 7 3" xfId="29337" xr:uid="{00000000-0005-0000-0000-00007B790000}"/>
    <cellStyle name="40% - Accent4 4 3 2 8" xfId="12386" xr:uid="{00000000-0005-0000-0000-00007C790000}"/>
    <cellStyle name="40% - Accent4 4 3 2 8 2" xfId="34988" xr:uid="{00000000-0005-0000-0000-00007D790000}"/>
    <cellStyle name="40% - Accent4 4 3 2 9" xfId="23687" xr:uid="{00000000-0005-0000-0000-00007E790000}"/>
    <cellStyle name="40% - Accent4 4 3 3" xfId="1242" xr:uid="{00000000-0005-0000-0000-00007F790000}"/>
    <cellStyle name="40% - Accent4 4 3 3 2" xfId="1966" xr:uid="{00000000-0005-0000-0000-000080790000}"/>
    <cellStyle name="40% - Accent4 4 3 3 2 2" xfId="3310" xr:uid="{00000000-0005-0000-0000-000081790000}"/>
    <cellStyle name="40% - Accent4 4 3 3 2 2 2" xfId="6282" xr:uid="{00000000-0005-0000-0000-000082790000}"/>
    <cellStyle name="40% - Accent4 4 3 3 2 2 2 2" xfId="11932" xr:uid="{00000000-0005-0000-0000-000083790000}"/>
    <cellStyle name="40% - Accent4 4 3 3 2 2 2 2 2" xfId="23233" xr:uid="{00000000-0005-0000-0000-000084790000}"/>
    <cellStyle name="40% - Accent4 4 3 3 2 2 2 2 2 2" xfId="45835" xr:uid="{00000000-0005-0000-0000-000085790000}"/>
    <cellStyle name="40% - Accent4 4 3 3 2 2 2 2 3" xfId="34534" xr:uid="{00000000-0005-0000-0000-000086790000}"/>
    <cellStyle name="40% - Accent4 4 3 3 2 2 2 3" xfId="17583" xr:uid="{00000000-0005-0000-0000-000087790000}"/>
    <cellStyle name="40% - Accent4 4 3 3 2 2 2 3 2" xfId="40185" xr:uid="{00000000-0005-0000-0000-000088790000}"/>
    <cellStyle name="40% - Accent4 4 3 3 2 2 2 4" xfId="28884" xr:uid="{00000000-0005-0000-0000-000089790000}"/>
    <cellStyle name="40% - Accent4 4 3 3 2 2 3" xfId="9100" xr:uid="{00000000-0005-0000-0000-00008A790000}"/>
    <cellStyle name="40% - Accent4 4 3 3 2 2 3 2" xfId="20401" xr:uid="{00000000-0005-0000-0000-00008B790000}"/>
    <cellStyle name="40% - Accent4 4 3 3 2 2 3 2 2" xfId="43003" xr:uid="{00000000-0005-0000-0000-00008C790000}"/>
    <cellStyle name="40% - Accent4 4 3 3 2 2 3 3" xfId="31702" xr:uid="{00000000-0005-0000-0000-00008D790000}"/>
    <cellStyle name="40% - Accent4 4 3 3 2 2 4" xfId="14751" xr:uid="{00000000-0005-0000-0000-00008E790000}"/>
    <cellStyle name="40% - Accent4 4 3 3 2 2 4 2" xfId="37353" xr:uid="{00000000-0005-0000-0000-00008F790000}"/>
    <cellStyle name="40% - Accent4 4 3 3 2 2 5" xfId="26052" xr:uid="{00000000-0005-0000-0000-000090790000}"/>
    <cellStyle name="40% - Accent4 4 3 3 2 3" xfId="5048" xr:uid="{00000000-0005-0000-0000-000091790000}"/>
    <cellStyle name="40% - Accent4 4 3 3 2 3 2" xfId="10698" xr:uid="{00000000-0005-0000-0000-000092790000}"/>
    <cellStyle name="40% - Accent4 4 3 3 2 3 2 2" xfId="21999" xr:uid="{00000000-0005-0000-0000-000093790000}"/>
    <cellStyle name="40% - Accent4 4 3 3 2 3 2 2 2" xfId="44601" xr:uid="{00000000-0005-0000-0000-000094790000}"/>
    <cellStyle name="40% - Accent4 4 3 3 2 3 2 3" xfId="33300" xr:uid="{00000000-0005-0000-0000-000095790000}"/>
    <cellStyle name="40% - Accent4 4 3 3 2 3 3" xfId="16349" xr:uid="{00000000-0005-0000-0000-000096790000}"/>
    <cellStyle name="40% - Accent4 4 3 3 2 3 3 2" xfId="38951" xr:uid="{00000000-0005-0000-0000-000097790000}"/>
    <cellStyle name="40% - Accent4 4 3 3 2 3 4" xfId="27650" xr:uid="{00000000-0005-0000-0000-000098790000}"/>
    <cellStyle name="40% - Accent4 4 3 3 2 4" xfId="7822" xr:uid="{00000000-0005-0000-0000-000099790000}"/>
    <cellStyle name="40% - Accent4 4 3 3 2 4 2" xfId="19123" xr:uid="{00000000-0005-0000-0000-00009A790000}"/>
    <cellStyle name="40% - Accent4 4 3 3 2 4 2 2" xfId="41725" xr:uid="{00000000-0005-0000-0000-00009B790000}"/>
    <cellStyle name="40% - Accent4 4 3 3 2 4 3" xfId="30424" xr:uid="{00000000-0005-0000-0000-00009C790000}"/>
    <cellStyle name="40% - Accent4 4 3 3 2 5" xfId="13473" xr:uid="{00000000-0005-0000-0000-00009D790000}"/>
    <cellStyle name="40% - Accent4 4 3 3 2 5 2" xfId="36075" xr:uid="{00000000-0005-0000-0000-00009E790000}"/>
    <cellStyle name="40% - Accent4 4 3 3 2 6" xfId="24774" xr:uid="{00000000-0005-0000-0000-00009F790000}"/>
    <cellStyle name="40% - Accent4 4 3 3 3" xfId="2639" xr:uid="{00000000-0005-0000-0000-0000A0790000}"/>
    <cellStyle name="40% - Accent4 4 3 3 3 2" xfId="5658" xr:uid="{00000000-0005-0000-0000-0000A1790000}"/>
    <cellStyle name="40% - Accent4 4 3 3 3 2 2" xfId="11308" xr:uid="{00000000-0005-0000-0000-0000A2790000}"/>
    <cellStyle name="40% - Accent4 4 3 3 3 2 2 2" xfId="22609" xr:uid="{00000000-0005-0000-0000-0000A3790000}"/>
    <cellStyle name="40% - Accent4 4 3 3 3 2 2 2 2" xfId="45211" xr:uid="{00000000-0005-0000-0000-0000A4790000}"/>
    <cellStyle name="40% - Accent4 4 3 3 3 2 2 3" xfId="33910" xr:uid="{00000000-0005-0000-0000-0000A5790000}"/>
    <cellStyle name="40% - Accent4 4 3 3 3 2 3" xfId="16959" xr:uid="{00000000-0005-0000-0000-0000A6790000}"/>
    <cellStyle name="40% - Accent4 4 3 3 3 2 3 2" xfId="39561" xr:uid="{00000000-0005-0000-0000-0000A7790000}"/>
    <cellStyle name="40% - Accent4 4 3 3 3 2 4" xfId="28260" xr:uid="{00000000-0005-0000-0000-0000A8790000}"/>
    <cellStyle name="40% - Accent4 4 3 3 3 3" xfId="8475" xr:uid="{00000000-0005-0000-0000-0000A9790000}"/>
    <cellStyle name="40% - Accent4 4 3 3 3 3 2" xfId="19776" xr:uid="{00000000-0005-0000-0000-0000AA790000}"/>
    <cellStyle name="40% - Accent4 4 3 3 3 3 2 2" xfId="42378" xr:uid="{00000000-0005-0000-0000-0000AB790000}"/>
    <cellStyle name="40% - Accent4 4 3 3 3 3 3" xfId="31077" xr:uid="{00000000-0005-0000-0000-0000AC790000}"/>
    <cellStyle name="40% - Accent4 4 3 3 3 4" xfId="14126" xr:uid="{00000000-0005-0000-0000-0000AD790000}"/>
    <cellStyle name="40% - Accent4 4 3 3 3 4 2" xfId="36728" xr:uid="{00000000-0005-0000-0000-0000AE790000}"/>
    <cellStyle name="40% - Accent4 4 3 3 3 5" xfId="25427" xr:uid="{00000000-0005-0000-0000-0000AF790000}"/>
    <cellStyle name="40% - Accent4 4 3 3 4" xfId="4424" xr:uid="{00000000-0005-0000-0000-0000B0790000}"/>
    <cellStyle name="40% - Accent4 4 3 3 4 2" xfId="10074" xr:uid="{00000000-0005-0000-0000-0000B1790000}"/>
    <cellStyle name="40% - Accent4 4 3 3 4 2 2" xfId="21375" xr:uid="{00000000-0005-0000-0000-0000B2790000}"/>
    <cellStyle name="40% - Accent4 4 3 3 4 2 2 2" xfId="43977" xr:uid="{00000000-0005-0000-0000-0000B3790000}"/>
    <cellStyle name="40% - Accent4 4 3 3 4 2 3" xfId="32676" xr:uid="{00000000-0005-0000-0000-0000B4790000}"/>
    <cellStyle name="40% - Accent4 4 3 3 4 3" xfId="15725" xr:uid="{00000000-0005-0000-0000-0000B5790000}"/>
    <cellStyle name="40% - Accent4 4 3 3 4 3 2" xfId="38327" xr:uid="{00000000-0005-0000-0000-0000B6790000}"/>
    <cellStyle name="40% - Accent4 4 3 3 4 4" xfId="27026" xr:uid="{00000000-0005-0000-0000-0000B7790000}"/>
    <cellStyle name="40% - Accent4 4 3 3 5" xfId="7221" xr:uid="{00000000-0005-0000-0000-0000B8790000}"/>
    <cellStyle name="40% - Accent4 4 3 3 5 2" xfId="18522" xr:uid="{00000000-0005-0000-0000-0000B9790000}"/>
    <cellStyle name="40% - Accent4 4 3 3 5 2 2" xfId="41124" xr:uid="{00000000-0005-0000-0000-0000BA790000}"/>
    <cellStyle name="40% - Accent4 4 3 3 5 3" xfId="29823" xr:uid="{00000000-0005-0000-0000-0000BB790000}"/>
    <cellStyle name="40% - Accent4 4 3 3 6" xfId="12872" xr:uid="{00000000-0005-0000-0000-0000BC790000}"/>
    <cellStyle name="40% - Accent4 4 3 3 6 2" xfId="35474" xr:uid="{00000000-0005-0000-0000-0000BD790000}"/>
    <cellStyle name="40% - Accent4 4 3 3 7" xfId="24173" xr:uid="{00000000-0005-0000-0000-0000BE790000}"/>
    <cellStyle name="40% - Accent4 4 3 4" xfId="933" xr:uid="{00000000-0005-0000-0000-0000BF790000}"/>
    <cellStyle name="40% - Accent4 4 3 4 2" xfId="3003" xr:uid="{00000000-0005-0000-0000-0000C0790000}"/>
    <cellStyle name="40% - Accent4 4 3 4 2 2" xfId="5975" xr:uid="{00000000-0005-0000-0000-0000C1790000}"/>
    <cellStyle name="40% - Accent4 4 3 4 2 2 2" xfId="11625" xr:uid="{00000000-0005-0000-0000-0000C2790000}"/>
    <cellStyle name="40% - Accent4 4 3 4 2 2 2 2" xfId="22926" xr:uid="{00000000-0005-0000-0000-0000C3790000}"/>
    <cellStyle name="40% - Accent4 4 3 4 2 2 2 2 2" xfId="45528" xr:uid="{00000000-0005-0000-0000-0000C4790000}"/>
    <cellStyle name="40% - Accent4 4 3 4 2 2 2 3" xfId="34227" xr:uid="{00000000-0005-0000-0000-0000C5790000}"/>
    <cellStyle name="40% - Accent4 4 3 4 2 2 3" xfId="17276" xr:uid="{00000000-0005-0000-0000-0000C6790000}"/>
    <cellStyle name="40% - Accent4 4 3 4 2 2 3 2" xfId="39878" xr:uid="{00000000-0005-0000-0000-0000C7790000}"/>
    <cellStyle name="40% - Accent4 4 3 4 2 2 4" xfId="28577" xr:uid="{00000000-0005-0000-0000-0000C8790000}"/>
    <cellStyle name="40% - Accent4 4 3 4 2 3" xfId="8793" xr:uid="{00000000-0005-0000-0000-0000C9790000}"/>
    <cellStyle name="40% - Accent4 4 3 4 2 3 2" xfId="20094" xr:uid="{00000000-0005-0000-0000-0000CA790000}"/>
    <cellStyle name="40% - Accent4 4 3 4 2 3 2 2" xfId="42696" xr:uid="{00000000-0005-0000-0000-0000CB790000}"/>
    <cellStyle name="40% - Accent4 4 3 4 2 3 3" xfId="31395" xr:uid="{00000000-0005-0000-0000-0000CC790000}"/>
    <cellStyle name="40% - Accent4 4 3 4 2 4" xfId="14444" xr:uid="{00000000-0005-0000-0000-0000CD790000}"/>
    <cellStyle name="40% - Accent4 4 3 4 2 4 2" xfId="37046" xr:uid="{00000000-0005-0000-0000-0000CE790000}"/>
    <cellStyle name="40% - Accent4 4 3 4 2 5" xfId="25745" xr:uid="{00000000-0005-0000-0000-0000CF790000}"/>
    <cellStyle name="40% - Accent4 4 3 4 3" xfId="4741" xr:uid="{00000000-0005-0000-0000-0000D0790000}"/>
    <cellStyle name="40% - Accent4 4 3 4 3 2" xfId="10391" xr:uid="{00000000-0005-0000-0000-0000D1790000}"/>
    <cellStyle name="40% - Accent4 4 3 4 3 2 2" xfId="21692" xr:uid="{00000000-0005-0000-0000-0000D2790000}"/>
    <cellStyle name="40% - Accent4 4 3 4 3 2 2 2" xfId="44294" xr:uid="{00000000-0005-0000-0000-0000D3790000}"/>
    <cellStyle name="40% - Accent4 4 3 4 3 2 3" xfId="32993" xr:uid="{00000000-0005-0000-0000-0000D4790000}"/>
    <cellStyle name="40% - Accent4 4 3 4 3 3" xfId="16042" xr:uid="{00000000-0005-0000-0000-0000D5790000}"/>
    <cellStyle name="40% - Accent4 4 3 4 3 3 2" xfId="38644" xr:uid="{00000000-0005-0000-0000-0000D6790000}"/>
    <cellStyle name="40% - Accent4 4 3 4 3 4" xfId="27343" xr:uid="{00000000-0005-0000-0000-0000D7790000}"/>
    <cellStyle name="40% - Accent4 4 3 4 4" xfId="6928" xr:uid="{00000000-0005-0000-0000-0000D8790000}"/>
    <cellStyle name="40% - Accent4 4 3 4 4 2" xfId="18229" xr:uid="{00000000-0005-0000-0000-0000D9790000}"/>
    <cellStyle name="40% - Accent4 4 3 4 4 2 2" xfId="40831" xr:uid="{00000000-0005-0000-0000-0000DA790000}"/>
    <cellStyle name="40% - Accent4 4 3 4 4 3" xfId="29530" xr:uid="{00000000-0005-0000-0000-0000DB790000}"/>
    <cellStyle name="40% - Accent4 4 3 4 5" xfId="12579" xr:uid="{00000000-0005-0000-0000-0000DC790000}"/>
    <cellStyle name="40% - Accent4 4 3 4 5 2" xfId="35181" xr:uid="{00000000-0005-0000-0000-0000DD790000}"/>
    <cellStyle name="40% - Accent4 4 3 4 6" xfId="23880" xr:uid="{00000000-0005-0000-0000-0000DE790000}"/>
    <cellStyle name="40% - Accent4 4 3 5" xfId="1963" xr:uid="{00000000-0005-0000-0000-0000DF790000}"/>
    <cellStyle name="40% - Accent4 4 3 5 2" xfId="3782" xr:uid="{00000000-0005-0000-0000-0000E0790000}"/>
    <cellStyle name="40% - Accent4 4 3 5 2 2" xfId="9492" xr:uid="{00000000-0005-0000-0000-0000E1790000}"/>
    <cellStyle name="40% - Accent4 4 3 5 2 2 2" xfId="20793" xr:uid="{00000000-0005-0000-0000-0000E2790000}"/>
    <cellStyle name="40% - Accent4 4 3 5 2 2 2 2" xfId="43395" xr:uid="{00000000-0005-0000-0000-0000E3790000}"/>
    <cellStyle name="40% - Accent4 4 3 5 2 2 3" xfId="32094" xr:uid="{00000000-0005-0000-0000-0000E4790000}"/>
    <cellStyle name="40% - Accent4 4 3 5 2 3" xfId="15143" xr:uid="{00000000-0005-0000-0000-0000E5790000}"/>
    <cellStyle name="40% - Accent4 4 3 5 2 3 2" xfId="37745" xr:uid="{00000000-0005-0000-0000-0000E6790000}"/>
    <cellStyle name="40% - Accent4 4 3 5 2 4" xfId="26444" xr:uid="{00000000-0005-0000-0000-0000E7790000}"/>
    <cellStyle name="40% - Accent4 4 3 5 3" xfId="5351" xr:uid="{00000000-0005-0000-0000-0000E8790000}"/>
    <cellStyle name="40% - Accent4 4 3 5 3 2" xfId="11001" xr:uid="{00000000-0005-0000-0000-0000E9790000}"/>
    <cellStyle name="40% - Accent4 4 3 5 3 2 2" xfId="22302" xr:uid="{00000000-0005-0000-0000-0000EA790000}"/>
    <cellStyle name="40% - Accent4 4 3 5 3 2 2 2" xfId="44904" xr:uid="{00000000-0005-0000-0000-0000EB790000}"/>
    <cellStyle name="40% - Accent4 4 3 5 3 2 3" xfId="33603" xr:uid="{00000000-0005-0000-0000-0000EC790000}"/>
    <cellStyle name="40% - Accent4 4 3 5 3 3" xfId="16652" xr:uid="{00000000-0005-0000-0000-0000ED790000}"/>
    <cellStyle name="40% - Accent4 4 3 5 3 3 2" xfId="39254" xr:uid="{00000000-0005-0000-0000-0000EE790000}"/>
    <cellStyle name="40% - Accent4 4 3 5 3 4" xfId="27953" xr:uid="{00000000-0005-0000-0000-0000EF790000}"/>
    <cellStyle name="40% - Accent4 4 3 5 4" xfId="7819" xr:uid="{00000000-0005-0000-0000-0000F0790000}"/>
    <cellStyle name="40% - Accent4 4 3 5 4 2" xfId="19120" xr:uid="{00000000-0005-0000-0000-0000F1790000}"/>
    <cellStyle name="40% - Accent4 4 3 5 4 2 2" xfId="41722" xr:uid="{00000000-0005-0000-0000-0000F2790000}"/>
    <cellStyle name="40% - Accent4 4 3 5 4 3" xfId="30421" xr:uid="{00000000-0005-0000-0000-0000F3790000}"/>
    <cellStyle name="40% - Accent4 4 3 5 5" xfId="13470" xr:uid="{00000000-0005-0000-0000-0000F4790000}"/>
    <cellStyle name="40% - Accent4 4 3 5 5 2" xfId="36072" xr:uid="{00000000-0005-0000-0000-0000F5790000}"/>
    <cellStyle name="40% - Accent4 4 3 5 6" xfId="24771" xr:uid="{00000000-0005-0000-0000-0000F6790000}"/>
    <cellStyle name="40% - Accent4 4 3 6" xfId="2330" xr:uid="{00000000-0005-0000-0000-0000F7790000}"/>
    <cellStyle name="40% - Accent4 4 3 6 2" xfId="8166" xr:uid="{00000000-0005-0000-0000-0000F8790000}"/>
    <cellStyle name="40% - Accent4 4 3 6 2 2" xfId="19467" xr:uid="{00000000-0005-0000-0000-0000F9790000}"/>
    <cellStyle name="40% - Accent4 4 3 6 2 2 2" xfId="42069" xr:uid="{00000000-0005-0000-0000-0000FA790000}"/>
    <cellStyle name="40% - Accent4 4 3 6 2 3" xfId="30768" xr:uid="{00000000-0005-0000-0000-0000FB790000}"/>
    <cellStyle name="40% - Accent4 4 3 6 3" xfId="13817" xr:uid="{00000000-0005-0000-0000-0000FC790000}"/>
    <cellStyle name="40% - Accent4 4 3 6 3 2" xfId="36419" xr:uid="{00000000-0005-0000-0000-0000FD790000}"/>
    <cellStyle name="40% - Accent4 4 3 6 4" xfId="25118" xr:uid="{00000000-0005-0000-0000-0000FE790000}"/>
    <cellStyle name="40% - Accent4 4 3 7" xfId="4117" xr:uid="{00000000-0005-0000-0000-0000FF790000}"/>
    <cellStyle name="40% - Accent4 4 3 7 2" xfId="9767" xr:uid="{00000000-0005-0000-0000-0000007A0000}"/>
    <cellStyle name="40% - Accent4 4 3 7 2 2" xfId="21068" xr:uid="{00000000-0005-0000-0000-0000017A0000}"/>
    <cellStyle name="40% - Accent4 4 3 7 2 2 2" xfId="43670" xr:uid="{00000000-0005-0000-0000-0000027A0000}"/>
    <cellStyle name="40% - Accent4 4 3 7 2 3" xfId="32369" xr:uid="{00000000-0005-0000-0000-0000037A0000}"/>
    <cellStyle name="40% - Accent4 4 3 7 3" xfId="15418" xr:uid="{00000000-0005-0000-0000-0000047A0000}"/>
    <cellStyle name="40% - Accent4 4 3 7 3 2" xfId="38020" xr:uid="{00000000-0005-0000-0000-0000057A0000}"/>
    <cellStyle name="40% - Accent4 4 3 7 4" xfId="26719" xr:uid="{00000000-0005-0000-0000-0000067A0000}"/>
    <cellStyle name="40% - Accent4 4 3 8" xfId="6568" xr:uid="{00000000-0005-0000-0000-0000077A0000}"/>
    <cellStyle name="40% - Accent4 4 3 8 2" xfId="17869" xr:uid="{00000000-0005-0000-0000-0000087A0000}"/>
    <cellStyle name="40% - Accent4 4 3 8 2 2" xfId="40471" xr:uid="{00000000-0005-0000-0000-0000097A0000}"/>
    <cellStyle name="40% - Accent4 4 3 8 3" xfId="29170" xr:uid="{00000000-0005-0000-0000-00000A7A0000}"/>
    <cellStyle name="40% - Accent4 4 3 9" xfId="12219" xr:uid="{00000000-0005-0000-0000-00000B7A0000}"/>
    <cellStyle name="40% - Accent4 4 3 9 2" xfId="34821" xr:uid="{00000000-0005-0000-0000-00000C7A0000}"/>
    <cellStyle name="40% - Accent4 4 4" xfId="572" xr:uid="{00000000-0005-0000-0000-00000D7A0000}"/>
    <cellStyle name="40% - Accent4 4 4 2" xfId="1146" xr:uid="{00000000-0005-0000-0000-00000E7A0000}"/>
    <cellStyle name="40% - Accent4 4 4 2 2" xfId="1968" xr:uid="{00000000-0005-0000-0000-00000F7A0000}"/>
    <cellStyle name="40% - Accent4 4 4 2 2 2" xfId="3214" xr:uid="{00000000-0005-0000-0000-0000107A0000}"/>
    <cellStyle name="40% - Accent4 4 4 2 2 2 2" xfId="6186" xr:uid="{00000000-0005-0000-0000-0000117A0000}"/>
    <cellStyle name="40% - Accent4 4 4 2 2 2 2 2" xfId="11836" xr:uid="{00000000-0005-0000-0000-0000127A0000}"/>
    <cellStyle name="40% - Accent4 4 4 2 2 2 2 2 2" xfId="23137" xr:uid="{00000000-0005-0000-0000-0000137A0000}"/>
    <cellStyle name="40% - Accent4 4 4 2 2 2 2 2 2 2" xfId="45739" xr:uid="{00000000-0005-0000-0000-0000147A0000}"/>
    <cellStyle name="40% - Accent4 4 4 2 2 2 2 2 3" xfId="34438" xr:uid="{00000000-0005-0000-0000-0000157A0000}"/>
    <cellStyle name="40% - Accent4 4 4 2 2 2 2 3" xfId="17487" xr:uid="{00000000-0005-0000-0000-0000167A0000}"/>
    <cellStyle name="40% - Accent4 4 4 2 2 2 2 3 2" xfId="40089" xr:uid="{00000000-0005-0000-0000-0000177A0000}"/>
    <cellStyle name="40% - Accent4 4 4 2 2 2 2 4" xfId="28788" xr:uid="{00000000-0005-0000-0000-0000187A0000}"/>
    <cellStyle name="40% - Accent4 4 4 2 2 2 3" xfId="9004" xr:uid="{00000000-0005-0000-0000-0000197A0000}"/>
    <cellStyle name="40% - Accent4 4 4 2 2 2 3 2" xfId="20305" xr:uid="{00000000-0005-0000-0000-00001A7A0000}"/>
    <cellStyle name="40% - Accent4 4 4 2 2 2 3 2 2" xfId="42907" xr:uid="{00000000-0005-0000-0000-00001B7A0000}"/>
    <cellStyle name="40% - Accent4 4 4 2 2 2 3 3" xfId="31606" xr:uid="{00000000-0005-0000-0000-00001C7A0000}"/>
    <cellStyle name="40% - Accent4 4 4 2 2 2 4" xfId="14655" xr:uid="{00000000-0005-0000-0000-00001D7A0000}"/>
    <cellStyle name="40% - Accent4 4 4 2 2 2 4 2" xfId="37257" xr:uid="{00000000-0005-0000-0000-00001E7A0000}"/>
    <cellStyle name="40% - Accent4 4 4 2 2 2 5" xfId="25956" xr:uid="{00000000-0005-0000-0000-00001F7A0000}"/>
    <cellStyle name="40% - Accent4 4 4 2 2 3" xfId="4952" xr:uid="{00000000-0005-0000-0000-0000207A0000}"/>
    <cellStyle name="40% - Accent4 4 4 2 2 3 2" xfId="10602" xr:uid="{00000000-0005-0000-0000-0000217A0000}"/>
    <cellStyle name="40% - Accent4 4 4 2 2 3 2 2" xfId="21903" xr:uid="{00000000-0005-0000-0000-0000227A0000}"/>
    <cellStyle name="40% - Accent4 4 4 2 2 3 2 2 2" xfId="44505" xr:uid="{00000000-0005-0000-0000-0000237A0000}"/>
    <cellStyle name="40% - Accent4 4 4 2 2 3 2 3" xfId="33204" xr:uid="{00000000-0005-0000-0000-0000247A0000}"/>
    <cellStyle name="40% - Accent4 4 4 2 2 3 3" xfId="16253" xr:uid="{00000000-0005-0000-0000-0000257A0000}"/>
    <cellStyle name="40% - Accent4 4 4 2 2 3 3 2" xfId="38855" xr:uid="{00000000-0005-0000-0000-0000267A0000}"/>
    <cellStyle name="40% - Accent4 4 4 2 2 3 4" xfId="27554" xr:uid="{00000000-0005-0000-0000-0000277A0000}"/>
    <cellStyle name="40% - Accent4 4 4 2 2 4" xfId="7824" xr:uid="{00000000-0005-0000-0000-0000287A0000}"/>
    <cellStyle name="40% - Accent4 4 4 2 2 4 2" xfId="19125" xr:uid="{00000000-0005-0000-0000-0000297A0000}"/>
    <cellStyle name="40% - Accent4 4 4 2 2 4 2 2" xfId="41727" xr:uid="{00000000-0005-0000-0000-00002A7A0000}"/>
    <cellStyle name="40% - Accent4 4 4 2 2 4 3" xfId="30426" xr:uid="{00000000-0005-0000-0000-00002B7A0000}"/>
    <cellStyle name="40% - Accent4 4 4 2 2 5" xfId="13475" xr:uid="{00000000-0005-0000-0000-00002C7A0000}"/>
    <cellStyle name="40% - Accent4 4 4 2 2 5 2" xfId="36077" xr:uid="{00000000-0005-0000-0000-00002D7A0000}"/>
    <cellStyle name="40% - Accent4 4 4 2 2 6" xfId="24776" xr:uid="{00000000-0005-0000-0000-00002E7A0000}"/>
    <cellStyle name="40% - Accent4 4 4 2 3" xfId="2543" xr:uid="{00000000-0005-0000-0000-00002F7A0000}"/>
    <cellStyle name="40% - Accent4 4 4 2 3 2" xfId="5562" xr:uid="{00000000-0005-0000-0000-0000307A0000}"/>
    <cellStyle name="40% - Accent4 4 4 2 3 2 2" xfId="11212" xr:uid="{00000000-0005-0000-0000-0000317A0000}"/>
    <cellStyle name="40% - Accent4 4 4 2 3 2 2 2" xfId="22513" xr:uid="{00000000-0005-0000-0000-0000327A0000}"/>
    <cellStyle name="40% - Accent4 4 4 2 3 2 2 2 2" xfId="45115" xr:uid="{00000000-0005-0000-0000-0000337A0000}"/>
    <cellStyle name="40% - Accent4 4 4 2 3 2 2 3" xfId="33814" xr:uid="{00000000-0005-0000-0000-0000347A0000}"/>
    <cellStyle name="40% - Accent4 4 4 2 3 2 3" xfId="16863" xr:uid="{00000000-0005-0000-0000-0000357A0000}"/>
    <cellStyle name="40% - Accent4 4 4 2 3 2 3 2" xfId="39465" xr:uid="{00000000-0005-0000-0000-0000367A0000}"/>
    <cellStyle name="40% - Accent4 4 4 2 3 2 4" xfId="28164" xr:uid="{00000000-0005-0000-0000-0000377A0000}"/>
    <cellStyle name="40% - Accent4 4 4 2 3 3" xfId="8379" xr:uid="{00000000-0005-0000-0000-0000387A0000}"/>
    <cellStyle name="40% - Accent4 4 4 2 3 3 2" xfId="19680" xr:uid="{00000000-0005-0000-0000-0000397A0000}"/>
    <cellStyle name="40% - Accent4 4 4 2 3 3 2 2" xfId="42282" xr:uid="{00000000-0005-0000-0000-00003A7A0000}"/>
    <cellStyle name="40% - Accent4 4 4 2 3 3 3" xfId="30981" xr:uid="{00000000-0005-0000-0000-00003B7A0000}"/>
    <cellStyle name="40% - Accent4 4 4 2 3 4" xfId="14030" xr:uid="{00000000-0005-0000-0000-00003C7A0000}"/>
    <cellStyle name="40% - Accent4 4 4 2 3 4 2" xfId="36632" xr:uid="{00000000-0005-0000-0000-00003D7A0000}"/>
    <cellStyle name="40% - Accent4 4 4 2 3 5" xfId="25331" xr:uid="{00000000-0005-0000-0000-00003E7A0000}"/>
    <cellStyle name="40% - Accent4 4 4 2 4" xfId="4328" xr:uid="{00000000-0005-0000-0000-00003F7A0000}"/>
    <cellStyle name="40% - Accent4 4 4 2 4 2" xfId="9978" xr:uid="{00000000-0005-0000-0000-0000407A0000}"/>
    <cellStyle name="40% - Accent4 4 4 2 4 2 2" xfId="21279" xr:uid="{00000000-0005-0000-0000-0000417A0000}"/>
    <cellStyle name="40% - Accent4 4 4 2 4 2 2 2" xfId="43881" xr:uid="{00000000-0005-0000-0000-0000427A0000}"/>
    <cellStyle name="40% - Accent4 4 4 2 4 2 3" xfId="32580" xr:uid="{00000000-0005-0000-0000-0000437A0000}"/>
    <cellStyle name="40% - Accent4 4 4 2 4 3" xfId="15629" xr:uid="{00000000-0005-0000-0000-0000447A0000}"/>
    <cellStyle name="40% - Accent4 4 4 2 4 3 2" xfId="38231" xr:uid="{00000000-0005-0000-0000-0000457A0000}"/>
    <cellStyle name="40% - Accent4 4 4 2 4 4" xfId="26930" xr:uid="{00000000-0005-0000-0000-0000467A0000}"/>
    <cellStyle name="40% - Accent4 4 4 2 5" xfId="7125" xr:uid="{00000000-0005-0000-0000-0000477A0000}"/>
    <cellStyle name="40% - Accent4 4 4 2 5 2" xfId="18426" xr:uid="{00000000-0005-0000-0000-0000487A0000}"/>
    <cellStyle name="40% - Accent4 4 4 2 5 2 2" xfId="41028" xr:uid="{00000000-0005-0000-0000-0000497A0000}"/>
    <cellStyle name="40% - Accent4 4 4 2 5 3" xfId="29727" xr:uid="{00000000-0005-0000-0000-00004A7A0000}"/>
    <cellStyle name="40% - Accent4 4 4 2 6" xfId="12776" xr:uid="{00000000-0005-0000-0000-00004B7A0000}"/>
    <cellStyle name="40% - Accent4 4 4 2 6 2" xfId="35378" xr:uid="{00000000-0005-0000-0000-00004C7A0000}"/>
    <cellStyle name="40% - Accent4 4 4 2 7" xfId="24077" xr:uid="{00000000-0005-0000-0000-00004D7A0000}"/>
    <cellStyle name="40% - Accent4 4 4 3" xfId="820" xr:uid="{00000000-0005-0000-0000-00004E7A0000}"/>
    <cellStyle name="40% - Accent4 4 4 3 2" xfId="2907" xr:uid="{00000000-0005-0000-0000-00004F7A0000}"/>
    <cellStyle name="40% - Accent4 4 4 3 2 2" xfId="5879" xr:uid="{00000000-0005-0000-0000-0000507A0000}"/>
    <cellStyle name="40% - Accent4 4 4 3 2 2 2" xfId="11529" xr:uid="{00000000-0005-0000-0000-0000517A0000}"/>
    <cellStyle name="40% - Accent4 4 4 3 2 2 2 2" xfId="22830" xr:uid="{00000000-0005-0000-0000-0000527A0000}"/>
    <cellStyle name="40% - Accent4 4 4 3 2 2 2 2 2" xfId="45432" xr:uid="{00000000-0005-0000-0000-0000537A0000}"/>
    <cellStyle name="40% - Accent4 4 4 3 2 2 2 3" xfId="34131" xr:uid="{00000000-0005-0000-0000-0000547A0000}"/>
    <cellStyle name="40% - Accent4 4 4 3 2 2 3" xfId="17180" xr:uid="{00000000-0005-0000-0000-0000557A0000}"/>
    <cellStyle name="40% - Accent4 4 4 3 2 2 3 2" xfId="39782" xr:uid="{00000000-0005-0000-0000-0000567A0000}"/>
    <cellStyle name="40% - Accent4 4 4 3 2 2 4" xfId="28481" xr:uid="{00000000-0005-0000-0000-0000577A0000}"/>
    <cellStyle name="40% - Accent4 4 4 3 2 3" xfId="8697" xr:uid="{00000000-0005-0000-0000-0000587A0000}"/>
    <cellStyle name="40% - Accent4 4 4 3 2 3 2" xfId="19998" xr:uid="{00000000-0005-0000-0000-0000597A0000}"/>
    <cellStyle name="40% - Accent4 4 4 3 2 3 2 2" xfId="42600" xr:uid="{00000000-0005-0000-0000-00005A7A0000}"/>
    <cellStyle name="40% - Accent4 4 4 3 2 3 3" xfId="31299" xr:uid="{00000000-0005-0000-0000-00005B7A0000}"/>
    <cellStyle name="40% - Accent4 4 4 3 2 4" xfId="14348" xr:uid="{00000000-0005-0000-0000-00005C7A0000}"/>
    <cellStyle name="40% - Accent4 4 4 3 2 4 2" xfId="36950" xr:uid="{00000000-0005-0000-0000-00005D7A0000}"/>
    <cellStyle name="40% - Accent4 4 4 3 2 5" xfId="25649" xr:uid="{00000000-0005-0000-0000-00005E7A0000}"/>
    <cellStyle name="40% - Accent4 4 4 3 3" xfId="4645" xr:uid="{00000000-0005-0000-0000-00005F7A0000}"/>
    <cellStyle name="40% - Accent4 4 4 3 3 2" xfId="10295" xr:uid="{00000000-0005-0000-0000-0000607A0000}"/>
    <cellStyle name="40% - Accent4 4 4 3 3 2 2" xfId="21596" xr:uid="{00000000-0005-0000-0000-0000617A0000}"/>
    <cellStyle name="40% - Accent4 4 4 3 3 2 2 2" xfId="44198" xr:uid="{00000000-0005-0000-0000-0000627A0000}"/>
    <cellStyle name="40% - Accent4 4 4 3 3 2 3" xfId="32897" xr:uid="{00000000-0005-0000-0000-0000637A0000}"/>
    <cellStyle name="40% - Accent4 4 4 3 3 3" xfId="15946" xr:uid="{00000000-0005-0000-0000-0000647A0000}"/>
    <cellStyle name="40% - Accent4 4 4 3 3 3 2" xfId="38548" xr:uid="{00000000-0005-0000-0000-0000657A0000}"/>
    <cellStyle name="40% - Accent4 4 4 3 3 4" xfId="27247" xr:uid="{00000000-0005-0000-0000-0000667A0000}"/>
    <cellStyle name="40% - Accent4 4 4 3 4" xfId="6828" xr:uid="{00000000-0005-0000-0000-0000677A0000}"/>
    <cellStyle name="40% - Accent4 4 4 3 4 2" xfId="18129" xr:uid="{00000000-0005-0000-0000-0000687A0000}"/>
    <cellStyle name="40% - Accent4 4 4 3 4 2 2" xfId="40731" xr:uid="{00000000-0005-0000-0000-0000697A0000}"/>
    <cellStyle name="40% - Accent4 4 4 3 4 3" xfId="29430" xr:uid="{00000000-0005-0000-0000-00006A7A0000}"/>
    <cellStyle name="40% - Accent4 4 4 3 5" xfId="12479" xr:uid="{00000000-0005-0000-0000-00006B7A0000}"/>
    <cellStyle name="40% - Accent4 4 4 3 5 2" xfId="35081" xr:uid="{00000000-0005-0000-0000-00006C7A0000}"/>
    <cellStyle name="40% - Accent4 4 4 3 6" xfId="23780" xr:uid="{00000000-0005-0000-0000-00006D7A0000}"/>
    <cellStyle name="40% - Accent4 4 4 4" xfId="1967" xr:uid="{00000000-0005-0000-0000-00006E7A0000}"/>
    <cellStyle name="40% - Accent4 4 4 4 2" xfId="3784" xr:uid="{00000000-0005-0000-0000-00006F7A0000}"/>
    <cellStyle name="40% - Accent4 4 4 4 2 2" xfId="9494" xr:uid="{00000000-0005-0000-0000-0000707A0000}"/>
    <cellStyle name="40% - Accent4 4 4 4 2 2 2" xfId="20795" xr:uid="{00000000-0005-0000-0000-0000717A0000}"/>
    <cellStyle name="40% - Accent4 4 4 4 2 2 2 2" xfId="43397" xr:uid="{00000000-0005-0000-0000-0000727A0000}"/>
    <cellStyle name="40% - Accent4 4 4 4 2 2 3" xfId="32096" xr:uid="{00000000-0005-0000-0000-0000737A0000}"/>
    <cellStyle name="40% - Accent4 4 4 4 2 3" xfId="15145" xr:uid="{00000000-0005-0000-0000-0000747A0000}"/>
    <cellStyle name="40% - Accent4 4 4 4 2 3 2" xfId="37747" xr:uid="{00000000-0005-0000-0000-0000757A0000}"/>
    <cellStyle name="40% - Accent4 4 4 4 2 4" xfId="26446" xr:uid="{00000000-0005-0000-0000-0000767A0000}"/>
    <cellStyle name="40% - Accent4 4 4 4 3" xfId="5255" xr:uid="{00000000-0005-0000-0000-0000777A0000}"/>
    <cellStyle name="40% - Accent4 4 4 4 3 2" xfId="10905" xr:uid="{00000000-0005-0000-0000-0000787A0000}"/>
    <cellStyle name="40% - Accent4 4 4 4 3 2 2" xfId="22206" xr:uid="{00000000-0005-0000-0000-0000797A0000}"/>
    <cellStyle name="40% - Accent4 4 4 4 3 2 2 2" xfId="44808" xr:uid="{00000000-0005-0000-0000-00007A7A0000}"/>
    <cellStyle name="40% - Accent4 4 4 4 3 2 3" xfId="33507" xr:uid="{00000000-0005-0000-0000-00007B7A0000}"/>
    <cellStyle name="40% - Accent4 4 4 4 3 3" xfId="16556" xr:uid="{00000000-0005-0000-0000-00007C7A0000}"/>
    <cellStyle name="40% - Accent4 4 4 4 3 3 2" xfId="39158" xr:uid="{00000000-0005-0000-0000-00007D7A0000}"/>
    <cellStyle name="40% - Accent4 4 4 4 3 4" xfId="27857" xr:uid="{00000000-0005-0000-0000-00007E7A0000}"/>
    <cellStyle name="40% - Accent4 4 4 4 4" xfId="7823" xr:uid="{00000000-0005-0000-0000-00007F7A0000}"/>
    <cellStyle name="40% - Accent4 4 4 4 4 2" xfId="19124" xr:uid="{00000000-0005-0000-0000-0000807A0000}"/>
    <cellStyle name="40% - Accent4 4 4 4 4 2 2" xfId="41726" xr:uid="{00000000-0005-0000-0000-0000817A0000}"/>
    <cellStyle name="40% - Accent4 4 4 4 4 3" xfId="30425" xr:uid="{00000000-0005-0000-0000-0000827A0000}"/>
    <cellStyle name="40% - Accent4 4 4 4 5" xfId="13474" xr:uid="{00000000-0005-0000-0000-0000837A0000}"/>
    <cellStyle name="40% - Accent4 4 4 4 5 2" xfId="36076" xr:uid="{00000000-0005-0000-0000-0000847A0000}"/>
    <cellStyle name="40% - Accent4 4 4 4 6" xfId="24775" xr:uid="{00000000-0005-0000-0000-0000857A0000}"/>
    <cellStyle name="40% - Accent4 4 4 5" xfId="2227" xr:uid="{00000000-0005-0000-0000-0000867A0000}"/>
    <cellStyle name="40% - Accent4 4 4 5 2" xfId="8069" xr:uid="{00000000-0005-0000-0000-0000877A0000}"/>
    <cellStyle name="40% - Accent4 4 4 5 2 2" xfId="19370" xr:uid="{00000000-0005-0000-0000-0000887A0000}"/>
    <cellStyle name="40% - Accent4 4 4 5 2 2 2" xfId="41972" xr:uid="{00000000-0005-0000-0000-0000897A0000}"/>
    <cellStyle name="40% - Accent4 4 4 5 2 3" xfId="30671" xr:uid="{00000000-0005-0000-0000-00008A7A0000}"/>
    <cellStyle name="40% - Accent4 4 4 5 3" xfId="13720" xr:uid="{00000000-0005-0000-0000-00008B7A0000}"/>
    <cellStyle name="40% - Accent4 4 4 5 3 2" xfId="36322" xr:uid="{00000000-0005-0000-0000-00008C7A0000}"/>
    <cellStyle name="40% - Accent4 4 4 5 4" xfId="25021" xr:uid="{00000000-0005-0000-0000-00008D7A0000}"/>
    <cellStyle name="40% - Accent4 4 4 6" xfId="4021" xr:uid="{00000000-0005-0000-0000-00008E7A0000}"/>
    <cellStyle name="40% - Accent4 4 4 6 2" xfId="9671" xr:uid="{00000000-0005-0000-0000-00008F7A0000}"/>
    <cellStyle name="40% - Accent4 4 4 6 2 2" xfId="20972" xr:uid="{00000000-0005-0000-0000-0000907A0000}"/>
    <cellStyle name="40% - Accent4 4 4 6 2 2 2" xfId="43574" xr:uid="{00000000-0005-0000-0000-0000917A0000}"/>
    <cellStyle name="40% - Accent4 4 4 6 2 3" xfId="32273" xr:uid="{00000000-0005-0000-0000-0000927A0000}"/>
    <cellStyle name="40% - Accent4 4 4 6 3" xfId="15322" xr:uid="{00000000-0005-0000-0000-0000937A0000}"/>
    <cellStyle name="40% - Accent4 4 4 6 3 2" xfId="37924" xr:uid="{00000000-0005-0000-0000-0000947A0000}"/>
    <cellStyle name="40% - Accent4 4 4 6 4" xfId="26623" xr:uid="{00000000-0005-0000-0000-0000957A0000}"/>
    <cellStyle name="40% - Accent4 4 4 7" xfId="6639" xr:uid="{00000000-0005-0000-0000-0000967A0000}"/>
    <cellStyle name="40% - Accent4 4 4 7 2" xfId="17940" xr:uid="{00000000-0005-0000-0000-0000977A0000}"/>
    <cellStyle name="40% - Accent4 4 4 7 2 2" xfId="40542" xr:uid="{00000000-0005-0000-0000-0000987A0000}"/>
    <cellStyle name="40% - Accent4 4 4 7 3" xfId="29241" xr:uid="{00000000-0005-0000-0000-0000997A0000}"/>
    <cellStyle name="40% - Accent4 4 4 8" xfId="12290" xr:uid="{00000000-0005-0000-0000-00009A7A0000}"/>
    <cellStyle name="40% - Accent4 4 4 8 2" xfId="34892" xr:uid="{00000000-0005-0000-0000-00009B7A0000}"/>
    <cellStyle name="40% - Accent4 4 4 9" xfId="23591" xr:uid="{00000000-0005-0000-0000-00009C7A0000}"/>
    <cellStyle name="40% - Accent4 4 5" xfId="516" xr:uid="{00000000-0005-0000-0000-00009D7A0000}"/>
    <cellStyle name="40% - Accent4 4 5 2" xfId="1285" xr:uid="{00000000-0005-0000-0000-00009E7A0000}"/>
    <cellStyle name="40% - Accent4 4 5 2 2" xfId="1970" xr:uid="{00000000-0005-0000-0000-00009F7A0000}"/>
    <cellStyle name="40% - Accent4 4 5 2 2 2" xfId="3354" xr:uid="{00000000-0005-0000-0000-0000A07A0000}"/>
    <cellStyle name="40% - Accent4 4 5 2 2 2 2" xfId="6326" xr:uid="{00000000-0005-0000-0000-0000A17A0000}"/>
    <cellStyle name="40% - Accent4 4 5 2 2 2 2 2" xfId="11976" xr:uid="{00000000-0005-0000-0000-0000A27A0000}"/>
    <cellStyle name="40% - Accent4 4 5 2 2 2 2 2 2" xfId="23277" xr:uid="{00000000-0005-0000-0000-0000A37A0000}"/>
    <cellStyle name="40% - Accent4 4 5 2 2 2 2 2 2 2" xfId="45879" xr:uid="{00000000-0005-0000-0000-0000A47A0000}"/>
    <cellStyle name="40% - Accent4 4 5 2 2 2 2 2 3" xfId="34578" xr:uid="{00000000-0005-0000-0000-0000A57A0000}"/>
    <cellStyle name="40% - Accent4 4 5 2 2 2 2 3" xfId="17627" xr:uid="{00000000-0005-0000-0000-0000A67A0000}"/>
    <cellStyle name="40% - Accent4 4 5 2 2 2 2 3 2" xfId="40229" xr:uid="{00000000-0005-0000-0000-0000A77A0000}"/>
    <cellStyle name="40% - Accent4 4 5 2 2 2 2 4" xfId="28928" xr:uid="{00000000-0005-0000-0000-0000A87A0000}"/>
    <cellStyle name="40% - Accent4 4 5 2 2 2 3" xfId="9144" xr:uid="{00000000-0005-0000-0000-0000A97A0000}"/>
    <cellStyle name="40% - Accent4 4 5 2 2 2 3 2" xfId="20445" xr:uid="{00000000-0005-0000-0000-0000AA7A0000}"/>
    <cellStyle name="40% - Accent4 4 5 2 2 2 3 2 2" xfId="43047" xr:uid="{00000000-0005-0000-0000-0000AB7A0000}"/>
    <cellStyle name="40% - Accent4 4 5 2 2 2 3 3" xfId="31746" xr:uid="{00000000-0005-0000-0000-0000AC7A0000}"/>
    <cellStyle name="40% - Accent4 4 5 2 2 2 4" xfId="14795" xr:uid="{00000000-0005-0000-0000-0000AD7A0000}"/>
    <cellStyle name="40% - Accent4 4 5 2 2 2 4 2" xfId="37397" xr:uid="{00000000-0005-0000-0000-0000AE7A0000}"/>
    <cellStyle name="40% - Accent4 4 5 2 2 2 5" xfId="26096" xr:uid="{00000000-0005-0000-0000-0000AF7A0000}"/>
    <cellStyle name="40% - Accent4 4 5 2 2 3" xfId="5092" xr:uid="{00000000-0005-0000-0000-0000B07A0000}"/>
    <cellStyle name="40% - Accent4 4 5 2 2 3 2" xfId="10742" xr:uid="{00000000-0005-0000-0000-0000B17A0000}"/>
    <cellStyle name="40% - Accent4 4 5 2 2 3 2 2" xfId="22043" xr:uid="{00000000-0005-0000-0000-0000B27A0000}"/>
    <cellStyle name="40% - Accent4 4 5 2 2 3 2 2 2" xfId="44645" xr:uid="{00000000-0005-0000-0000-0000B37A0000}"/>
    <cellStyle name="40% - Accent4 4 5 2 2 3 2 3" xfId="33344" xr:uid="{00000000-0005-0000-0000-0000B47A0000}"/>
    <cellStyle name="40% - Accent4 4 5 2 2 3 3" xfId="16393" xr:uid="{00000000-0005-0000-0000-0000B57A0000}"/>
    <cellStyle name="40% - Accent4 4 5 2 2 3 3 2" xfId="38995" xr:uid="{00000000-0005-0000-0000-0000B67A0000}"/>
    <cellStyle name="40% - Accent4 4 5 2 2 3 4" xfId="27694" xr:uid="{00000000-0005-0000-0000-0000B77A0000}"/>
    <cellStyle name="40% - Accent4 4 5 2 2 4" xfId="7826" xr:uid="{00000000-0005-0000-0000-0000B87A0000}"/>
    <cellStyle name="40% - Accent4 4 5 2 2 4 2" xfId="19127" xr:uid="{00000000-0005-0000-0000-0000B97A0000}"/>
    <cellStyle name="40% - Accent4 4 5 2 2 4 2 2" xfId="41729" xr:uid="{00000000-0005-0000-0000-0000BA7A0000}"/>
    <cellStyle name="40% - Accent4 4 5 2 2 4 3" xfId="30428" xr:uid="{00000000-0005-0000-0000-0000BB7A0000}"/>
    <cellStyle name="40% - Accent4 4 5 2 2 5" xfId="13477" xr:uid="{00000000-0005-0000-0000-0000BC7A0000}"/>
    <cellStyle name="40% - Accent4 4 5 2 2 5 2" xfId="36079" xr:uid="{00000000-0005-0000-0000-0000BD7A0000}"/>
    <cellStyle name="40% - Accent4 4 5 2 2 6" xfId="24778" xr:uid="{00000000-0005-0000-0000-0000BE7A0000}"/>
    <cellStyle name="40% - Accent4 4 5 2 3" xfId="2683" xr:uid="{00000000-0005-0000-0000-0000BF7A0000}"/>
    <cellStyle name="40% - Accent4 4 5 2 3 2" xfId="5702" xr:uid="{00000000-0005-0000-0000-0000C07A0000}"/>
    <cellStyle name="40% - Accent4 4 5 2 3 2 2" xfId="11352" xr:uid="{00000000-0005-0000-0000-0000C17A0000}"/>
    <cellStyle name="40% - Accent4 4 5 2 3 2 2 2" xfId="22653" xr:uid="{00000000-0005-0000-0000-0000C27A0000}"/>
    <cellStyle name="40% - Accent4 4 5 2 3 2 2 2 2" xfId="45255" xr:uid="{00000000-0005-0000-0000-0000C37A0000}"/>
    <cellStyle name="40% - Accent4 4 5 2 3 2 2 3" xfId="33954" xr:uid="{00000000-0005-0000-0000-0000C47A0000}"/>
    <cellStyle name="40% - Accent4 4 5 2 3 2 3" xfId="17003" xr:uid="{00000000-0005-0000-0000-0000C57A0000}"/>
    <cellStyle name="40% - Accent4 4 5 2 3 2 3 2" xfId="39605" xr:uid="{00000000-0005-0000-0000-0000C67A0000}"/>
    <cellStyle name="40% - Accent4 4 5 2 3 2 4" xfId="28304" xr:uid="{00000000-0005-0000-0000-0000C77A0000}"/>
    <cellStyle name="40% - Accent4 4 5 2 3 3" xfId="8519" xr:uid="{00000000-0005-0000-0000-0000C87A0000}"/>
    <cellStyle name="40% - Accent4 4 5 2 3 3 2" xfId="19820" xr:uid="{00000000-0005-0000-0000-0000C97A0000}"/>
    <cellStyle name="40% - Accent4 4 5 2 3 3 2 2" xfId="42422" xr:uid="{00000000-0005-0000-0000-0000CA7A0000}"/>
    <cellStyle name="40% - Accent4 4 5 2 3 3 3" xfId="31121" xr:uid="{00000000-0005-0000-0000-0000CB7A0000}"/>
    <cellStyle name="40% - Accent4 4 5 2 3 4" xfId="14170" xr:uid="{00000000-0005-0000-0000-0000CC7A0000}"/>
    <cellStyle name="40% - Accent4 4 5 2 3 4 2" xfId="36772" xr:uid="{00000000-0005-0000-0000-0000CD7A0000}"/>
    <cellStyle name="40% - Accent4 4 5 2 3 5" xfId="25471" xr:uid="{00000000-0005-0000-0000-0000CE7A0000}"/>
    <cellStyle name="40% - Accent4 4 5 2 4" xfId="4468" xr:uid="{00000000-0005-0000-0000-0000CF7A0000}"/>
    <cellStyle name="40% - Accent4 4 5 2 4 2" xfId="10118" xr:uid="{00000000-0005-0000-0000-0000D07A0000}"/>
    <cellStyle name="40% - Accent4 4 5 2 4 2 2" xfId="21419" xr:uid="{00000000-0005-0000-0000-0000D17A0000}"/>
    <cellStyle name="40% - Accent4 4 5 2 4 2 2 2" xfId="44021" xr:uid="{00000000-0005-0000-0000-0000D27A0000}"/>
    <cellStyle name="40% - Accent4 4 5 2 4 2 3" xfId="32720" xr:uid="{00000000-0005-0000-0000-0000D37A0000}"/>
    <cellStyle name="40% - Accent4 4 5 2 4 3" xfId="15769" xr:uid="{00000000-0005-0000-0000-0000D47A0000}"/>
    <cellStyle name="40% - Accent4 4 5 2 4 3 2" xfId="38371" xr:uid="{00000000-0005-0000-0000-0000D57A0000}"/>
    <cellStyle name="40% - Accent4 4 5 2 4 4" xfId="27070" xr:uid="{00000000-0005-0000-0000-0000D67A0000}"/>
    <cellStyle name="40% - Accent4 4 5 2 5" xfId="7264" xr:uid="{00000000-0005-0000-0000-0000D77A0000}"/>
    <cellStyle name="40% - Accent4 4 5 2 5 2" xfId="18565" xr:uid="{00000000-0005-0000-0000-0000D87A0000}"/>
    <cellStyle name="40% - Accent4 4 5 2 5 2 2" xfId="41167" xr:uid="{00000000-0005-0000-0000-0000D97A0000}"/>
    <cellStyle name="40% - Accent4 4 5 2 5 3" xfId="29866" xr:uid="{00000000-0005-0000-0000-0000DA7A0000}"/>
    <cellStyle name="40% - Accent4 4 5 2 6" xfId="12915" xr:uid="{00000000-0005-0000-0000-0000DB7A0000}"/>
    <cellStyle name="40% - Accent4 4 5 2 6 2" xfId="35517" xr:uid="{00000000-0005-0000-0000-0000DC7A0000}"/>
    <cellStyle name="40% - Accent4 4 5 2 7" xfId="24216" xr:uid="{00000000-0005-0000-0000-0000DD7A0000}"/>
    <cellStyle name="40% - Accent4 4 5 3" xfId="983" xr:uid="{00000000-0005-0000-0000-0000DE7A0000}"/>
    <cellStyle name="40% - Accent4 4 5 3 2" xfId="3046" xr:uid="{00000000-0005-0000-0000-0000DF7A0000}"/>
    <cellStyle name="40% - Accent4 4 5 3 2 2" xfId="6018" xr:uid="{00000000-0005-0000-0000-0000E07A0000}"/>
    <cellStyle name="40% - Accent4 4 5 3 2 2 2" xfId="11668" xr:uid="{00000000-0005-0000-0000-0000E17A0000}"/>
    <cellStyle name="40% - Accent4 4 5 3 2 2 2 2" xfId="22969" xr:uid="{00000000-0005-0000-0000-0000E27A0000}"/>
    <cellStyle name="40% - Accent4 4 5 3 2 2 2 2 2" xfId="45571" xr:uid="{00000000-0005-0000-0000-0000E37A0000}"/>
    <cellStyle name="40% - Accent4 4 5 3 2 2 2 3" xfId="34270" xr:uid="{00000000-0005-0000-0000-0000E47A0000}"/>
    <cellStyle name="40% - Accent4 4 5 3 2 2 3" xfId="17319" xr:uid="{00000000-0005-0000-0000-0000E57A0000}"/>
    <cellStyle name="40% - Accent4 4 5 3 2 2 3 2" xfId="39921" xr:uid="{00000000-0005-0000-0000-0000E67A0000}"/>
    <cellStyle name="40% - Accent4 4 5 3 2 2 4" xfId="28620" xr:uid="{00000000-0005-0000-0000-0000E77A0000}"/>
    <cellStyle name="40% - Accent4 4 5 3 2 3" xfId="8836" xr:uid="{00000000-0005-0000-0000-0000E87A0000}"/>
    <cellStyle name="40% - Accent4 4 5 3 2 3 2" xfId="20137" xr:uid="{00000000-0005-0000-0000-0000E97A0000}"/>
    <cellStyle name="40% - Accent4 4 5 3 2 3 2 2" xfId="42739" xr:uid="{00000000-0005-0000-0000-0000EA7A0000}"/>
    <cellStyle name="40% - Accent4 4 5 3 2 3 3" xfId="31438" xr:uid="{00000000-0005-0000-0000-0000EB7A0000}"/>
    <cellStyle name="40% - Accent4 4 5 3 2 4" xfId="14487" xr:uid="{00000000-0005-0000-0000-0000EC7A0000}"/>
    <cellStyle name="40% - Accent4 4 5 3 2 4 2" xfId="37089" xr:uid="{00000000-0005-0000-0000-0000ED7A0000}"/>
    <cellStyle name="40% - Accent4 4 5 3 2 5" xfId="25788" xr:uid="{00000000-0005-0000-0000-0000EE7A0000}"/>
    <cellStyle name="40% - Accent4 4 5 3 3" xfId="4784" xr:uid="{00000000-0005-0000-0000-0000EF7A0000}"/>
    <cellStyle name="40% - Accent4 4 5 3 3 2" xfId="10434" xr:uid="{00000000-0005-0000-0000-0000F07A0000}"/>
    <cellStyle name="40% - Accent4 4 5 3 3 2 2" xfId="21735" xr:uid="{00000000-0005-0000-0000-0000F17A0000}"/>
    <cellStyle name="40% - Accent4 4 5 3 3 2 2 2" xfId="44337" xr:uid="{00000000-0005-0000-0000-0000F27A0000}"/>
    <cellStyle name="40% - Accent4 4 5 3 3 2 3" xfId="33036" xr:uid="{00000000-0005-0000-0000-0000F37A0000}"/>
    <cellStyle name="40% - Accent4 4 5 3 3 3" xfId="16085" xr:uid="{00000000-0005-0000-0000-0000F47A0000}"/>
    <cellStyle name="40% - Accent4 4 5 3 3 3 2" xfId="38687" xr:uid="{00000000-0005-0000-0000-0000F57A0000}"/>
    <cellStyle name="40% - Accent4 4 5 3 3 4" xfId="27386" xr:uid="{00000000-0005-0000-0000-0000F67A0000}"/>
    <cellStyle name="40% - Accent4 4 5 3 4" xfId="6971" xr:uid="{00000000-0005-0000-0000-0000F77A0000}"/>
    <cellStyle name="40% - Accent4 4 5 3 4 2" xfId="18272" xr:uid="{00000000-0005-0000-0000-0000F87A0000}"/>
    <cellStyle name="40% - Accent4 4 5 3 4 2 2" xfId="40874" xr:uid="{00000000-0005-0000-0000-0000F97A0000}"/>
    <cellStyle name="40% - Accent4 4 5 3 4 3" xfId="29573" xr:uid="{00000000-0005-0000-0000-0000FA7A0000}"/>
    <cellStyle name="40% - Accent4 4 5 3 5" xfId="12622" xr:uid="{00000000-0005-0000-0000-0000FB7A0000}"/>
    <cellStyle name="40% - Accent4 4 5 3 5 2" xfId="35224" xr:uid="{00000000-0005-0000-0000-0000FC7A0000}"/>
    <cellStyle name="40% - Accent4 4 5 3 6" xfId="23923" xr:uid="{00000000-0005-0000-0000-0000FD7A0000}"/>
    <cellStyle name="40% - Accent4 4 5 4" xfId="1969" xr:uid="{00000000-0005-0000-0000-0000FE7A0000}"/>
    <cellStyle name="40% - Accent4 4 5 4 2" xfId="3785" xr:uid="{00000000-0005-0000-0000-0000FF7A0000}"/>
    <cellStyle name="40% - Accent4 4 5 4 2 2" xfId="9495" xr:uid="{00000000-0005-0000-0000-0000007B0000}"/>
    <cellStyle name="40% - Accent4 4 5 4 2 2 2" xfId="20796" xr:uid="{00000000-0005-0000-0000-0000017B0000}"/>
    <cellStyle name="40% - Accent4 4 5 4 2 2 2 2" xfId="43398" xr:uid="{00000000-0005-0000-0000-0000027B0000}"/>
    <cellStyle name="40% - Accent4 4 5 4 2 2 3" xfId="32097" xr:uid="{00000000-0005-0000-0000-0000037B0000}"/>
    <cellStyle name="40% - Accent4 4 5 4 2 3" xfId="15146" xr:uid="{00000000-0005-0000-0000-0000047B0000}"/>
    <cellStyle name="40% - Accent4 4 5 4 2 3 2" xfId="37748" xr:uid="{00000000-0005-0000-0000-0000057B0000}"/>
    <cellStyle name="40% - Accent4 4 5 4 2 4" xfId="26447" xr:uid="{00000000-0005-0000-0000-0000067B0000}"/>
    <cellStyle name="40% - Accent4 4 5 4 3" xfId="5394" xr:uid="{00000000-0005-0000-0000-0000077B0000}"/>
    <cellStyle name="40% - Accent4 4 5 4 3 2" xfId="11044" xr:uid="{00000000-0005-0000-0000-0000087B0000}"/>
    <cellStyle name="40% - Accent4 4 5 4 3 2 2" xfId="22345" xr:uid="{00000000-0005-0000-0000-0000097B0000}"/>
    <cellStyle name="40% - Accent4 4 5 4 3 2 2 2" xfId="44947" xr:uid="{00000000-0005-0000-0000-00000A7B0000}"/>
    <cellStyle name="40% - Accent4 4 5 4 3 2 3" xfId="33646" xr:uid="{00000000-0005-0000-0000-00000B7B0000}"/>
    <cellStyle name="40% - Accent4 4 5 4 3 3" xfId="16695" xr:uid="{00000000-0005-0000-0000-00000C7B0000}"/>
    <cellStyle name="40% - Accent4 4 5 4 3 3 2" xfId="39297" xr:uid="{00000000-0005-0000-0000-00000D7B0000}"/>
    <cellStyle name="40% - Accent4 4 5 4 3 4" xfId="27996" xr:uid="{00000000-0005-0000-0000-00000E7B0000}"/>
    <cellStyle name="40% - Accent4 4 5 4 4" xfId="7825" xr:uid="{00000000-0005-0000-0000-00000F7B0000}"/>
    <cellStyle name="40% - Accent4 4 5 4 4 2" xfId="19126" xr:uid="{00000000-0005-0000-0000-0000107B0000}"/>
    <cellStyle name="40% - Accent4 4 5 4 4 2 2" xfId="41728" xr:uid="{00000000-0005-0000-0000-0000117B0000}"/>
    <cellStyle name="40% - Accent4 4 5 4 4 3" xfId="30427" xr:uid="{00000000-0005-0000-0000-0000127B0000}"/>
    <cellStyle name="40% - Accent4 4 5 4 5" xfId="13476" xr:uid="{00000000-0005-0000-0000-0000137B0000}"/>
    <cellStyle name="40% - Accent4 4 5 4 5 2" xfId="36078" xr:uid="{00000000-0005-0000-0000-0000147B0000}"/>
    <cellStyle name="40% - Accent4 4 5 4 6" xfId="24777" xr:uid="{00000000-0005-0000-0000-0000157B0000}"/>
    <cellStyle name="40% - Accent4 4 5 5" xfId="2375" xr:uid="{00000000-0005-0000-0000-0000167B0000}"/>
    <cellStyle name="40% - Accent4 4 5 5 2" xfId="8211" xr:uid="{00000000-0005-0000-0000-0000177B0000}"/>
    <cellStyle name="40% - Accent4 4 5 5 2 2" xfId="19512" xr:uid="{00000000-0005-0000-0000-0000187B0000}"/>
    <cellStyle name="40% - Accent4 4 5 5 2 2 2" xfId="42114" xr:uid="{00000000-0005-0000-0000-0000197B0000}"/>
    <cellStyle name="40% - Accent4 4 5 5 2 3" xfId="30813" xr:uid="{00000000-0005-0000-0000-00001A7B0000}"/>
    <cellStyle name="40% - Accent4 4 5 5 3" xfId="13862" xr:uid="{00000000-0005-0000-0000-00001B7B0000}"/>
    <cellStyle name="40% - Accent4 4 5 5 3 2" xfId="36464" xr:uid="{00000000-0005-0000-0000-00001C7B0000}"/>
    <cellStyle name="40% - Accent4 4 5 5 4" xfId="25163" xr:uid="{00000000-0005-0000-0000-00001D7B0000}"/>
    <cellStyle name="40% - Accent4 4 5 6" xfId="4160" xr:uid="{00000000-0005-0000-0000-00001E7B0000}"/>
    <cellStyle name="40% - Accent4 4 5 6 2" xfId="9810" xr:uid="{00000000-0005-0000-0000-00001F7B0000}"/>
    <cellStyle name="40% - Accent4 4 5 6 2 2" xfId="21111" xr:uid="{00000000-0005-0000-0000-0000207B0000}"/>
    <cellStyle name="40% - Accent4 4 5 6 2 2 2" xfId="43713" xr:uid="{00000000-0005-0000-0000-0000217B0000}"/>
    <cellStyle name="40% - Accent4 4 5 6 2 3" xfId="32412" xr:uid="{00000000-0005-0000-0000-0000227B0000}"/>
    <cellStyle name="40% - Accent4 4 5 6 3" xfId="15461" xr:uid="{00000000-0005-0000-0000-0000237B0000}"/>
    <cellStyle name="40% - Accent4 4 5 6 3 2" xfId="38063" xr:uid="{00000000-0005-0000-0000-0000247B0000}"/>
    <cellStyle name="40% - Accent4 4 5 6 4" xfId="26762" xr:uid="{00000000-0005-0000-0000-0000257B0000}"/>
    <cellStyle name="40% - Accent4 4 5 7" xfId="6611" xr:uid="{00000000-0005-0000-0000-0000267B0000}"/>
    <cellStyle name="40% - Accent4 4 5 7 2" xfId="17912" xr:uid="{00000000-0005-0000-0000-0000277B0000}"/>
    <cellStyle name="40% - Accent4 4 5 7 2 2" xfId="40514" xr:uid="{00000000-0005-0000-0000-0000287B0000}"/>
    <cellStyle name="40% - Accent4 4 5 7 3" xfId="29213" xr:uid="{00000000-0005-0000-0000-0000297B0000}"/>
    <cellStyle name="40% - Accent4 4 5 8" xfId="12262" xr:uid="{00000000-0005-0000-0000-00002A7B0000}"/>
    <cellStyle name="40% - Accent4 4 5 8 2" xfId="34864" xr:uid="{00000000-0005-0000-0000-00002B7B0000}"/>
    <cellStyle name="40% - Accent4 4 5 9" xfId="23563" xr:uid="{00000000-0005-0000-0000-00002C7B0000}"/>
    <cellStyle name="40% - Accent4 4 6" xfId="1118" xr:uid="{00000000-0005-0000-0000-00002D7B0000}"/>
    <cellStyle name="40% - Accent4 4 6 2" xfId="1971" xr:uid="{00000000-0005-0000-0000-00002E7B0000}"/>
    <cellStyle name="40% - Accent4 4 6 2 2" xfId="3185" xr:uid="{00000000-0005-0000-0000-00002F7B0000}"/>
    <cellStyle name="40% - Accent4 4 6 2 2 2" xfId="6157" xr:uid="{00000000-0005-0000-0000-0000307B0000}"/>
    <cellStyle name="40% - Accent4 4 6 2 2 2 2" xfId="11807" xr:uid="{00000000-0005-0000-0000-0000317B0000}"/>
    <cellStyle name="40% - Accent4 4 6 2 2 2 2 2" xfId="23108" xr:uid="{00000000-0005-0000-0000-0000327B0000}"/>
    <cellStyle name="40% - Accent4 4 6 2 2 2 2 2 2" xfId="45710" xr:uid="{00000000-0005-0000-0000-0000337B0000}"/>
    <cellStyle name="40% - Accent4 4 6 2 2 2 2 3" xfId="34409" xr:uid="{00000000-0005-0000-0000-0000347B0000}"/>
    <cellStyle name="40% - Accent4 4 6 2 2 2 3" xfId="17458" xr:uid="{00000000-0005-0000-0000-0000357B0000}"/>
    <cellStyle name="40% - Accent4 4 6 2 2 2 3 2" xfId="40060" xr:uid="{00000000-0005-0000-0000-0000367B0000}"/>
    <cellStyle name="40% - Accent4 4 6 2 2 2 4" xfId="28759" xr:uid="{00000000-0005-0000-0000-0000377B0000}"/>
    <cellStyle name="40% - Accent4 4 6 2 2 3" xfId="8975" xr:uid="{00000000-0005-0000-0000-0000387B0000}"/>
    <cellStyle name="40% - Accent4 4 6 2 2 3 2" xfId="20276" xr:uid="{00000000-0005-0000-0000-0000397B0000}"/>
    <cellStyle name="40% - Accent4 4 6 2 2 3 2 2" xfId="42878" xr:uid="{00000000-0005-0000-0000-00003A7B0000}"/>
    <cellStyle name="40% - Accent4 4 6 2 2 3 3" xfId="31577" xr:uid="{00000000-0005-0000-0000-00003B7B0000}"/>
    <cellStyle name="40% - Accent4 4 6 2 2 4" xfId="14626" xr:uid="{00000000-0005-0000-0000-00003C7B0000}"/>
    <cellStyle name="40% - Accent4 4 6 2 2 4 2" xfId="37228" xr:uid="{00000000-0005-0000-0000-00003D7B0000}"/>
    <cellStyle name="40% - Accent4 4 6 2 2 5" xfId="25927" xr:uid="{00000000-0005-0000-0000-00003E7B0000}"/>
    <cellStyle name="40% - Accent4 4 6 2 3" xfId="4923" xr:uid="{00000000-0005-0000-0000-00003F7B0000}"/>
    <cellStyle name="40% - Accent4 4 6 2 3 2" xfId="10573" xr:uid="{00000000-0005-0000-0000-0000407B0000}"/>
    <cellStyle name="40% - Accent4 4 6 2 3 2 2" xfId="21874" xr:uid="{00000000-0005-0000-0000-0000417B0000}"/>
    <cellStyle name="40% - Accent4 4 6 2 3 2 2 2" xfId="44476" xr:uid="{00000000-0005-0000-0000-0000427B0000}"/>
    <cellStyle name="40% - Accent4 4 6 2 3 2 3" xfId="33175" xr:uid="{00000000-0005-0000-0000-0000437B0000}"/>
    <cellStyle name="40% - Accent4 4 6 2 3 3" xfId="16224" xr:uid="{00000000-0005-0000-0000-0000447B0000}"/>
    <cellStyle name="40% - Accent4 4 6 2 3 3 2" xfId="38826" xr:uid="{00000000-0005-0000-0000-0000457B0000}"/>
    <cellStyle name="40% - Accent4 4 6 2 3 4" xfId="27525" xr:uid="{00000000-0005-0000-0000-0000467B0000}"/>
    <cellStyle name="40% - Accent4 4 6 2 4" xfId="7827" xr:uid="{00000000-0005-0000-0000-0000477B0000}"/>
    <cellStyle name="40% - Accent4 4 6 2 4 2" xfId="19128" xr:uid="{00000000-0005-0000-0000-0000487B0000}"/>
    <cellStyle name="40% - Accent4 4 6 2 4 2 2" xfId="41730" xr:uid="{00000000-0005-0000-0000-0000497B0000}"/>
    <cellStyle name="40% - Accent4 4 6 2 4 3" xfId="30429" xr:uid="{00000000-0005-0000-0000-00004A7B0000}"/>
    <cellStyle name="40% - Accent4 4 6 2 5" xfId="13478" xr:uid="{00000000-0005-0000-0000-00004B7B0000}"/>
    <cellStyle name="40% - Accent4 4 6 2 5 2" xfId="36080" xr:uid="{00000000-0005-0000-0000-00004C7B0000}"/>
    <cellStyle name="40% - Accent4 4 6 2 6" xfId="24779" xr:uid="{00000000-0005-0000-0000-00004D7B0000}"/>
    <cellStyle name="40% - Accent4 4 6 3" xfId="2514" xr:uid="{00000000-0005-0000-0000-00004E7B0000}"/>
    <cellStyle name="40% - Accent4 4 6 3 2" xfId="5533" xr:uid="{00000000-0005-0000-0000-00004F7B0000}"/>
    <cellStyle name="40% - Accent4 4 6 3 2 2" xfId="11183" xr:uid="{00000000-0005-0000-0000-0000507B0000}"/>
    <cellStyle name="40% - Accent4 4 6 3 2 2 2" xfId="22484" xr:uid="{00000000-0005-0000-0000-0000517B0000}"/>
    <cellStyle name="40% - Accent4 4 6 3 2 2 2 2" xfId="45086" xr:uid="{00000000-0005-0000-0000-0000527B0000}"/>
    <cellStyle name="40% - Accent4 4 6 3 2 2 3" xfId="33785" xr:uid="{00000000-0005-0000-0000-0000537B0000}"/>
    <cellStyle name="40% - Accent4 4 6 3 2 3" xfId="16834" xr:uid="{00000000-0005-0000-0000-0000547B0000}"/>
    <cellStyle name="40% - Accent4 4 6 3 2 3 2" xfId="39436" xr:uid="{00000000-0005-0000-0000-0000557B0000}"/>
    <cellStyle name="40% - Accent4 4 6 3 2 4" xfId="28135" xr:uid="{00000000-0005-0000-0000-0000567B0000}"/>
    <cellStyle name="40% - Accent4 4 6 3 3" xfId="8350" xr:uid="{00000000-0005-0000-0000-0000577B0000}"/>
    <cellStyle name="40% - Accent4 4 6 3 3 2" xfId="19651" xr:uid="{00000000-0005-0000-0000-0000587B0000}"/>
    <cellStyle name="40% - Accent4 4 6 3 3 2 2" xfId="42253" xr:uid="{00000000-0005-0000-0000-0000597B0000}"/>
    <cellStyle name="40% - Accent4 4 6 3 3 3" xfId="30952" xr:uid="{00000000-0005-0000-0000-00005A7B0000}"/>
    <cellStyle name="40% - Accent4 4 6 3 4" xfId="14001" xr:uid="{00000000-0005-0000-0000-00005B7B0000}"/>
    <cellStyle name="40% - Accent4 4 6 3 4 2" xfId="36603" xr:uid="{00000000-0005-0000-0000-00005C7B0000}"/>
    <cellStyle name="40% - Accent4 4 6 3 5" xfId="25302" xr:uid="{00000000-0005-0000-0000-00005D7B0000}"/>
    <cellStyle name="40% - Accent4 4 6 4" xfId="4299" xr:uid="{00000000-0005-0000-0000-00005E7B0000}"/>
    <cellStyle name="40% - Accent4 4 6 4 2" xfId="9949" xr:uid="{00000000-0005-0000-0000-00005F7B0000}"/>
    <cellStyle name="40% - Accent4 4 6 4 2 2" xfId="21250" xr:uid="{00000000-0005-0000-0000-0000607B0000}"/>
    <cellStyle name="40% - Accent4 4 6 4 2 2 2" xfId="43852" xr:uid="{00000000-0005-0000-0000-0000617B0000}"/>
    <cellStyle name="40% - Accent4 4 6 4 2 3" xfId="32551" xr:uid="{00000000-0005-0000-0000-0000627B0000}"/>
    <cellStyle name="40% - Accent4 4 6 4 3" xfId="15600" xr:uid="{00000000-0005-0000-0000-0000637B0000}"/>
    <cellStyle name="40% - Accent4 4 6 4 3 2" xfId="38202" xr:uid="{00000000-0005-0000-0000-0000647B0000}"/>
    <cellStyle name="40% - Accent4 4 6 4 4" xfId="26901" xr:uid="{00000000-0005-0000-0000-0000657B0000}"/>
    <cellStyle name="40% - Accent4 4 6 5" xfId="7097" xr:uid="{00000000-0005-0000-0000-0000667B0000}"/>
    <cellStyle name="40% - Accent4 4 6 5 2" xfId="18398" xr:uid="{00000000-0005-0000-0000-0000677B0000}"/>
    <cellStyle name="40% - Accent4 4 6 5 2 2" xfId="41000" xr:uid="{00000000-0005-0000-0000-0000687B0000}"/>
    <cellStyle name="40% - Accent4 4 6 5 3" xfId="29699" xr:uid="{00000000-0005-0000-0000-0000697B0000}"/>
    <cellStyle name="40% - Accent4 4 6 6" xfId="12748" xr:uid="{00000000-0005-0000-0000-00006A7B0000}"/>
    <cellStyle name="40% - Accent4 4 6 6 2" xfId="35350" xr:uid="{00000000-0005-0000-0000-00006B7B0000}"/>
    <cellStyle name="40% - Accent4 4 6 7" xfId="24049" xr:uid="{00000000-0005-0000-0000-00006C7B0000}"/>
    <cellStyle name="40% - Accent4 4 7" xfId="782" xr:uid="{00000000-0005-0000-0000-00006D7B0000}"/>
    <cellStyle name="40% - Accent4 4 7 2" xfId="2879" xr:uid="{00000000-0005-0000-0000-00006E7B0000}"/>
    <cellStyle name="40% - Accent4 4 7 2 2" xfId="5851" xr:uid="{00000000-0005-0000-0000-00006F7B0000}"/>
    <cellStyle name="40% - Accent4 4 7 2 2 2" xfId="11501" xr:uid="{00000000-0005-0000-0000-0000707B0000}"/>
    <cellStyle name="40% - Accent4 4 7 2 2 2 2" xfId="22802" xr:uid="{00000000-0005-0000-0000-0000717B0000}"/>
    <cellStyle name="40% - Accent4 4 7 2 2 2 2 2" xfId="45404" xr:uid="{00000000-0005-0000-0000-0000727B0000}"/>
    <cellStyle name="40% - Accent4 4 7 2 2 2 3" xfId="34103" xr:uid="{00000000-0005-0000-0000-0000737B0000}"/>
    <cellStyle name="40% - Accent4 4 7 2 2 3" xfId="17152" xr:uid="{00000000-0005-0000-0000-0000747B0000}"/>
    <cellStyle name="40% - Accent4 4 7 2 2 3 2" xfId="39754" xr:uid="{00000000-0005-0000-0000-0000757B0000}"/>
    <cellStyle name="40% - Accent4 4 7 2 2 4" xfId="28453" xr:uid="{00000000-0005-0000-0000-0000767B0000}"/>
    <cellStyle name="40% - Accent4 4 7 2 3" xfId="8669" xr:uid="{00000000-0005-0000-0000-0000777B0000}"/>
    <cellStyle name="40% - Accent4 4 7 2 3 2" xfId="19970" xr:uid="{00000000-0005-0000-0000-0000787B0000}"/>
    <cellStyle name="40% - Accent4 4 7 2 3 2 2" xfId="42572" xr:uid="{00000000-0005-0000-0000-0000797B0000}"/>
    <cellStyle name="40% - Accent4 4 7 2 3 3" xfId="31271" xr:uid="{00000000-0005-0000-0000-00007A7B0000}"/>
    <cellStyle name="40% - Accent4 4 7 2 4" xfId="14320" xr:uid="{00000000-0005-0000-0000-00007B7B0000}"/>
    <cellStyle name="40% - Accent4 4 7 2 4 2" xfId="36922" xr:uid="{00000000-0005-0000-0000-00007C7B0000}"/>
    <cellStyle name="40% - Accent4 4 7 2 5" xfId="25621" xr:uid="{00000000-0005-0000-0000-00007D7B0000}"/>
    <cellStyle name="40% - Accent4 4 7 3" xfId="4617" xr:uid="{00000000-0005-0000-0000-00007E7B0000}"/>
    <cellStyle name="40% - Accent4 4 7 3 2" xfId="10267" xr:uid="{00000000-0005-0000-0000-00007F7B0000}"/>
    <cellStyle name="40% - Accent4 4 7 3 2 2" xfId="21568" xr:uid="{00000000-0005-0000-0000-0000807B0000}"/>
    <cellStyle name="40% - Accent4 4 7 3 2 2 2" xfId="44170" xr:uid="{00000000-0005-0000-0000-0000817B0000}"/>
    <cellStyle name="40% - Accent4 4 7 3 2 3" xfId="32869" xr:uid="{00000000-0005-0000-0000-0000827B0000}"/>
    <cellStyle name="40% - Accent4 4 7 3 3" xfId="15918" xr:uid="{00000000-0005-0000-0000-0000837B0000}"/>
    <cellStyle name="40% - Accent4 4 7 3 3 2" xfId="38520" xr:uid="{00000000-0005-0000-0000-0000847B0000}"/>
    <cellStyle name="40% - Accent4 4 7 3 4" xfId="27219" xr:uid="{00000000-0005-0000-0000-0000857B0000}"/>
    <cellStyle name="40% - Accent4 4 7 4" xfId="6799" xr:uid="{00000000-0005-0000-0000-0000867B0000}"/>
    <cellStyle name="40% - Accent4 4 7 4 2" xfId="18100" xr:uid="{00000000-0005-0000-0000-0000877B0000}"/>
    <cellStyle name="40% - Accent4 4 7 4 2 2" xfId="40702" xr:uid="{00000000-0005-0000-0000-0000887B0000}"/>
    <cellStyle name="40% - Accent4 4 7 4 3" xfId="29401" xr:uid="{00000000-0005-0000-0000-0000897B0000}"/>
    <cellStyle name="40% - Accent4 4 7 5" xfId="12450" xr:uid="{00000000-0005-0000-0000-00008A7B0000}"/>
    <cellStyle name="40% - Accent4 4 7 5 2" xfId="35052" xr:uid="{00000000-0005-0000-0000-00008B7B0000}"/>
    <cellStyle name="40% - Accent4 4 7 6" xfId="23751" xr:uid="{00000000-0005-0000-0000-00008C7B0000}"/>
    <cellStyle name="40% - Accent4 4 8" xfId="1958" xr:uid="{00000000-0005-0000-0000-00008D7B0000}"/>
    <cellStyle name="40% - Accent4 4 8 2" xfId="3779" xr:uid="{00000000-0005-0000-0000-00008E7B0000}"/>
    <cellStyle name="40% - Accent4 4 8 2 2" xfId="9489" xr:uid="{00000000-0005-0000-0000-00008F7B0000}"/>
    <cellStyle name="40% - Accent4 4 8 2 2 2" xfId="20790" xr:uid="{00000000-0005-0000-0000-0000907B0000}"/>
    <cellStyle name="40% - Accent4 4 8 2 2 2 2" xfId="43392" xr:uid="{00000000-0005-0000-0000-0000917B0000}"/>
    <cellStyle name="40% - Accent4 4 8 2 2 3" xfId="32091" xr:uid="{00000000-0005-0000-0000-0000927B0000}"/>
    <cellStyle name="40% - Accent4 4 8 2 3" xfId="15140" xr:uid="{00000000-0005-0000-0000-0000937B0000}"/>
    <cellStyle name="40% - Accent4 4 8 2 3 2" xfId="37742" xr:uid="{00000000-0005-0000-0000-0000947B0000}"/>
    <cellStyle name="40% - Accent4 4 8 2 4" xfId="26441" xr:uid="{00000000-0005-0000-0000-0000957B0000}"/>
    <cellStyle name="40% - Accent4 4 8 3" xfId="5227" xr:uid="{00000000-0005-0000-0000-0000967B0000}"/>
    <cellStyle name="40% - Accent4 4 8 3 2" xfId="10877" xr:uid="{00000000-0005-0000-0000-0000977B0000}"/>
    <cellStyle name="40% - Accent4 4 8 3 2 2" xfId="22178" xr:uid="{00000000-0005-0000-0000-0000987B0000}"/>
    <cellStyle name="40% - Accent4 4 8 3 2 2 2" xfId="44780" xr:uid="{00000000-0005-0000-0000-0000997B0000}"/>
    <cellStyle name="40% - Accent4 4 8 3 2 3" xfId="33479" xr:uid="{00000000-0005-0000-0000-00009A7B0000}"/>
    <cellStyle name="40% - Accent4 4 8 3 3" xfId="16528" xr:uid="{00000000-0005-0000-0000-00009B7B0000}"/>
    <cellStyle name="40% - Accent4 4 8 3 3 2" xfId="39130" xr:uid="{00000000-0005-0000-0000-00009C7B0000}"/>
    <cellStyle name="40% - Accent4 4 8 3 4" xfId="27829" xr:uid="{00000000-0005-0000-0000-00009D7B0000}"/>
    <cellStyle name="40% - Accent4 4 8 4" xfId="7814" xr:uid="{00000000-0005-0000-0000-00009E7B0000}"/>
    <cellStyle name="40% - Accent4 4 8 4 2" xfId="19115" xr:uid="{00000000-0005-0000-0000-00009F7B0000}"/>
    <cellStyle name="40% - Accent4 4 8 4 2 2" xfId="41717" xr:uid="{00000000-0005-0000-0000-0000A07B0000}"/>
    <cellStyle name="40% - Accent4 4 8 4 3" xfId="30416" xr:uid="{00000000-0005-0000-0000-0000A17B0000}"/>
    <cellStyle name="40% - Accent4 4 8 5" xfId="13465" xr:uid="{00000000-0005-0000-0000-0000A27B0000}"/>
    <cellStyle name="40% - Accent4 4 8 5 2" xfId="36067" xr:uid="{00000000-0005-0000-0000-0000A37B0000}"/>
    <cellStyle name="40% - Accent4 4 8 6" xfId="24766" xr:uid="{00000000-0005-0000-0000-0000A47B0000}"/>
    <cellStyle name="40% - Accent4 4 9" xfId="2198" xr:uid="{00000000-0005-0000-0000-0000A57B0000}"/>
    <cellStyle name="40% - Accent4 4 9 2" xfId="8041" xr:uid="{00000000-0005-0000-0000-0000A67B0000}"/>
    <cellStyle name="40% - Accent4 4 9 2 2" xfId="19342" xr:uid="{00000000-0005-0000-0000-0000A77B0000}"/>
    <cellStyle name="40% - Accent4 4 9 2 2 2" xfId="41944" xr:uid="{00000000-0005-0000-0000-0000A87B0000}"/>
    <cellStyle name="40% - Accent4 4 9 2 3" xfId="30643" xr:uid="{00000000-0005-0000-0000-0000A97B0000}"/>
    <cellStyle name="40% - Accent4 4 9 3" xfId="13692" xr:uid="{00000000-0005-0000-0000-0000AA7B0000}"/>
    <cellStyle name="40% - Accent4 4 9 3 2" xfId="36294" xr:uid="{00000000-0005-0000-0000-0000AB7B0000}"/>
    <cellStyle name="40% - Accent4 4 9 4" xfId="24993" xr:uid="{00000000-0005-0000-0000-0000AC7B0000}"/>
    <cellStyle name="40% - Accent4 5" xfId="270" xr:uid="{00000000-0005-0000-0000-0000AD7B0000}"/>
    <cellStyle name="40% - Accent4 5 10" xfId="12135" xr:uid="{00000000-0005-0000-0000-0000AE7B0000}"/>
    <cellStyle name="40% - Accent4 5 10 2" xfId="34737" xr:uid="{00000000-0005-0000-0000-0000AF7B0000}"/>
    <cellStyle name="40% - Accent4 5 11" xfId="23436" xr:uid="{00000000-0005-0000-0000-0000B07B0000}"/>
    <cellStyle name="40% - Accent4 5 2" xfId="437" xr:uid="{00000000-0005-0000-0000-0000B17B0000}"/>
    <cellStyle name="40% - Accent4 5 2 10" xfId="23532" xr:uid="{00000000-0005-0000-0000-0000B27B0000}"/>
    <cellStyle name="40% - Accent4 5 2 2" xfId="682" xr:uid="{00000000-0005-0000-0000-0000B37B0000}"/>
    <cellStyle name="40% - Accent4 5 2 2 2" xfId="1392" xr:uid="{00000000-0005-0000-0000-0000B47B0000}"/>
    <cellStyle name="40% - Accent4 5 2 2 2 2" xfId="1975" xr:uid="{00000000-0005-0000-0000-0000B57B0000}"/>
    <cellStyle name="40% - Accent4 5 2 2 2 2 2" xfId="3461" xr:uid="{00000000-0005-0000-0000-0000B67B0000}"/>
    <cellStyle name="40% - Accent4 5 2 2 2 2 2 2" xfId="6433" xr:uid="{00000000-0005-0000-0000-0000B77B0000}"/>
    <cellStyle name="40% - Accent4 5 2 2 2 2 2 2 2" xfId="12083" xr:uid="{00000000-0005-0000-0000-0000B87B0000}"/>
    <cellStyle name="40% - Accent4 5 2 2 2 2 2 2 2 2" xfId="23384" xr:uid="{00000000-0005-0000-0000-0000B97B0000}"/>
    <cellStyle name="40% - Accent4 5 2 2 2 2 2 2 2 2 2" xfId="45986" xr:uid="{00000000-0005-0000-0000-0000BA7B0000}"/>
    <cellStyle name="40% - Accent4 5 2 2 2 2 2 2 2 3" xfId="34685" xr:uid="{00000000-0005-0000-0000-0000BB7B0000}"/>
    <cellStyle name="40% - Accent4 5 2 2 2 2 2 2 3" xfId="17734" xr:uid="{00000000-0005-0000-0000-0000BC7B0000}"/>
    <cellStyle name="40% - Accent4 5 2 2 2 2 2 2 3 2" xfId="40336" xr:uid="{00000000-0005-0000-0000-0000BD7B0000}"/>
    <cellStyle name="40% - Accent4 5 2 2 2 2 2 2 4" xfId="29035" xr:uid="{00000000-0005-0000-0000-0000BE7B0000}"/>
    <cellStyle name="40% - Accent4 5 2 2 2 2 2 3" xfId="9251" xr:uid="{00000000-0005-0000-0000-0000BF7B0000}"/>
    <cellStyle name="40% - Accent4 5 2 2 2 2 2 3 2" xfId="20552" xr:uid="{00000000-0005-0000-0000-0000C07B0000}"/>
    <cellStyle name="40% - Accent4 5 2 2 2 2 2 3 2 2" xfId="43154" xr:uid="{00000000-0005-0000-0000-0000C17B0000}"/>
    <cellStyle name="40% - Accent4 5 2 2 2 2 2 3 3" xfId="31853" xr:uid="{00000000-0005-0000-0000-0000C27B0000}"/>
    <cellStyle name="40% - Accent4 5 2 2 2 2 2 4" xfId="14902" xr:uid="{00000000-0005-0000-0000-0000C37B0000}"/>
    <cellStyle name="40% - Accent4 5 2 2 2 2 2 4 2" xfId="37504" xr:uid="{00000000-0005-0000-0000-0000C47B0000}"/>
    <cellStyle name="40% - Accent4 5 2 2 2 2 2 5" xfId="26203" xr:uid="{00000000-0005-0000-0000-0000C57B0000}"/>
    <cellStyle name="40% - Accent4 5 2 2 2 2 3" xfId="5199" xr:uid="{00000000-0005-0000-0000-0000C67B0000}"/>
    <cellStyle name="40% - Accent4 5 2 2 2 2 3 2" xfId="10849" xr:uid="{00000000-0005-0000-0000-0000C77B0000}"/>
    <cellStyle name="40% - Accent4 5 2 2 2 2 3 2 2" xfId="22150" xr:uid="{00000000-0005-0000-0000-0000C87B0000}"/>
    <cellStyle name="40% - Accent4 5 2 2 2 2 3 2 2 2" xfId="44752" xr:uid="{00000000-0005-0000-0000-0000C97B0000}"/>
    <cellStyle name="40% - Accent4 5 2 2 2 2 3 2 3" xfId="33451" xr:uid="{00000000-0005-0000-0000-0000CA7B0000}"/>
    <cellStyle name="40% - Accent4 5 2 2 2 2 3 3" xfId="16500" xr:uid="{00000000-0005-0000-0000-0000CB7B0000}"/>
    <cellStyle name="40% - Accent4 5 2 2 2 2 3 3 2" xfId="39102" xr:uid="{00000000-0005-0000-0000-0000CC7B0000}"/>
    <cellStyle name="40% - Accent4 5 2 2 2 2 3 4" xfId="27801" xr:uid="{00000000-0005-0000-0000-0000CD7B0000}"/>
    <cellStyle name="40% - Accent4 5 2 2 2 2 4" xfId="7831" xr:uid="{00000000-0005-0000-0000-0000CE7B0000}"/>
    <cellStyle name="40% - Accent4 5 2 2 2 2 4 2" xfId="19132" xr:uid="{00000000-0005-0000-0000-0000CF7B0000}"/>
    <cellStyle name="40% - Accent4 5 2 2 2 2 4 2 2" xfId="41734" xr:uid="{00000000-0005-0000-0000-0000D07B0000}"/>
    <cellStyle name="40% - Accent4 5 2 2 2 2 4 3" xfId="30433" xr:uid="{00000000-0005-0000-0000-0000D17B0000}"/>
    <cellStyle name="40% - Accent4 5 2 2 2 2 5" xfId="13482" xr:uid="{00000000-0005-0000-0000-0000D27B0000}"/>
    <cellStyle name="40% - Accent4 5 2 2 2 2 5 2" xfId="36084" xr:uid="{00000000-0005-0000-0000-0000D37B0000}"/>
    <cellStyle name="40% - Accent4 5 2 2 2 2 6" xfId="24783" xr:uid="{00000000-0005-0000-0000-0000D47B0000}"/>
    <cellStyle name="40% - Accent4 5 2 2 2 3" xfId="2790" xr:uid="{00000000-0005-0000-0000-0000D57B0000}"/>
    <cellStyle name="40% - Accent4 5 2 2 2 3 2" xfId="5809" xr:uid="{00000000-0005-0000-0000-0000D67B0000}"/>
    <cellStyle name="40% - Accent4 5 2 2 2 3 2 2" xfId="11459" xr:uid="{00000000-0005-0000-0000-0000D77B0000}"/>
    <cellStyle name="40% - Accent4 5 2 2 2 3 2 2 2" xfId="22760" xr:uid="{00000000-0005-0000-0000-0000D87B0000}"/>
    <cellStyle name="40% - Accent4 5 2 2 2 3 2 2 2 2" xfId="45362" xr:uid="{00000000-0005-0000-0000-0000D97B0000}"/>
    <cellStyle name="40% - Accent4 5 2 2 2 3 2 2 3" xfId="34061" xr:uid="{00000000-0005-0000-0000-0000DA7B0000}"/>
    <cellStyle name="40% - Accent4 5 2 2 2 3 2 3" xfId="17110" xr:uid="{00000000-0005-0000-0000-0000DB7B0000}"/>
    <cellStyle name="40% - Accent4 5 2 2 2 3 2 3 2" xfId="39712" xr:uid="{00000000-0005-0000-0000-0000DC7B0000}"/>
    <cellStyle name="40% - Accent4 5 2 2 2 3 2 4" xfId="28411" xr:uid="{00000000-0005-0000-0000-0000DD7B0000}"/>
    <cellStyle name="40% - Accent4 5 2 2 2 3 3" xfId="8626" xr:uid="{00000000-0005-0000-0000-0000DE7B0000}"/>
    <cellStyle name="40% - Accent4 5 2 2 2 3 3 2" xfId="19927" xr:uid="{00000000-0005-0000-0000-0000DF7B0000}"/>
    <cellStyle name="40% - Accent4 5 2 2 2 3 3 2 2" xfId="42529" xr:uid="{00000000-0005-0000-0000-0000E07B0000}"/>
    <cellStyle name="40% - Accent4 5 2 2 2 3 3 3" xfId="31228" xr:uid="{00000000-0005-0000-0000-0000E17B0000}"/>
    <cellStyle name="40% - Accent4 5 2 2 2 3 4" xfId="14277" xr:uid="{00000000-0005-0000-0000-0000E27B0000}"/>
    <cellStyle name="40% - Accent4 5 2 2 2 3 4 2" xfId="36879" xr:uid="{00000000-0005-0000-0000-0000E37B0000}"/>
    <cellStyle name="40% - Accent4 5 2 2 2 3 5" xfId="25578" xr:uid="{00000000-0005-0000-0000-0000E47B0000}"/>
    <cellStyle name="40% - Accent4 5 2 2 2 4" xfId="4575" xr:uid="{00000000-0005-0000-0000-0000E57B0000}"/>
    <cellStyle name="40% - Accent4 5 2 2 2 4 2" xfId="10225" xr:uid="{00000000-0005-0000-0000-0000E67B0000}"/>
    <cellStyle name="40% - Accent4 5 2 2 2 4 2 2" xfId="21526" xr:uid="{00000000-0005-0000-0000-0000E77B0000}"/>
    <cellStyle name="40% - Accent4 5 2 2 2 4 2 2 2" xfId="44128" xr:uid="{00000000-0005-0000-0000-0000E87B0000}"/>
    <cellStyle name="40% - Accent4 5 2 2 2 4 2 3" xfId="32827" xr:uid="{00000000-0005-0000-0000-0000E97B0000}"/>
    <cellStyle name="40% - Accent4 5 2 2 2 4 3" xfId="15876" xr:uid="{00000000-0005-0000-0000-0000EA7B0000}"/>
    <cellStyle name="40% - Accent4 5 2 2 2 4 3 2" xfId="38478" xr:uid="{00000000-0005-0000-0000-0000EB7B0000}"/>
    <cellStyle name="40% - Accent4 5 2 2 2 4 4" xfId="27177" xr:uid="{00000000-0005-0000-0000-0000EC7B0000}"/>
    <cellStyle name="40% - Accent4 5 2 2 2 5" xfId="7371" xr:uid="{00000000-0005-0000-0000-0000ED7B0000}"/>
    <cellStyle name="40% - Accent4 5 2 2 2 5 2" xfId="18672" xr:uid="{00000000-0005-0000-0000-0000EE7B0000}"/>
    <cellStyle name="40% - Accent4 5 2 2 2 5 2 2" xfId="41274" xr:uid="{00000000-0005-0000-0000-0000EF7B0000}"/>
    <cellStyle name="40% - Accent4 5 2 2 2 5 3" xfId="29973" xr:uid="{00000000-0005-0000-0000-0000F07B0000}"/>
    <cellStyle name="40% - Accent4 5 2 2 2 6" xfId="13022" xr:uid="{00000000-0005-0000-0000-0000F17B0000}"/>
    <cellStyle name="40% - Accent4 5 2 2 2 6 2" xfId="35624" xr:uid="{00000000-0005-0000-0000-0000F27B0000}"/>
    <cellStyle name="40% - Accent4 5 2 2 2 7" xfId="24323" xr:uid="{00000000-0005-0000-0000-0000F37B0000}"/>
    <cellStyle name="40% - Accent4 5 2 2 3" xfId="1090" xr:uid="{00000000-0005-0000-0000-0000F47B0000}"/>
    <cellStyle name="40% - Accent4 5 2 2 3 2" xfId="3153" xr:uid="{00000000-0005-0000-0000-0000F57B0000}"/>
    <cellStyle name="40% - Accent4 5 2 2 3 2 2" xfId="6125" xr:uid="{00000000-0005-0000-0000-0000F67B0000}"/>
    <cellStyle name="40% - Accent4 5 2 2 3 2 2 2" xfId="11775" xr:uid="{00000000-0005-0000-0000-0000F77B0000}"/>
    <cellStyle name="40% - Accent4 5 2 2 3 2 2 2 2" xfId="23076" xr:uid="{00000000-0005-0000-0000-0000F87B0000}"/>
    <cellStyle name="40% - Accent4 5 2 2 3 2 2 2 2 2" xfId="45678" xr:uid="{00000000-0005-0000-0000-0000F97B0000}"/>
    <cellStyle name="40% - Accent4 5 2 2 3 2 2 2 3" xfId="34377" xr:uid="{00000000-0005-0000-0000-0000FA7B0000}"/>
    <cellStyle name="40% - Accent4 5 2 2 3 2 2 3" xfId="17426" xr:uid="{00000000-0005-0000-0000-0000FB7B0000}"/>
    <cellStyle name="40% - Accent4 5 2 2 3 2 2 3 2" xfId="40028" xr:uid="{00000000-0005-0000-0000-0000FC7B0000}"/>
    <cellStyle name="40% - Accent4 5 2 2 3 2 2 4" xfId="28727" xr:uid="{00000000-0005-0000-0000-0000FD7B0000}"/>
    <cellStyle name="40% - Accent4 5 2 2 3 2 3" xfId="8943" xr:uid="{00000000-0005-0000-0000-0000FE7B0000}"/>
    <cellStyle name="40% - Accent4 5 2 2 3 2 3 2" xfId="20244" xr:uid="{00000000-0005-0000-0000-0000FF7B0000}"/>
    <cellStyle name="40% - Accent4 5 2 2 3 2 3 2 2" xfId="42846" xr:uid="{00000000-0005-0000-0000-0000007C0000}"/>
    <cellStyle name="40% - Accent4 5 2 2 3 2 3 3" xfId="31545" xr:uid="{00000000-0005-0000-0000-0000017C0000}"/>
    <cellStyle name="40% - Accent4 5 2 2 3 2 4" xfId="14594" xr:uid="{00000000-0005-0000-0000-0000027C0000}"/>
    <cellStyle name="40% - Accent4 5 2 2 3 2 4 2" xfId="37196" xr:uid="{00000000-0005-0000-0000-0000037C0000}"/>
    <cellStyle name="40% - Accent4 5 2 2 3 2 5" xfId="25895" xr:uid="{00000000-0005-0000-0000-0000047C0000}"/>
    <cellStyle name="40% - Accent4 5 2 2 3 3" xfId="4891" xr:uid="{00000000-0005-0000-0000-0000057C0000}"/>
    <cellStyle name="40% - Accent4 5 2 2 3 3 2" xfId="10541" xr:uid="{00000000-0005-0000-0000-0000067C0000}"/>
    <cellStyle name="40% - Accent4 5 2 2 3 3 2 2" xfId="21842" xr:uid="{00000000-0005-0000-0000-0000077C0000}"/>
    <cellStyle name="40% - Accent4 5 2 2 3 3 2 2 2" xfId="44444" xr:uid="{00000000-0005-0000-0000-0000087C0000}"/>
    <cellStyle name="40% - Accent4 5 2 2 3 3 2 3" xfId="33143" xr:uid="{00000000-0005-0000-0000-0000097C0000}"/>
    <cellStyle name="40% - Accent4 5 2 2 3 3 3" xfId="16192" xr:uid="{00000000-0005-0000-0000-00000A7C0000}"/>
    <cellStyle name="40% - Accent4 5 2 2 3 3 3 2" xfId="38794" xr:uid="{00000000-0005-0000-0000-00000B7C0000}"/>
    <cellStyle name="40% - Accent4 5 2 2 3 3 4" xfId="27493" xr:uid="{00000000-0005-0000-0000-00000C7C0000}"/>
    <cellStyle name="40% - Accent4 5 2 2 3 4" xfId="7078" xr:uid="{00000000-0005-0000-0000-00000D7C0000}"/>
    <cellStyle name="40% - Accent4 5 2 2 3 4 2" xfId="18379" xr:uid="{00000000-0005-0000-0000-00000E7C0000}"/>
    <cellStyle name="40% - Accent4 5 2 2 3 4 2 2" xfId="40981" xr:uid="{00000000-0005-0000-0000-00000F7C0000}"/>
    <cellStyle name="40% - Accent4 5 2 2 3 4 3" xfId="29680" xr:uid="{00000000-0005-0000-0000-0000107C0000}"/>
    <cellStyle name="40% - Accent4 5 2 2 3 5" xfId="12729" xr:uid="{00000000-0005-0000-0000-0000117C0000}"/>
    <cellStyle name="40% - Accent4 5 2 2 3 5 2" xfId="35331" xr:uid="{00000000-0005-0000-0000-0000127C0000}"/>
    <cellStyle name="40% - Accent4 5 2 2 3 6" xfId="24030" xr:uid="{00000000-0005-0000-0000-0000137C0000}"/>
    <cellStyle name="40% - Accent4 5 2 2 4" xfId="1974" xr:uid="{00000000-0005-0000-0000-0000147C0000}"/>
    <cellStyle name="40% - Accent4 5 2 2 4 2" xfId="3788" xr:uid="{00000000-0005-0000-0000-0000157C0000}"/>
    <cellStyle name="40% - Accent4 5 2 2 4 2 2" xfId="9498" xr:uid="{00000000-0005-0000-0000-0000167C0000}"/>
    <cellStyle name="40% - Accent4 5 2 2 4 2 2 2" xfId="20799" xr:uid="{00000000-0005-0000-0000-0000177C0000}"/>
    <cellStyle name="40% - Accent4 5 2 2 4 2 2 2 2" xfId="43401" xr:uid="{00000000-0005-0000-0000-0000187C0000}"/>
    <cellStyle name="40% - Accent4 5 2 2 4 2 2 3" xfId="32100" xr:uid="{00000000-0005-0000-0000-0000197C0000}"/>
    <cellStyle name="40% - Accent4 5 2 2 4 2 3" xfId="15149" xr:uid="{00000000-0005-0000-0000-00001A7C0000}"/>
    <cellStyle name="40% - Accent4 5 2 2 4 2 3 2" xfId="37751" xr:uid="{00000000-0005-0000-0000-00001B7C0000}"/>
    <cellStyle name="40% - Accent4 5 2 2 4 2 4" xfId="26450" xr:uid="{00000000-0005-0000-0000-00001C7C0000}"/>
    <cellStyle name="40% - Accent4 5 2 2 4 3" xfId="5501" xr:uid="{00000000-0005-0000-0000-00001D7C0000}"/>
    <cellStyle name="40% - Accent4 5 2 2 4 3 2" xfId="11151" xr:uid="{00000000-0005-0000-0000-00001E7C0000}"/>
    <cellStyle name="40% - Accent4 5 2 2 4 3 2 2" xfId="22452" xr:uid="{00000000-0005-0000-0000-00001F7C0000}"/>
    <cellStyle name="40% - Accent4 5 2 2 4 3 2 2 2" xfId="45054" xr:uid="{00000000-0005-0000-0000-0000207C0000}"/>
    <cellStyle name="40% - Accent4 5 2 2 4 3 2 3" xfId="33753" xr:uid="{00000000-0005-0000-0000-0000217C0000}"/>
    <cellStyle name="40% - Accent4 5 2 2 4 3 3" xfId="16802" xr:uid="{00000000-0005-0000-0000-0000227C0000}"/>
    <cellStyle name="40% - Accent4 5 2 2 4 3 3 2" xfId="39404" xr:uid="{00000000-0005-0000-0000-0000237C0000}"/>
    <cellStyle name="40% - Accent4 5 2 2 4 3 4" xfId="28103" xr:uid="{00000000-0005-0000-0000-0000247C0000}"/>
    <cellStyle name="40% - Accent4 5 2 2 4 4" xfId="7830" xr:uid="{00000000-0005-0000-0000-0000257C0000}"/>
    <cellStyle name="40% - Accent4 5 2 2 4 4 2" xfId="19131" xr:uid="{00000000-0005-0000-0000-0000267C0000}"/>
    <cellStyle name="40% - Accent4 5 2 2 4 4 2 2" xfId="41733" xr:uid="{00000000-0005-0000-0000-0000277C0000}"/>
    <cellStyle name="40% - Accent4 5 2 2 4 4 3" xfId="30432" xr:uid="{00000000-0005-0000-0000-0000287C0000}"/>
    <cellStyle name="40% - Accent4 5 2 2 4 5" xfId="13481" xr:uid="{00000000-0005-0000-0000-0000297C0000}"/>
    <cellStyle name="40% - Accent4 5 2 2 4 5 2" xfId="36083" xr:uid="{00000000-0005-0000-0000-00002A7C0000}"/>
    <cellStyle name="40% - Accent4 5 2 2 4 6" xfId="24782" xr:uid="{00000000-0005-0000-0000-00002B7C0000}"/>
    <cellStyle name="40% - Accent4 5 2 2 5" xfId="2482" xr:uid="{00000000-0005-0000-0000-00002C7C0000}"/>
    <cellStyle name="40% - Accent4 5 2 2 5 2" xfId="8318" xr:uid="{00000000-0005-0000-0000-00002D7C0000}"/>
    <cellStyle name="40% - Accent4 5 2 2 5 2 2" xfId="19619" xr:uid="{00000000-0005-0000-0000-00002E7C0000}"/>
    <cellStyle name="40% - Accent4 5 2 2 5 2 2 2" xfId="42221" xr:uid="{00000000-0005-0000-0000-00002F7C0000}"/>
    <cellStyle name="40% - Accent4 5 2 2 5 2 3" xfId="30920" xr:uid="{00000000-0005-0000-0000-0000307C0000}"/>
    <cellStyle name="40% - Accent4 5 2 2 5 3" xfId="13969" xr:uid="{00000000-0005-0000-0000-0000317C0000}"/>
    <cellStyle name="40% - Accent4 5 2 2 5 3 2" xfId="36571" xr:uid="{00000000-0005-0000-0000-0000327C0000}"/>
    <cellStyle name="40% - Accent4 5 2 2 5 4" xfId="25270" xr:uid="{00000000-0005-0000-0000-0000337C0000}"/>
    <cellStyle name="40% - Accent4 5 2 2 6" xfId="4267" xr:uid="{00000000-0005-0000-0000-0000347C0000}"/>
    <cellStyle name="40% - Accent4 5 2 2 6 2" xfId="9917" xr:uid="{00000000-0005-0000-0000-0000357C0000}"/>
    <cellStyle name="40% - Accent4 5 2 2 6 2 2" xfId="21218" xr:uid="{00000000-0005-0000-0000-0000367C0000}"/>
    <cellStyle name="40% - Accent4 5 2 2 6 2 2 2" xfId="43820" xr:uid="{00000000-0005-0000-0000-0000377C0000}"/>
    <cellStyle name="40% - Accent4 5 2 2 6 2 3" xfId="32519" xr:uid="{00000000-0005-0000-0000-0000387C0000}"/>
    <cellStyle name="40% - Accent4 5 2 2 6 3" xfId="15568" xr:uid="{00000000-0005-0000-0000-0000397C0000}"/>
    <cellStyle name="40% - Accent4 5 2 2 6 3 2" xfId="38170" xr:uid="{00000000-0005-0000-0000-00003A7C0000}"/>
    <cellStyle name="40% - Accent4 5 2 2 6 4" xfId="26869" xr:uid="{00000000-0005-0000-0000-00003B7C0000}"/>
    <cellStyle name="40% - Accent4 5 2 2 7" xfId="6747" xr:uid="{00000000-0005-0000-0000-00003C7C0000}"/>
    <cellStyle name="40% - Accent4 5 2 2 7 2" xfId="18048" xr:uid="{00000000-0005-0000-0000-00003D7C0000}"/>
    <cellStyle name="40% - Accent4 5 2 2 7 2 2" xfId="40650" xr:uid="{00000000-0005-0000-0000-00003E7C0000}"/>
    <cellStyle name="40% - Accent4 5 2 2 7 3" xfId="29349" xr:uid="{00000000-0005-0000-0000-00003F7C0000}"/>
    <cellStyle name="40% - Accent4 5 2 2 8" xfId="12398" xr:uid="{00000000-0005-0000-0000-0000407C0000}"/>
    <cellStyle name="40% - Accent4 5 2 2 8 2" xfId="35000" xr:uid="{00000000-0005-0000-0000-0000417C0000}"/>
    <cellStyle name="40% - Accent4 5 2 2 9" xfId="23699" xr:uid="{00000000-0005-0000-0000-0000427C0000}"/>
    <cellStyle name="40% - Accent4 5 2 3" xfId="1254" xr:uid="{00000000-0005-0000-0000-0000437C0000}"/>
    <cellStyle name="40% - Accent4 5 2 3 2" xfId="1976" xr:uid="{00000000-0005-0000-0000-0000447C0000}"/>
    <cellStyle name="40% - Accent4 5 2 3 2 2" xfId="3322" xr:uid="{00000000-0005-0000-0000-0000457C0000}"/>
    <cellStyle name="40% - Accent4 5 2 3 2 2 2" xfId="6294" xr:uid="{00000000-0005-0000-0000-0000467C0000}"/>
    <cellStyle name="40% - Accent4 5 2 3 2 2 2 2" xfId="11944" xr:uid="{00000000-0005-0000-0000-0000477C0000}"/>
    <cellStyle name="40% - Accent4 5 2 3 2 2 2 2 2" xfId="23245" xr:uid="{00000000-0005-0000-0000-0000487C0000}"/>
    <cellStyle name="40% - Accent4 5 2 3 2 2 2 2 2 2" xfId="45847" xr:uid="{00000000-0005-0000-0000-0000497C0000}"/>
    <cellStyle name="40% - Accent4 5 2 3 2 2 2 2 3" xfId="34546" xr:uid="{00000000-0005-0000-0000-00004A7C0000}"/>
    <cellStyle name="40% - Accent4 5 2 3 2 2 2 3" xfId="17595" xr:uid="{00000000-0005-0000-0000-00004B7C0000}"/>
    <cellStyle name="40% - Accent4 5 2 3 2 2 2 3 2" xfId="40197" xr:uid="{00000000-0005-0000-0000-00004C7C0000}"/>
    <cellStyle name="40% - Accent4 5 2 3 2 2 2 4" xfId="28896" xr:uid="{00000000-0005-0000-0000-00004D7C0000}"/>
    <cellStyle name="40% - Accent4 5 2 3 2 2 3" xfId="9112" xr:uid="{00000000-0005-0000-0000-00004E7C0000}"/>
    <cellStyle name="40% - Accent4 5 2 3 2 2 3 2" xfId="20413" xr:uid="{00000000-0005-0000-0000-00004F7C0000}"/>
    <cellStyle name="40% - Accent4 5 2 3 2 2 3 2 2" xfId="43015" xr:uid="{00000000-0005-0000-0000-0000507C0000}"/>
    <cellStyle name="40% - Accent4 5 2 3 2 2 3 3" xfId="31714" xr:uid="{00000000-0005-0000-0000-0000517C0000}"/>
    <cellStyle name="40% - Accent4 5 2 3 2 2 4" xfId="14763" xr:uid="{00000000-0005-0000-0000-0000527C0000}"/>
    <cellStyle name="40% - Accent4 5 2 3 2 2 4 2" xfId="37365" xr:uid="{00000000-0005-0000-0000-0000537C0000}"/>
    <cellStyle name="40% - Accent4 5 2 3 2 2 5" xfId="26064" xr:uid="{00000000-0005-0000-0000-0000547C0000}"/>
    <cellStyle name="40% - Accent4 5 2 3 2 3" xfId="5060" xr:uid="{00000000-0005-0000-0000-0000557C0000}"/>
    <cellStyle name="40% - Accent4 5 2 3 2 3 2" xfId="10710" xr:uid="{00000000-0005-0000-0000-0000567C0000}"/>
    <cellStyle name="40% - Accent4 5 2 3 2 3 2 2" xfId="22011" xr:uid="{00000000-0005-0000-0000-0000577C0000}"/>
    <cellStyle name="40% - Accent4 5 2 3 2 3 2 2 2" xfId="44613" xr:uid="{00000000-0005-0000-0000-0000587C0000}"/>
    <cellStyle name="40% - Accent4 5 2 3 2 3 2 3" xfId="33312" xr:uid="{00000000-0005-0000-0000-0000597C0000}"/>
    <cellStyle name="40% - Accent4 5 2 3 2 3 3" xfId="16361" xr:uid="{00000000-0005-0000-0000-00005A7C0000}"/>
    <cellStyle name="40% - Accent4 5 2 3 2 3 3 2" xfId="38963" xr:uid="{00000000-0005-0000-0000-00005B7C0000}"/>
    <cellStyle name="40% - Accent4 5 2 3 2 3 4" xfId="27662" xr:uid="{00000000-0005-0000-0000-00005C7C0000}"/>
    <cellStyle name="40% - Accent4 5 2 3 2 4" xfId="7832" xr:uid="{00000000-0005-0000-0000-00005D7C0000}"/>
    <cellStyle name="40% - Accent4 5 2 3 2 4 2" xfId="19133" xr:uid="{00000000-0005-0000-0000-00005E7C0000}"/>
    <cellStyle name="40% - Accent4 5 2 3 2 4 2 2" xfId="41735" xr:uid="{00000000-0005-0000-0000-00005F7C0000}"/>
    <cellStyle name="40% - Accent4 5 2 3 2 4 3" xfId="30434" xr:uid="{00000000-0005-0000-0000-0000607C0000}"/>
    <cellStyle name="40% - Accent4 5 2 3 2 5" xfId="13483" xr:uid="{00000000-0005-0000-0000-0000617C0000}"/>
    <cellStyle name="40% - Accent4 5 2 3 2 5 2" xfId="36085" xr:uid="{00000000-0005-0000-0000-0000627C0000}"/>
    <cellStyle name="40% - Accent4 5 2 3 2 6" xfId="24784" xr:uid="{00000000-0005-0000-0000-0000637C0000}"/>
    <cellStyle name="40% - Accent4 5 2 3 3" xfId="2651" xr:uid="{00000000-0005-0000-0000-0000647C0000}"/>
    <cellStyle name="40% - Accent4 5 2 3 3 2" xfId="5670" xr:uid="{00000000-0005-0000-0000-0000657C0000}"/>
    <cellStyle name="40% - Accent4 5 2 3 3 2 2" xfId="11320" xr:uid="{00000000-0005-0000-0000-0000667C0000}"/>
    <cellStyle name="40% - Accent4 5 2 3 3 2 2 2" xfId="22621" xr:uid="{00000000-0005-0000-0000-0000677C0000}"/>
    <cellStyle name="40% - Accent4 5 2 3 3 2 2 2 2" xfId="45223" xr:uid="{00000000-0005-0000-0000-0000687C0000}"/>
    <cellStyle name="40% - Accent4 5 2 3 3 2 2 3" xfId="33922" xr:uid="{00000000-0005-0000-0000-0000697C0000}"/>
    <cellStyle name="40% - Accent4 5 2 3 3 2 3" xfId="16971" xr:uid="{00000000-0005-0000-0000-00006A7C0000}"/>
    <cellStyle name="40% - Accent4 5 2 3 3 2 3 2" xfId="39573" xr:uid="{00000000-0005-0000-0000-00006B7C0000}"/>
    <cellStyle name="40% - Accent4 5 2 3 3 2 4" xfId="28272" xr:uid="{00000000-0005-0000-0000-00006C7C0000}"/>
    <cellStyle name="40% - Accent4 5 2 3 3 3" xfId="8487" xr:uid="{00000000-0005-0000-0000-00006D7C0000}"/>
    <cellStyle name="40% - Accent4 5 2 3 3 3 2" xfId="19788" xr:uid="{00000000-0005-0000-0000-00006E7C0000}"/>
    <cellStyle name="40% - Accent4 5 2 3 3 3 2 2" xfId="42390" xr:uid="{00000000-0005-0000-0000-00006F7C0000}"/>
    <cellStyle name="40% - Accent4 5 2 3 3 3 3" xfId="31089" xr:uid="{00000000-0005-0000-0000-0000707C0000}"/>
    <cellStyle name="40% - Accent4 5 2 3 3 4" xfId="14138" xr:uid="{00000000-0005-0000-0000-0000717C0000}"/>
    <cellStyle name="40% - Accent4 5 2 3 3 4 2" xfId="36740" xr:uid="{00000000-0005-0000-0000-0000727C0000}"/>
    <cellStyle name="40% - Accent4 5 2 3 3 5" xfId="25439" xr:uid="{00000000-0005-0000-0000-0000737C0000}"/>
    <cellStyle name="40% - Accent4 5 2 3 4" xfId="4436" xr:uid="{00000000-0005-0000-0000-0000747C0000}"/>
    <cellStyle name="40% - Accent4 5 2 3 4 2" xfId="10086" xr:uid="{00000000-0005-0000-0000-0000757C0000}"/>
    <cellStyle name="40% - Accent4 5 2 3 4 2 2" xfId="21387" xr:uid="{00000000-0005-0000-0000-0000767C0000}"/>
    <cellStyle name="40% - Accent4 5 2 3 4 2 2 2" xfId="43989" xr:uid="{00000000-0005-0000-0000-0000777C0000}"/>
    <cellStyle name="40% - Accent4 5 2 3 4 2 3" xfId="32688" xr:uid="{00000000-0005-0000-0000-0000787C0000}"/>
    <cellStyle name="40% - Accent4 5 2 3 4 3" xfId="15737" xr:uid="{00000000-0005-0000-0000-0000797C0000}"/>
    <cellStyle name="40% - Accent4 5 2 3 4 3 2" xfId="38339" xr:uid="{00000000-0005-0000-0000-00007A7C0000}"/>
    <cellStyle name="40% - Accent4 5 2 3 4 4" xfId="27038" xr:uid="{00000000-0005-0000-0000-00007B7C0000}"/>
    <cellStyle name="40% - Accent4 5 2 3 5" xfId="7233" xr:uid="{00000000-0005-0000-0000-00007C7C0000}"/>
    <cellStyle name="40% - Accent4 5 2 3 5 2" xfId="18534" xr:uid="{00000000-0005-0000-0000-00007D7C0000}"/>
    <cellStyle name="40% - Accent4 5 2 3 5 2 2" xfId="41136" xr:uid="{00000000-0005-0000-0000-00007E7C0000}"/>
    <cellStyle name="40% - Accent4 5 2 3 5 3" xfId="29835" xr:uid="{00000000-0005-0000-0000-00007F7C0000}"/>
    <cellStyle name="40% - Accent4 5 2 3 6" xfId="12884" xr:uid="{00000000-0005-0000-0000-0000807C0000}"/>
    <cellStyle name="40% - Accent4 5 2 3 6 2" xfId="35486" xr:uid="{00000000-0005-0000-0000-0000817C0000}"/>
    <cellStyle name="40% - Accent4 5 2 3 7" xfId="24185" xr:uid="{00000000-0005-0000-0000-0000827C0000}"/>
    <cellStyle name="40% - Accent4 5 2 4" xfId="945" xr:uid="{00000000-0005-0000-0000-0000837C0000}"/>
    <cellStyle name="40% - Accent4 5 2 4 2" xfId="3015" xr:uid="{00000000-0005-0000-0000-0000847C0000}"/>
    <cellStyle name="40% - Accent4 5 2 4 2 2" xfId="5987" xr:uid="{00000000-0005-0000-0000-0000857C0000}"/>
    <cellStyle name="40% - Accent4 5 2 4 2 2 2" xfId="11637" xr:uid="{00000000-0005-0000-0000-0000867C0000}"/>
    <cellStyle name="40% - Accent4 5 2 4 2 2 2 2" xfId="22938" xr:uid="{00000000-0005-0000-0000-0000877C0000}"/>
    <cellStyle name="40% - Accent4 5 2 4 2 2 2 2 2" xfId="45540" xr:uid="{00000000-0005-0000-0000-0000887C0000}"/>
    <cellStyle name="40% - Accent4 5 2 4 2 2 2 3" xfId="34239" xr:uid="{00000000-0005-0000-0000-0000897C0000}"/>
    <cellStyle name="40% - Accent4 5 2 4 2 2 3" xfId="17288" xr:uid="{00000000-0005-0000-0000-00008A7C0000}"/>
    <cellStyle name="40% - Accent4 5 2 4 2 2 3 2" xfId="39890" xr:uid="{00000000-0005-0000-0000-00008B7C0000}"/>
    <cellStyle name="40% - Accent4 5 2 4 2 2 4" xfId="28589" xr:uid="{00000000-0005-0000-0000-00008C7C0000}"/>
    <cellStyle name="40% - Accent4 5 2 4 2 3" xfId="8805" xr:uid="{00000000-0005-0000-0000-00008D7C0000}"/>
    <cellStyle name="40% - Accent4 5 2 4 2 3 2" xfId="20106" xr:uid="{00000000-0005-0000-0000-00008E7C0000}"/>
    <cellStyle name="40% - Accent4 5 2 4 2 3 2 2" xfId="42708" xr:uid="{00000000-0005-0000-0000-00008F7C0000}"/>
    <cellStyle name="40% - Accent4 5 2 4 2 3 3" xfId="31407" xr:uid="{00000000-0005-0000-0000-0000907C0000}"/>
    <cellStyle name="40% - Accent4 5 2 4 2 4" xfId="14456" xr:uid="{00000000-0005-0000-0000-0000917C0000}"/>
    <cellStyle name="40% - Accent4 5 2 4 2 4 2" xfId="37058" xr:uid="{00000000-0005-0000-0000-0000927C0000}"/>
    <cellStyle name="40% - Accent4 5 2 4 2 5" xfId="25757" xr:uid="{00000000-0005-0000-0000-0000937C0000}"/>
    <cellStyle name="40% - Accent4 5 2 4 3" xfId="4753" xr:uid="{00000000-0005-0000-0000-0000947C0000}"/>
    <cellStyle name="40% - Accent4 5 2 4 3 2" xfId="10403" xr:uid="{00000000-0005-0000-0000-0000957C0000}"/>
    <cellStyle name="40% - Accent4 5 2 4 3 2 2" xfId="21704" xr:uid="{00000000-0005-0000-0000-0000967C0000}"/>
    <cellStyle name="40% - Accent4 5 2 4 3 2 2 2" xfId="44306" xr:uid="{00000000-0005-0000-0000-0000977C0000}"/>
    <cellStyle name="40% - Accent4 5 2 4 3 2 3" xfId="33005" xr:uid="{00000000-0005-0000-0000-0000987C0000}"/>
    <cellStyle name="40% - Accent4 5 2 4 3 3" xfId="16054" xr:uid="{00000000-0005-0000-0000-0000997C0000}"/>
    <cellStyle name="40% - Accent4 5 2 4 3 3 2" xfId="38656" xr:uid="{00000000-0005-0000-0000-00009A7C0000}"/>
    <cellStyle name="40% - Accent4 5 2 4 3 4" xfId="27355" xr:uid="{00000000-0005-0000-0000-00009B7C0000}"/>
    <cellStyle name="40% - Accent4 5 2 4 4" xfId="6940" xr:uid="{00000000-0005-0000-0000-00009C7C0000}"/>
    <cellStyle name="40% - Accent4 5 2 4 4 2" xfId="18241" xr:uid="{00000000-0005-0000-0000-00009D7C0000}"/>
    <cellStyle name="40% - Accent4 5 2 4 4 2 2" xfId="40843" xr:uid="{00000000-0005-0000-0000-00009E7C0000}"/>
    <cellStyle name="40% - Accent4 5 2 4 4 3" xfId="29542" xr:uid="{00000000-0005-0000-0000-00009F7C0000}"/>
    <cellStyle name="40% - Accent4 5 2 4 5" xfId="12591" xr:uid="{00000000-0005-0000-0000-0000A07C0000}"/>
    <cellStyle name="40% - Accent4 5 2 4 5 2" xfId="35193" xr:uid="{00000000-0005-0000-0000-0000A17C0000}"/>
    <cellStyle name="40% - Accent4 5 2 4 6" xfId="23892" xr:uid="{00000000-0005-0000-0000-0000A27C0000}"/>
    <cellStyle name="40% - Accent4 5 2 5" xfId="1973" xr:uid="{00000000-0005-0000-0000-0000A37C0000}"/>
    <cellStyle name="40% - Accent4 5 2 5 2" xfId="3787" xr:uid="{00000000-0005-0000-0000-0000A47C0000}"/>
    <cellStyle name="40% - Accent4 5 2 5 2 2" xfId="9497" xr:uid="{00000000-0005-0000-0000-0000A57C0000}"/>
    <cellStyle name="40% - Accent4 5 2 5 2 2 2" xfId="20798" xr:uid="{00000000-0005-0000-0000-0000A67C0000}"/>
    <cellStyle name="40% - Accent4 5 2 5 2 2 2 2" xfId="43400" xr:uid="{00000000-0005-0000-0000-0000A77C0000}"/>
    <cellStyle name="40% - Accent4 5 2 5 2 2 3" xfId="32099" xr:uid="{00000000-0005-0000-0000-0000A87C0000}"/>
    <cellStyle name="40% - Accent4 5 2 5 2 3" xfId="15148" xr:uid="{00000000-0005-0000-0000-0000A97C0000}"/>
    <cellStyle name="40% - Accent4 5 2 5 2 3 2" xfId="37750" xr:uid="{00000000-0005-0000-0000-0000AA7C0000}"/>
    <cellStyle name="40% - Accent4 5 2 5 2 4" xfId="26449" xr:uid="{00000000-0005-0000-0000-0000AB7C0000}"/>
    <cellStyle name="40% - Accent4 5 2 5 3" xfId="5363" xr:uid="{00000000-0005-0000-0000-0000AC7C0000}"/>
    <cellStyle name="40% - Accent4 5 2 5 3 2" xfId="11013" xr:uid="{00000000-0005-0000-0000-0000AD7C0000}"/>
    <cellStyle name="40% - Accent4 5 2 5 3 2 2" xfId="22314" xr:uid="{00000000-0005-0000-0000-0000AE7C0000}"/>
    <cellStyle name="40% - Accent4 5 2 5 3 2 2 2" xfId="44916" xr:uid="{00000000-0005-0000-0000-0000AF7C0000}"/>
    <cellStyle name="40% - Accent4 5 2 5 3 2 3" xfId="33615" xr:uid="{00000000-0005-0000-0000-0000B07C0000}"/>
    <cellStyle name="40% - Accent4 5 2 5 3 3" xfId="16664" xr:uid="{00000000-0005-0000-0000-0000B17C0000}"/>
    <cellStyle name="40% - Accent4 5 2 5 3 3 2" xfId="39266" xr:uid="{00000000-0005-0000-0000-0000B27C0000}"/>
    <cellStyle name="40% - Accent4 5 2 5 3 4" xfId="27965" xr:uid="{00000000-0005-0000-0000-0000B37C0000}"/>
    <cellStyle name="40% - Accent4 5 2 5 4" xfId="7829" xr:uid="{00000000-0005-0000-0000-0000B47C0000}"/>
    <cellStyle name="40% - Accent4 5 2 5 4 2" xfId="19130" xr:uid="{00000000-0005-0000-0000-0000B57C0000}"/>
    <cellStyle name="40% - Accent4 5 2 5 4 2 2" xfId="41732" xr:uid="{00000000-0005-0000-0000-0000B67C0000}"/>
    <cellStyle name="40% - Accent4 5 2 5 4 3" xfId="30431" xr:uid="{00000000-0005-0000-0000-0000B77C0000}"/>
    <cellStyle name="40% - Accent4 5 2 5 5" xfId="13480" xr:uid="{00000000-0005-0000-0000-0000B87C0000}"/>
    <cellStyle name="40% - Accent4 5 2 5 5 2" xfId="36082" xr:uid="{00000000-0005-0000-0000-0000B97C0000}"/>
    <cellStyle name="40% - Accent4 5 2 5 6" xfId="24781" xr:uid="{00000000-0005-0000-0000-0000BA7C0000}"/>
    <cellStyle name="40% - Accent4 5 2 6" xfId="2342" xr:uid="{00000000-0005-0000-0000-0000BB7C0000}"/>
    <cellStyle name="40% - Accent4 5 2 6 2" xfId="8178" xr:uid="{00000000-0005-0000-0000-0000BC7C0000}"/>
    <cellStyle name="40% - Accent4 5 2 6 2 2" xfId="19479" xr:uid="{00000000-0005-0000-0000-0000BD7C0000}"/>
    <cellStyle name="40% - Accent4 5 2 6 2 2 2" xfId="42081" xr:uid="{00000000-0005-0000-0000-0000BE7C0000}"/>
    <cellStyle name="40% - Accent4 5 2 6 2 3" xfId="30780" xr:uid="{00000000-0005-0000-0000-0000BF7C0000}"/>
    <cellStyle name="40% - Accent4 5 2 6 3" xfId="13829" xr:uid="{00000000-0005-0000-0000-0000C07C0000}"/>
    <cellStyle name="40% - Accent4 5 2 6 3 2" xfId="36431" xr:uid="{00000000-0005-0000-0000-0000C17C0000}"/>
    <cellStyle name="40% - Accent4 5 2 6 4" xfId="25130" xr:uid="{00000000-0005-0000-0000-0000C27C0000}"/>
    <cellStyle name="40% - Accent4 5 2 7" xfId="4129" xr:uid="{00000000-0005-0000-0000-0000C37C0000}"/>
    <cellStyle name="40% - Accent4 5 2 7 2" xfId="9779" xr:uid="{00000000-0005-0000-0000-0000C47C0000}"/>
    <cellStyle name="40% - Accent4 5 2 7 2 2" xfId="21080" xr:uid="{00000000-0005-0000-0000-0000C57C0000}"/>
    <cellStyle name="40% - Accent4 5 2 7 2 2 2" xfId="43682" xr:uid="{00000000-0005-0000-0000-0000C67C0000}"/>
    <cellStyle name="40% - Accent4 5 2 7 2 3" xfId="32381" xr:uid="{00000000-0005-0000-0000-0000C77C0000}"/>
    <cellStyle name="40% - Accent4 5 2 7 3" xfId="15430" xr:uid="{00000000-0005-0000-0000-0000C87C0000}"/>
    <cellStyle name="40% - Accent4 5 2 7 3 2" xfId="38032" xr:uid="{00000000-0005-0000-0000-0000C97C0000}"/>
    <cellStyle name="40% - Accent4 5 2 7 4" xfId="26731" xr:uid="{00000000-0005-0000-0000-0000CA7C0000}"/>
    <cellStyle name="40% - Accent4 5 2 8" xfId="6580" xr:uid="{00000000-0005-0000-0000-0000CB7C0000}"/>
    <cellStyle name="40% - Accent4 5 2 8 2" xfId="17881" xr:uid="{00000000-0005-0000-0000-0000CC7C0000}"/>
    <cellStyle name="40% - Accent4 5 2 8 2 2" xfId="40483" xr:uid="{00000000-0005-0000-0000-0000CD7C0000}"/>
    <cellStyle name="40% - Accent4 5 2 8 3" xfId="29182" xr:uid="{00000000-0005-0000-0000-0000CE7C0000}"/>
    <cellStyle name="40% - Accent4 5 2 9" xfId="12231" xr:uid="{00000000-0005-0000-0000-0000CF7C0000}"/>
    <cellStyle name="40% - Accent4 5 2 9 2" xfId="34833" xr:uid="{00000000-0005-0000-0000-0000D07C0000}"/>
    <cellStyle name="40% - Accent4 5 3" xfId="585" xr:uid="{00000000-0005-0000-0000-0000D17C0000}"/>
    <cellStyle name="40% - Accent4 5 3 2" xfId="1298" xr:uid="{00000000-0005-0000-0000-0000D27C0000}"/>
    <cellStyle name="40% - Accent4 5 3 2 2" xfId="1978" xr:uid="{00000000-0005-0000-0000-0000D37C0000}"/>
    <cellStyle name="40% - Accent4 5 3 2 2 2" xfId="3367" xr:uid="{00000000-0005-0000-0000-0000D47C0000}"/>
    <cellStyle name="40% - Accent4 5 3 2 2 2 2" xfId="6339" xr:uid="{00000000-0005-0000-0000-0000D57C0000}"/>
    <cellStyle name="40% - Accent4 5 3 2 2 2 2 2" xfId="11989" xr:uid="{00000000-0005-0000-0000-0000D67C0000}"/>
    <cellStyle name="40% - Accent4 5 3 2 2 2 2 2 2" xfId="23290" xr:uid="{00000000-0005-0000-0000-0000D77C0000}"/>
    <cellStyle name="40% - Accent4 5 3 2 2 2 2 2 2 2" xfId="45892" xr:uid="{00000000-0005-0000-0000-0000D87C0000}"/>
    <cellStyle name="40% - Accent4 5 3 2 2 2 2 2 3" xfId="34591" xr:uid="{00000000-0005-0000-0000-0000D97C0000}"/>
    <cellStyle name="40% - Accent4 5 3 2 2 2 2 3" xfId="17640" xr:uid="{00000000-0005-0000-0000-0000DA7C0000}"/>
    <cellStyle name="40% - Accent4 5 3 2 2 2 2 3 2" xfId="40242" xr:uid="{00000000-0005-0000-0000-0000DB7C0000}"/>
    <cellStyle name="40% - Accent4 5 3 2 2 2 2 4" xfId="28941" xr:uid="{00000000-0005-0000-0000-0000DC7C0000}"/>
    <cellStyle name="40% - Accent4 5 3 2 2 2 3" xfId="9157" xr:uid="{00000000-0005-0000-0000-0000DD7C0000}"/>
    <cellStyle name="40% - Accent4 5 3 2 2 2 3 2" xfId="20458" xr:uid="{00000000-0005-0000-0000-0000DE7C0000}"/>
    <cellStyle name="40% - Accent4 5 3 2 2 2 3 2 2" xfId="43060" xr:uid="{00000000-0005-0000-0000-0000DF7C0000}"/>
    <cellStyle name="40% - Accent4 5 3 2 2 2 3 3" xfId="31759" xr:uid="{00000000-0005-0000-0000-0000E07C0000}"/>
    <cellStyle name="40% - Accent4 5 3 2 2 2 4" xfId="14808" xr:uid="{00000000-0005-0000-0000-0000E17C0000}"/>
    <cellStyle name="40% - Accent4 5 3 2 2 2 4 2" xfId="37410" xr:uid="{00000000-0005-0000-0000-0000E27C0000}"/>
    <cellStyle name="40% - Accent4 5 3 2 2 2 5" xfId="26109" xr:uid="{00000000-0005-0000-0000-0000E37C0000}"/>
    <cellStyle name="40% - Accent4 5 3 2 2 3" xfId="5105" xr:uid="{00000000-0005-0000-0000-0000E47C0000}"/>
    <cellStyle name="40% - Accent4 5 3 2 2 3 2" xfId="10755" xr:uid="{00000000-0005-0000-0000-0000E57C0000}"/>
    <cellStyle name="40% - Accent4 5 3 2 2 3 2 2" xfId="22056" xr:uid="{00000000-0005-0000-0000-0000E67C0000}"/>
    <cellStyle name="40% - Accent4 5 3 2 2 3 2 2 2" xfId="44658" xr:uid="{00000000-0005-0000-0000-0000E77C0000}"/>
    <cellStyle name="40% - Accent4 5 3 2 2 3 2 3" xfId="33357" xr:uid="{00000000-0005-0000-0000-0000E87C0000}"/>
    <cellStyle name="40% - Accent4 5 3 2 2 3 3" xfId="16406" xr:uid="{00000000-0005-0000-0000-0000E97C0000}"/>
    <cellStyle name="40% - Accent4 5 3 2 2 3 3 2" xfId="39008" xr:uid="{00000000-0005-0000-0000-0000EA7C0000}"/>
    <cellStyle name="40% - Accent4 5 3 2 2 3 4" xfId="27707" xr:uid="{00000000-0005-0000-0000-0000EB7C0000}"/>
    <cellStyle name="40% - Accent4 5 3 2 2 4" xfId="7834" xr:uid="{00000000-0005-0000-0000-0000EC7C0000}"/>
    <cellStyle name="40% - Accent4 5 3 2 2 4 2" xfId="19135" xr:uid="{00000000-0005-0000-0000-0000ED7C0000}"/>
    <cellStyle name="40% - Accent4 5 3 2 2 4 2 2" xfId="41737" xr:uid="{00000000-0005-0000-0000-0000EE7C0000}"/>
    <cellStyle name="40% - Accent4 5 3 2 2 4 3" xfId="30436" xr:uid="{00000000-0005-0000-0000-0000EF7C0000}"/>
    <cellStyle name="40% - Accent4 5 3 2 2 5" xfId="13485" xr:uid="{00000000-0005-0000-0000-0000F07C0000}"/>
    <cellStyle name="40% - Accent4 5 3 2 2 5 2" xfId="36087" xr:uid="{00000000-0005-0000-0000-0000F17C0000}"/>
    <cellStyle name="40% - Accent4 5 3 2 2 6" xfId="24786" xr:uid="{00000000-0005-0000-0000-0000F27C0000}"/>
    <cellStyle name="40% - Accent4 5 3 2 3" xfId="2696" xr:uid="{00000000-0005-0000-0000-0000F37C0000}"/>
    <cellStyle name="40% - Accent4 5 3 2 3 2" xfId="5715" xr:uid="{00000000-0005-0000-0000-0000F47C0000}"/>
    <cellStyle name="40% - Accent4 5 3 2 3 2 2" xfId="11365" xr:uid="{00000000-0005-0000-0000-0000F57C0000}"/>
    <cellStyle name="40% - Accent4 5 3 2 3 2 2 2" xfId="22666" xr:uid="{00000000-0005-0000-0000-0000F67C0000}"/>
    <cellStyle name="40% - Accent4 5 3 2 3 2 2 2 2" xfId="45268" xr:uid="{00000000-0005-0000-0000-0000F77C0000}"/>
    <cellStyle name="40% - Accent4 5 3 2 3 2 2 3" xfId="33967" xr:uid="{00000000-0005-0000-0000-0000F87C0000}"/>
    <cellStyle name="40% - Accent4 5 3 2 3 2 3" xfId="17016" xr:uid="{00000000-0005-0000-0000-0000F97C0000}"/>
    <cellStyle name="40% - Accent4 5 3 2 3 2 3 2" xfId="39618" xr:uid="{00000000-0005-0000-0000-0000FA7C0000}"/>
    <cellStyle name="40% - Accent4 5 3 2 3 2 4" xfId="28317" xr:uid="{00000000-0005-0000-0000-0000FB7C0000}"/>
    <cellStyle name="40% - Accent4 5 3 2 3 3" xfId="8532" xr:uid="{00000000-0005-0000-0000-0000FC7C0000}"/>
    <cellStyle name="40% - Accent4 5 3 2 3 3 2" xfId="19833" xr:uid="{00000000-0005-0000-0000-0000FD7C0000}"/>
    <cellStyle name="40% - Accent4 5 3 2 3 3 2 2" xfId="42435" xr:uid="{00000000-0005-0000-0000-0000FE7C0000}"/>
    <cellStyle name="40% - Accent4 5 3 2 3 3 3" xfId="31134" xr:uid="{00000000-0005-0000-0000-0000FF7C0000}"/>
    <cellStyle name="40% - Accent4 5 3 2 3 4" xfId="14183" xr:uid="{00000000-0005-0000-0000-0000007D0000}"/>
    <cellStyle name="40% - Accent4 5 3 2 3 4 2" xfId="36785" xr:uid="{00000000-0005-0000-0000-0000017D0000}"/>
    <cellStyle name="40% - Accent4 5 3 2 3 5" xfId="25484" xr:uid="{00000000-0005-0000-0000-0000027D0000}"/>
    <cellStyle name="40% - Accent4 5 3 2 4" xfId="4481" xr:uid="{00000000-0005-0000-0000-0000037D0000}"/>
    <cellStyle name="40% - Accent4 5 3 2 4 2" xfId="10131" xr:uid="{00000000-0005-0000-0000-0000047D0000}"/>
    <cellStyle name="40% - Accent4 5 3 2 4 2 2" xfId="21432" xr:uid="{00000000-0005-0000-0000-0000057D0000}"/>
    <cellStyle name="40% - Accent4 5 3 2 4 2 2 2" xfId="44034" xr:uid="{00000000-0005-0000-0000-0000067D0000}"/>
    <cellStyle name="40% - Accent4 5 3 2 4 2 3" xfId="32733" xr:uid="{00000000-0005-0000-0000-0000077D0000}"/>
    <cellStyle name="40% - Accent4 5 3 2 4 3" xfId="15782" xr:uid="{00000000-0005-0000-0000-0000087D0000}"/>
    <cellStyle name="40% - Accent4 5 3 2 4 3 2" xfId="38384" xr:uid="{00000000-0005-0000-0000-0000097D0000}"/>
    <cellStyle name="40% - Accent4 5 3 2 4 4" xfId="27083" xr:uid="{00000000-0005-0000-0000-00000A7D0000}"/>
    <cellStyle name="40% - Accent4 5 3 2 5" xfId="7277" xr:uid="{00000000-0005-0000-0000-00000B7D0000}"/>
    <cellStyle name="40% - Accent4 5 3 2 5 2" xfId="18578" xr:uid="{00000000-0005-0000-0000-00000C7D0000}"/>
    <cellStyle name="40% - Accent4 5 3 2 5 2 2" xfId="41180" xr:uid="{00000000-0005-0000-0000-00000D7D0000}"/>
    <cellStyle name="40% - Accent4 5 3 2 5 3" xfId="29879" xr:uid="{00000000-0005-0000-0000-00000E7D0000}"/>
    <cellStyle name="40% - Accent4 5 3 2 6" xfId="12928" xr:uid="{00000000-0005-0000-0000-00000F7D0000}"/>
    <cellStyle name="40% - Accent4 5 3 2 6 2" xfId="35530" xr:uid="{00000000-0005-0000-0000-0000107D0000}"/>
    <cellStyle name="40% - Accent4 5 3 2 7" xfId="24229" xr:uid="{00000000-0005-0000-0000-0000117D0000}"/>
    <cellStyle name="40% - Accent4 5 3 3" xfId="996" xr:uid="{00000000-0005-0000-0000-0000127D0000}"/>
    <cellStyle name="40% - Accent4 5 3 3 2" xfId="3059" xr:uid="{00000000-0005-0000-0000-0000137D0000}"/>
    <cellStyle name="40% - Accent4 5 3 3 2 2" xfId="6031" xr:uid="{00000000-0005-0000-0000-0000147D0000}"/>
    <cellStyle name="40% - Accent4 5 3 3 2 2 2" xfId="11681" xr:uid="{00000000-0005-0000-0000-0000157D0000}"/>
    <cellStyle name="40% - Accent4 5 3 3 2 2 2 2" xfId="22982" xr:uid="{00000000-0005-0000-0000-0000167D0000}"/>
    <cellStyle name="40% - Accent4 5 3 3 2 2 2 2 2" xfId="45584" xr:uid="{00000000-0005-0000-0000-0000177D0000}"/>
    <cellStyle name="40% - Accent4 5 3 3 2 2 2 3" xfId="34283" xr:uid="{00000000-0005-0000-0000-0000187D0000}"/>
    <cellStyle name="40% - Accent4 5 3 3 2 2 3" xfId="17332" xr:uid="{00000000-0005-0000-0000-0000197D0000}"/>
    <cellStyle name="40% - Accent4 5 3 3 2 2 3 2" xfId="39934" xr:uid="{00000000-0005-0000-0000-00001A7D0000}"/>
    <cellStyle name="40% - Accent4 5 3 3 2 2 4" xfId="28633" xr:uid="{00000000-0005-0000-0000-00001B7D0000}"/>
    <cellStyle name="40% - Accent4 5 3 3 2 3" xfId="8849" xr:uid="{00000000-0005-0000-0000-00001C7D0000}"/>
    <cellStyle name="40% - Accent4 5 3 3 2 3 2" xfId="20150" xr:uid="{00000000-0005-0000-0000-00001D7D0000}"/>
    <cellStyle name="40% - Accent4 5 3 3 2 3 2 2" xfId="42752" xr:uid="{00000000-0005-0000-0000-00001E7D0000}"/>
    <cellStyle name="40% - Accent4 5 3 3 2 3 3" xfId="31451" xr:uid="{00000000-0005-0000-0000-00001F7D0000}"/>
    <cellStyle name="40% - Accent4 5 3 3 2 4" xfId="14500" xr:uid="{00000000-0005-0000-0000-0000207D0000}"/>
    <cellStyle name="40% - Accent4 5 3 3 2 4 2" xfId="37102" xr:uid="{00000000-0005-0000-0000-0000217D0000}"/>
    <cellStyle name="40% - Accent4 5 3 3 2 5" xfId="25801" xr:uid="{00000000-0005-0000-0000-0000227D0000}"/>
    <cellStyle name="40% - Accent4 5 3 3 3" xfId="4797" xr:uid="{00000000-0005-0000-0000-0000237D0000}"/>
    <cellStyle name="40% - Accent4 5 3 3 3 2" xfId="10447" xr:uid="{00000000-0005-0000-0000-0000247D0000}"/>
    <cellStyle name="40% - Accent4 5 3 3 3 2 2" xfId="21748" xr:uid="{00000000-0005-0000-0000-0000257D0000}"/>
    <cellStyle name="40% - Accent4 5 3 3 3 2 2 2" xfId="44350" xr:uid="{00000000-0005-0000-0000-0000267D0000}"/>
    <cellStyle name="40% - Accent4 5 3 3 3 2 3" xfId="33049" xr:uid="{00000000-0005-0000-0000-0000277D0000}"/>
    <cellStyle name="40% - Accent4 5 3 3 3 3" xfId="16098" xr:uid="{00000000-0005-0000-0000-0000287D0000}"/>
    <cellStyle name="40% - Accent4 5 3 3 3 3 2" xfId="38700" xr:uid="{00000000-0005-0000-0000-0000297D0000}"/>
    <cellStyle name="40% - Accent4 5 3 3 3 4" xfId="27399" xr:uid="{00000000-0005-0000-0000-00002A7D0000}"/>
    <cellStyle name="40% - Accent4 5 3 3 4" xfId="6984" xr:uid="{00000000-0005-0000-0000-00002B7D0000}"/>
    <cellStyle name="40% - Accent4 5 3 3 4 2" xfId="18285" xr:uid="{00000000-0005-0000-0000-00002C7D0000}"/>
    <cellStyle name="40% - Accent4 5 3 3 4 2 2" xfId="40887" xr:uid="{00000000-0005-0000-0000-00002D7D0000}"/>
    <cellStyle name="40% - Accent4 5 3 3 4 3" xfId="29586" xr:uid="{00000000-0005-0000-0000-00002E7D0000}"/>
    <cellStyle name="40% - Accent4 5 3 3 5" xfId="12635" xr:uid="{00000000-0005-0000-0000-00002F7D0000}"/>
    <cellStyle name="40% - Accent4 5 3 3 5 2" xfId="35237" xr:uid="{00000000-0005-0000-0000-0000307D0000}"/>
    <cellStyle name="40% - Accent4 5 3 3 6" xfId="23936" xr:uid="{00000000-0005-0000-0000-0000317D0000}"/>
    <cellStyle name="40% - Accent4 5 3 4" xfId="1977" xr:uid="{00000000-0005-0000-0000-0000327D0000}"/>
    <cellStyle name="40% - Accent4 5 3 4 2" xfId="3789" xr:uid="{00000000-0005-0000-0000-0000337D0000}"/>
    <cellStyle name="40% - Accent4 5 3 4 2 2" xfId="9499" xr:uid="{00000000-0005-0000-0000-0000347D0000}"/>
    <cellStyle name="40% - Accent4 5 3 4 2 2 2" xfId="20800" xr:uid="{00000000-0005-0000-0000-0000357D0000}"/>
    <cellStyle name="40% - Accent4 5 3 4 2 2 2 2" xfId="43402" xr:uid="{00000000-0005-0000-0000-0000367D0000}"/>
    <cellStyle name="40% - Accent4 5 3 4 2 2 3" xfId="32101" xr:uid="{00000000-0005-0000-0000-0000377D0000}"/>
    <cellStyle name="40% - Accent4 5 3 4 2 3" xfId="15150" xr:uid="{00000000-0005-0000-0000-0000387D0000}"/>
    <cellStyle name="40% - Accent4 5 3 4 2 3 2" xfId="37752" xr:uid="{00000000-0005-0000-0000-0000397D0000}"/>
    <cellStyle name="40% - Accent4 5 3 4 2 4" xfId="26451" xr:uid="{00000000-0005-0000-0000-00003A7D0000}"/>
    <cellStyle name="40% - Accent4 5 3 4 3" xfId="5407" xr:uid="{00000000-0005-0000-0000-00003B7D0000}"/>
    <cellStyle name="40% - Accent4 5 3 4 3 2" xfId="11057" xr:uid="{00000000-0005-0000-0000-00003C7D0000}"/>
    <cellStyle name="40% - Accent4 5 3 4 3 2 2" xfId="22358" xr:uid="{00000000-0005-0000-0000-00003D7D0000}"/>
    <cellStyle name="40% - Accent4 5 3 4 3 2 2 2" xfId="44960" xr:uid="{00000000-0005-0000-0000-00003E7D0000}"/>
    <cellStyle name="40% - Accent4 5 3 4 3 2 3" xfId="33659" xr:uid="{00000000-0005-0000-0000-00003F7D0000}"/>
    <cellStyle name="40% - Accent4 5 3 4 3 3" xfId="16708" xr:uid="{00000000-0005-0000-0000-0000407D0000}"/>
    <cellStyle name="40% - Accent4 5 3 4 3 3 2" xfId="39310" xr:uid="{00000000-0005-0000-0000-0000417D0000}"/>
    <cellStyle name="40% - Accent4 5 3 4 3 4" xfId="28009" xr:uid="{00000000-0005-0000-0000-0000427D0000}"/>
    <cellStyle name="40% - Accent4 5 3 4 4" xfId="7833" xr:uid="{00000000-0005-0000-0000-0000437D0000}"/>
    <cellStyle name="40% - Accent4 5 3 4 4 2" xfId="19134" xr:uid="{00000000-0005-0000-0000-0000447D0000}"/>
    <cellStyle name="40% - Accent4 5 3 4 4 2 2" xfId="41736" xr:uid="{00000000-0005-0000-0000-0000457D0000}"/>
    <cellStyle name="40% - Accent4 5 3 4 4 3" xfId="30435" xr:uid="{00000000-0005-0000-0000-0000467D0000}"/>
    <cellStyle name="40% - Accent4 5 3 4 5" xfId="13484" xr:uid="{00000000-0005-0000-0000-0000477D0000}"/>
    <cellStyle name="40% - Accent4 5 3 4 5 2" xfId="36086" xr:uid="{00000000-0005-0000-0000-0000487D0000}"/>
    <cellStyle name="40% - Accent4 5 3 4 6" xfId="24785" xr:uid="{00000000-0005-0000-0000-0000497D0000}"/>
    <cellStyle name="40% - Accent4 5 3 5" xfId="2388" xr:uid="{00000000-0005-0000-0000-00004A7D0000}"/>
    <cellStyle name="40% - Accent4 5 3 5 2" xfId="8224" xr:uid="{00000000-0005-0000-0000-00004B7D0000}"/>
    <cellStyle name="40% - Accent4 5 3 5 2 2" xfId="19525" xr:uid="{00000000-0005-0000-0000-00004C7D0000}"/>
    <cellStyle name="40% - Accent4 5 3 5 2 2 2" xfId="42127" xr:uid="{00000000-0005-0000-0000-00004D7D0000}"/>
    <cellStyle name="40% - Accent4 5 3 5 2 3" xfId="30826" xr:uid="{00000000-0005-0000-0000-00004E7D0000}"/>
    <cellStyle name="40% - Accent4 5 3 5 3" xfId="13875" xr:uid="{00000000-0005-0000-0000-00004F7D0000}"/>
    <cellStyle name="40% - Accent4 5 3 5 3 2" xfId="36477" xr:uid="{00000000-0005-0000-0000-0000507D0000}"/>
    <cellStyle name="40% - Accent4 5 3 5 4" xfId="25176" xr:uid="{00000000-0005-0000-0000-0000517D0000}"/>
    <cellStyle name="40% - Accent4 5 3 6" xfId="4173" xr:uid="{00000000-0005-0000-0000-0000527D0000}"/>
    <cellStyle name="40% - Accent4 5 3 6 2" xfId="9823" xr:uid="{00000000-0005-0000-0000-0000537D0000}"/>
    <cellStyle name="40% - Accent4 5 3 6 2 2" xfId="21124" xr:uid="{00000000-0005-0000-0000-0000547D0000}"/>
    <cellStyle name="40% - Accent4 5 3 6 2 2 2" xfId="43726" xr:uid="{00000000-0005-0000-0000-0000557D0000}"/>
    <cellStyle name="40% - Accent4 5 3 6 2 3" xfId="32425" xr:uid="{00000000-0005-0000-0000-0000567D0000}"/>
    <cellStyle name="40% - Accent4 5 3 6 3" xfId="15474" xr:uid="{00000000-0005-0000-0000-0000577D0000}"/>
    <cellStyle name="40% - Accent4 5 3 6 3 2" xfId="38076" xr:uid="{00000000-0005-0000-0000-0000587D0000}"/>
    <cellStyle name="40% - Accent4 5 3 6 4" xfId="26775" xr:uid="{00000000-0005-0000-0000-0000597D0000}"/>
    <cellStyle name="40% - Accent4 5 3 7" xfId="6651" xr:uid="{00000000-0005-0000-0000-00005A7D0000}"/>
    <cellStyle name="40% - Accent4 5 3 7 2" xfId="17952" xr:uid="{00000000-0005-0000-0000-00005B7D0000}"/>
    <cellStyle name="40% - Accent4 5 3 7 2 2" xfId="40554" xr:uid="{00000000-0005-0000-0000-00005C7D0000}"/>
    <cellStyle name="40% - Accent4 5 3 7 3" xfId="29253" xr:uid="{00000000-0005-0000-0000-00005D7D0000}"/>
    <cellStyle name="40% - Accent4 5 3 8" xfId="12302" xr:uid="{00000000-0005-0000-0000-00005E7D0000}"/>
    <cellStyle name="40% - Accent4 5 3 8 2" xfId="34904" xr:uid="{00000000-0005-0000-0000-00005F7D0000}"/>
    <cellStyle name="40% - Accent4 5 3 9" xfId="23603" xr:uid="{00000000-0005-0000-0000-0000607D0000}"/>
    <cellStyle name="40% - Accent4 5 4" xfId="1158" xr:uid="{00000000-0005-0000-0000-0000617D0000}"/>
    <cellStyle name="40% - Accent4 5 4 2" xfId="1979" xr:uid="{00000000-0005-0000-0000-0000627D0000}"/>
    <cellStyle name="40% - Accent4 5 4 2 2" xfId="3226" xr:uid="{00000000-0005-0000-0000-0000637D0000}"/>
    <cellStyle name="40% - Accent4 5 4 2 2 2" xfId="6198" xr:uid="{00000000-0005-0000-0000-0000647D0000}"/>
    <cellStyle name="40% - Accent4 5 4 2 2 2 2" xfId="11848" xr:uid="{00000000-0005-0000-0000-0000657D0000}"/>
    <cellStyle name="40% - Accent4 5 4 2 2 2 2 2" xfId="23149" xr:uid="{00000000-0005-0000-0000-0000667D0000}"/>
    <cellStyle name="40% - Accent4 5 4 2 2 2 2 2 2" xfId="45751" xr:uid="{00000000-0005-0000-0000-0000677D0000}"/>
    <cellStyle name="40% - Accent4 5 4 2 2 2 2 3" xfId="34450" xr:uid="{00000000-0005-0000-0000-0000687D0000}"/>
    <cellStyle name="40% - Accent4 5 4 2 2 2 3" xfId="17499" xr:uid="{00000000-0005-0000-0000-0000697D0000}"/>
    <cellStyle name="40% - Accent4 5 4 2 2 2 3 2" xfId="40101" xr:uid="{00000000-0005-0000-0000-00006A7D0000}"/>
    <cellStyle name="40% - Accent4 5 4 2 2 2 4" xfId="28800" xr:uid="{00000000-0005-0000-0000-00006B7D0000}"/>
    <cellStyle name="40% - Accent4 5 4 2 2 3" xfId="9016" xr:uid="{00000000-0005-0000-0000-00006C7D0000}"/>
    <cellStyle name="40% - Accent4 5 4 2 2 3 2" xfId="20317" xr:uid="{00000000-0005-0000-0000-00006D7D0000}"/>
    <cellStyle name="40% - Accent4 5 4 2 2 3 2 2" xfId="42919" xr:uid="{00000000-0005-0000-0000-00006E7D0000}"/>
    <cellStyle name="40% - Accent4 5 4 2 2 3 3" xfId="31618" xr:uid="{00000000-0005-0000-0000-00006F7D0000}"/>
    <cellStyle name="40% - Accent4 5 4 2 2 4" xfId="14667" xr:uid="{00000000-0005-0000-0000-0000707D0000}"/>
    <cellStyle name="40% - Accent4 5 4 2 2 4 2" xfId="37269" xr:uid="{00000000-0005-0000-0000-0000717D0000}"/>
    <cellStyle name="40% - Accent4 5 4 2 2 5" xfId="25968" xr:uid="{00000000-0005-0000-0000-0000727D0000}"/>
    <cellStyle name="40% - Accent4 5 4 2 3" xfId="4964" xr:uid="{00000000-0005-0000-0000-0000737D0000}"/>
    <cellStyle name="40% - Accent4 5 4 2 3 2" xfId="10614" xr:uid="{00000000-0005-0000-0000-0000747D0000}"/>
    <cellStyle name="40% - Accent4 5 4 2 3 2 2" xfId="21915" xr:uid="{00000000-0005-0000-0000-0000757D0000}"/>
    <cellStyle name="40% - Accent4 5 4 2 3 2 2 2" xfId="44517" xr:uid="{00000000-0005-0000-0000-0000767D0000}"/>
    <cellStyle name="40% - Accent4 5 4 2 3 2 3" xfId="33216" xr:uid="{00000000-0005-0000-0000-0000777D0000}"/>
    <cellStyle name="40% - Accent4 5 4 2 3 3" xfId="16265" xr:uid="{00000000-0005-0000-0000-0000787D0000}"/>
    <cellStyle name="40% - Accent4 5 4 2 3 3 2" xfId="38867" xr:uid="{00000000-0005-0000-0000-0000797D0000}"/>
    <cellStyle name="40% - Accent4 5 4 2 3 4" xfId="27566" xr:uid="{00000000-0005-0000-0000-00007A7D0000}"/>
    <cellStyle name="40% - Accent4 5 4 2 4" xfId="7835" xr:uid="{00000000-0005-0000-0000-00007B7D0000}"/>
    <cellStyle name="40% - Accent4 5 4 2 4 2" xfId="19136" xr:uid="{00000000-0005-0000-0000-00007C7D0000}"/>
    <cellStyle name="40% - Accent4 5 4 2 4 2 2" xfId="41738" xr:uid="{00000000-0005-0000-0000-00007D7D0000}"/>
    <cellStyle name="40% - Accent4 5 4 2 4 3" xfId="30437" xr:uid="{00000000-0005-0000-0000-00007E7D0000}"/>
    <cellStyle name="40% - Accent4 5 4 2 5" xfId="13486" xr:uid="{00000000-0005-0000-0000-00007F7D0000}"/>
    <cellStyle name="40% - Accent4 5 4 2 5 2" xfId="36088" xr:uid="{00000000-0005-0000-0000-0000807D0000}"/>
    <cellStyle name="40% - Accent4 5 4 2 6" xfId="24787" xr:uid="{00000000-0005-0000-0000-0000817D0000}"/>
    <cellStyle name="40% - Accent4 5 4 3" xfId="2555" xr:uid="{00000000-0005-0000-0000-0000827D0000}"/>
    <cellStyle name="40% - Accent4 5 4 3 2" xfId="5574" xr:uid="{00000000-0005-0000-0000-0000837D0000}"/>
    <cellStyle name="40% - Accent4 5 4 3 2 2" xfId="11224" xr:uid="{00000000-0005-0000-0000-0000847D0000}"/>
    <cellStyle name="40% - Accent4 5 4 3 2 2 2" xfId="22525" xr:uid="{00000000-0005-0000-0000-0000857D0000}"/>
    <cellStyle name="40% - Accent4 5 4 3 2 2 2 2" xfId="45127" xr:uid="{00000000-0005-0000-0000-0000867D0000}"/>
    <cellStyle name="40% - Accent4 5 4 3 2 2 3" xfId="33826" xr:uid="{00000000-0005-0000-0000-0000877D0000}"/>
    <cellStyle name="40% - Accent4 5 4 3 2 3" xfId="16875" xr:uid="{00000000-0005-0000-0000-0000887D0000}"/>
    <cellStyle name="40% - Accent4 5 4 3 2 3 2" xfId="39477" xr:uid="{00000000-0005-0000-0000-0000897D0000}"/>
    <cellStyle name="40% - Accent4 5 4 3 2 4" xfId="28176" xr:uid="{00000000-0005-0000-0000-00008A7D0000}"/>
    <cellStyle name="40% - Accent4 5 4 3 3" xfId="8391" xr:uid="{00000000-0005-0000-0000-00008B7D0000}"/>
    <cellStyle name="40% - Accent4 5 4 3 3 2" xfId="19692" xr:uid="{00000000-0005-0000-0000-00008C7D0000}"/>
    <cellStyle name="40% - Accent4 5 4 3 3 2 2" xfId="42294" xr:uid="{00000000-0005-0000-0000-00008D7D0000}"/>
    <cellStyle name="40% - Accent4 5 4 3 3 3" xfId="30993" xr:uid="{00000000-0005-0000-0000-00008E7D0000}"/>
    <cellStyle name="40% - Accent4 5 4 3 4" xfId="14042" xr:uid="{00000000-0005-0000-0000-00008F7D0000}"/>
    <cellStyle name="40% - Accent4 5 4 3 4 2" xfId="36644" xr:uid="{00000000-0005-0000-0000-0000907D0000}"/>
    <cellStyle name="40% - Accent4 5 4 3 5" xfId="25343" xr:uid="{00000000-0005-0000-0000-0000917D0000}"/>
    <cellStyle name="40% - Accent4 5 4 4" xfId="4340" xr:uid="{00000000-0005-0000-0000-0000927D0000}"/>
    <cellStyle name="40% - Accent4 5 4 4 2" xfId="9990" xr:uid="{00000000-0005-0000-0000-0000937D0000}"/>
    <cellStyle name="40% - Accent4 5 4 4 2 2" xfId="21291" xr:uid="{00000000-0005-0000-0000-0000947D0000}"/>
    <cellStyle name="40% - Accent4 5 4 4 2 2 2" xfId="43893" xr:uid="{00000000-0005-0000-0000-0000957D0000}"/>
    <cellStyle name="40% - Accent4 5 4 4 2 3" xfId="32592" xr:uid="{00000000-0005-0000-0000-0000967D0000}"/>
    <cellStyle name="40% - Accent4 5 4 4 3" xfId="15641" xr:uid="{00000000-0005-0000-0000-0000977D0000}"/>
    <cellStyle name="40% - Accent4 5 4 4 3 2" xfId="38243" xr:uid="{00000000-0005-0000-0000-0000987D0000}"/>
    <cellStyle name="40% - Accent4 5 4 4 4" xfId="26942" xr:uid="{00000000-0005-0000-0000-0000997D0000}"/>
    <cellStyle name="40% - Accent4 5 4 5" xfId="7137" xr:uid="{00000000-0005-0000-0000-00009A7D0000}"/>
    <cellStyle name="40% - Accent4 5 4 5 2" xfId="18438" xr:uid="{00000000-0005-0000-0000-00009B7D0000}"/>
    <cellStyle name="40% - Accent4 5 4 5 2 2" xfId="41040" xr:uid="{00000000-0005-0000-0000-00009C7D0000}"/>
    <cellStyle name="40% - Accent4 5 4 5 3" xfId="29739" xr:uid="{00000000-0005-0000-0000-00009D7D0000}"/>
    <cellStyle name="40% - Accent4 5 4 6" xfId="12788" xr:uid="{00000000-0005-0000-0000-00009E7D0000}"/>
    <cellStyle name="40% - Accent4 5 4 6 2" xfId="35390" xr:uid="{00000000-0005-0000-0000-00009F7D0000}"/>
    <cellStyle name="40% - Accent4 5 4 7" xfId="24089" xr:uid="{00000000-0005-0000-0000-0000A07D0000}"/>
    <cellStyle name="40% - Accent4 5 5" xfId="838" xr:uid="{00000000-0005-0000-0000-0000A17D0000}"/>
    <cellStyle name="40% - Accent4 5 5 2" xfId="2919" xr:uid="{00000000-0005-0000-0000-0000A27D0000}"/>
    <cellStyle name="40% - Accent4 5 5 2 2" xfId="5891" xr:uid="{00000000-0005-0000-0000-0000A37D0000}"/>
    <cellStyle name="40% - Accent4 5 5 2 2 2" xfId="11541" xr:uid="{00000000-0005-0000-0000-0000A47D0000}"/>
    <cellStyle name="40% - Accent4 5 5 2 2 2 2" xfId="22842" xr:uid="{00000000-0005-0000-0000-0000A57D0000}"/>
    <cellStyle name="40% - Accent4 5 5 2 2 2 2 2" xfId="45444" xr:uid="{00000000-0005-0000-0000-0000A67D0000}"/>
    <cellStyle name="40% - Accent4 5 5 2 2 2 3" xfId="34143" xr:uid="{00000000-0005-0000-0000-0000A77D0000}"/>
    <cellStyle name="40% - Accent4 5 5 2 2 3" xfId="17192" xr:uid="{00000000-0005-0000-0000-0000A87D0000}"/>
    <cellStyle name="40% - Accent4 5 5 2 2 3 2" xfId="39794" xr:uid="{00000000-0005-0000-0000-0000A97D0000}"/>
    <cellStyle name="40% - Accent4 5 5 2 2 4" xfId="28493" xr:uid="{00000000-0005-0000-0000-0000AA7D0000}"/>
    <cellStyle name="40% - Accent4 5 5 2 3" xfId="8709" xr:uid="{00000000-0005-0000-0000-0000AB7D0000}"/>
    <cellStyle name="40% - Accent4 5 5 2 3 2" xfId="20010" xr:uid="{00000000-0005-0000-0000-0000AC7D0000}"/>
    <cellStyle name="40% - Accent4 5 5 2 3 2 2" xfId="42612" xr:uid="{00000000-0005-0000-0000-0000AD7D0000}"/>
    <cellStyle name="40% - Accent4 5 5 2 3 3" xfId="31311" xr:uid="{00000000-0005-0000-0000-0000AE7D0000}"/>
    <cellStyle name="40% - Accent4 5 5 2 4" xfId="14360" xr:uid="{00000000-0005-0000-0000-0000AF7D0000}"/>
    <cellStyle name="40% - Accent4 5 5 2 4 2" xfId="36962" xr:uid="{00000000-0005-0000-0000-0000B07D0000}"/>
    <cellStyle name="40% - Accent4 5 5 2 5" xfId="25661" xr:uid="{00000000-0005-0000-0000-0000B17D0000}"/>
    <cellStyle name="40% - Accent4 5 5 3" xfId="4657" xr:uid="{00000000-0005-0000-0000-0000B27D0000}"/>
    <cellStyle name="40% - Accent4 5 5 3 2" xfId="10307" xr:uid="{00000000-0005-0000-0000-0000B37D0000}"/>
    <cellStyle name="40% - Accent4 5 5 3 2 2" xfId="21608" xr:uid="{00000000-0005-0000-0000-0000B47D0000}"/>
    <cellStyle name="40% - Accent4 5 5 3 2 2 2" xfId="44210" xr:uid="{00000000-0005-0000-0000-0000B57D0000}"/>
    <cellStyle name="40% - Accent4 5 5 3 2 3" xfId="32909" xr:uid="{00000000-0005-0000-0000-0000B67D0000}"/>
    <cellStyle name="40% - Accent4 5 5 3 3" xfId="15958" xr:uid="{00000000-0005-0000-0000-0000B77D0000}"/>
    <cellStyle name="40% - Accent4 5 5 3 3 2" xfId="38560" xr:uid="{00000000-0005-0000-0000-0000B87D0000}"/>
    <cellStyle name="40% - Accent4 5 5 3 4" xfId="27259" xr:uid="{00000000-0005-0000-0000-0000B97D0000}"/>
    <cellStyle name="40% - Accent4 5 5 4" xfId="6843" xr:uid="{00000000-0005-0000-0000-0000BA7D0000}"/>
    <cellStyle name="40% - Accent4 5 5 4 2" xfId="18144" xr:uid="{00000000-0005-0000-0000-0000BB7D0000}"/>
    <cellStyle name="40% - Accent4 5 5 4 2 2" xfId="40746" xr:uid="{00000000-0005-0000-0000-0000BC7D0000}"/>
    <cellStyle name="40% - Accent4 5 5 4 3" xfId="29445" xr:uid="{00000000-0005-0000-0000-0000BD7D0000}"/>
    <cellStyle name="40% - Accent4 5 5 5" xfId="12494" xr:uid="{00000000-0005-0000-0000-0000BE7D0000}"/>
    <cellStyle name="40% - Accent4 5 5 5 2" xfId="35096" xr:uid="{00000000-0005-0000-0000-0000BF7D0000}"/>
    <cellStyle name="40% - Accent4 5 5 6" xfId="23795" xr:uid="{00000000-0005-0000-0000-0000C07D0000}"/>
    <cellStyle name="40% - Accent4 5 6" xfId="1972" xr:uid="{00000000-0005-0000-0000-0000C17D0000}"/>
    <cellStyle name="40% - Accent4 5 6 2" xfId="3786" xr:uid="{00000000-0005-0000-0000-0000C27D0000}"/>
    <cellStyle name="40% - Accent4 5 6 2 2" xfId="9496" xr:uid="{00000000-0005-0000-0000-0000C37D0000}"/>
    <cellStyle name="40% - Accent4 5 6 2 2 2" xfId="20797" xr:uid="{00000000-0005-0000-0000-0000C47D0000}"/>
    <cellStyle name="40% - Accent4 5 6 2 2 2 2" xfId="43399" xr:uid="{00000000-0005-0000-0000-0000C57D0000}"/>
    <cellStyle name="40% - Accent4 5 6 2 2 3" xfId="32098" xr:uid="{00000000-0005-0000-0000-0000C67D0000}"/>
    <cellStyle name="40% - Accent4 5 6 2 3" xfId="15147" xr:uid="{00000000-0005-0000-0000-0000C77D0000}"/>
    <cellStyle name="40% - Accent4 5 6 2 3 2" xfId="37749" xr:uid="{00000000-0005-0000-0000-0000C87D0000}"/>
    <cellStyle name="40% - Accent4 5 6 2 4" xfId="26448" xr:uid="{00000000-0005-0000-0000-0000C97D0000}"/>
    <cellStyle name="40% - Accent4 5 6 3" xfId="5267" xr:uid="{00000000-0005-0000-0000-0000CA7D0000}"/>
    <cellStyle name="40% - Accent4 5 6 3 2" xfId="10917" xr:uid="{00000000-0005-0000-0000-0000CB7D0000}"/>
    <cellStyle name="40% - Accent4 5 6 3 2 2" xfId="22218" xr:uid="{00000000-0005-0000-0000-0000CC7D0000}"/>
    <cellStyle name="40% - Accent4 5 6 3 2 2 2" xfId="44820" xr:uid="{00000000-0005-0000-0000-0000CD7D0000}"/>
    <cellStyle name="40% - Accent4 5 6 3 2 3" xfId="33519" xr:uid="{00000000-0005-0000-0000-0000CE7D0000}"/>
    <cellStyle name="40% - Accent4 5 6 3 3" xfId="16568" xr:uid="{00000000-0005-0000-0000-0000CF7D0000}"/>
    <cellStyle name="40% - Accent4 5 6 3 3 2" xfId="39170" xr:uid="{00000000-0005-0000-0000-0000D07D0000}"/>
    <cellStyle name="40% - Accent4 5 6 3 4" xfId="27869" xr:uid="{00000000-0005-0000-0000-0000D17D0000}"/>
    <cellStyle name="40% - Accent4 5 6 4" xfId="7828" xr:uid="{00000000-0005-0000-0000-0000D27D0000}"/>
    <cellStyle name="40% - Accent4 5 6 4 2" xfId="19129" xr:uid="{00000000-0005-0000-0000-0000D37D0000}"/>
    <cellStyle name="40% - Accent4 5 6 4 2 2" xfId="41731" xr:uid="{00000000-0005-0000-0000-0000D47D0000}"/>
    <cellStyle name="40% - Accent4 5 6 4 3" xfId="30430" xr:uid="{00000000-0005-0000-0000-0000D57D0000}"/>
    <cellStyle name="40% - Accent4 5 6 5" xfId="13479" xr:uid="{00000000-0005-0000-0000-0000D67D0000}"/>
    <cellStyle name="40% - Accent4 5 6 5 2" xfId="36081" xr:uid="{00000000-0005-0000-0000-0000D77D0000}"/>
    <cellStyle name="40% - Accent4 5 6 6" xfId="24780" xr:uid="{00000000-0005-0000-0000-0000D87D0000}"/>
    <cellStyle name="40% - Accent4 5 7" xfId="2240" xr:uid="{00000000-0005-0000-0000-0000D97D0000}"/>
    <cellStyle name="40% - Accent4 5 7 2" xfId="8081" xr:uid="{00000000-0005-0000-0000-0000DA7D0000}"/>
    <cellStyle name="40% - Accent4 5 7 2 2" xfId="19382" xr:uid="{00000000-0005-0000-0000-0000DB7D0000}"/>
    <cellStyle name="40% - Accent4 5 7 2 2 2" xfId="41984" xr:uid="{00000000-0005-0000-0000-0000DC7D0000}"/>
    <cellStyle name="40% - Accent4 5 7 2 3" xfId="30683" xr:uid="{00000000-0005-0000-0000-0000DD7D0000}"/>
    <cellStyle name="40% - Accent4 5 7 3" xfId="13732" xr:uid="{00000000-0005-0000-0000-0000DE7D0000}"/>
    <cellStyle name="40% - Accent4 5 7 3 2" xfId="36334" xr:uid="{00000000-0005-0000-0000-0000DF7D0000}"/>
    <cellStyle name="40% - Accent4 5 7 4" xfId="25033" xr:uid="{00000000-0005-0000-0000-0000E07D0000}"/>
    <cellStyle name="40% - Accent4 5 8" xfId="4033" xr:uid="{00000000-0005-0000-0000-0000E17D0000}"/>
    <cellStyle name="40% - Accent4 5 8 2" xfId="9683" xr:uid="{00000000-0005-0000-0000-0000E27D0000}"/>
    <cellStyle name="40% - Accent4 5 8 2 2" xfId="20984" xr:uid="{00000000-0005-0000-0000-0000E37D0000}"/>
    <cellStyle name="40% - Accent4 5 8 2 2 2" xfId="43586" xr:uid="{00000000-0005-0000-0000-0000E47D0000}"/>
    <cellStyle name="40% - Accent4 5 8 2 3" xfId="32285" xr:uid="{00000000-0005-0000-0000-0000E57D0000}"/>
    <cellStyle name="40% - Accent4 5 8 3" xfId="15334" xr:uid="{00000000-0005-0000-0000-0000E67D0000}"/>
    <cellStyle name="40% - Accent4 5 8 3 2" xfId="37936" xr:uid="{00000000-0005-0000-0000-0000E77D0000}"/>
    <cellStyle name="40% - Accent4 5 8 4" xfId="26635" xr:uid="{00000000-0005-0000-0000-0000E87D0000}"/>
    <cellStyle name="40% - Accent4 5 9" xfId="6484" xr:uid="{00000000-0005-0000-0000-0000E97D0000}"/>
    <cellStyle name="40% - Accent4 5 9 2" xfId="17785" xr:uid="{00000000-0005-0000-0000-0000EA7D0000}"/>
    <cellStyle name="40% - Accent4 5 9 2 2" xfId="40387" xr:uid="{00000000-0005-0000-0000-0000EB7D0000}"/>
    <cellStyle name="40% - Accent4 5 9 3" xfId="29086" xr:uid="{00000000-0005-0000-0000-0000EC7D0000}"/>
    <cellStyle name="40% - Accent4 6" xfId="294" xr:uid="{00000000-0005-0000-0000-0000ED7D0000}"/>
    <cellStyle name="40% - Accent4 7" xfId="395" xr:uid="{00000000-0005-0000-0000-0000EE7D0000}"/>
    <cellStyle name="40% - Accent4 7 10" xfId="23490" xr:uid="{00000000-0005-0000-0000-0000EF7D0000}"/>
    <cellStyle name="40% - Accent4 7 2" xfId="640" xr:uid="{00000000-0005-0000-0000-0000F07D0000}"/>
    <cellStyle name="40% - Accent4 7 2 2" xfId="1350" xr:uid="{00000000-0005-0000-0000-0000F17D0000}"/>
    <cellStyle name="40% - Accent4 7 2 2 2" xfId="1982" xr:uid="{00000000-0005-0000-0000-0000F27D0000}"/>
    <cellStyle name="40% - Accent4 7 2 2 2 2" xfId="3419" xr:uid="{00000000-0005-0000-0000-0000F37D0000}"/>
    <cellStyle name="40% - Accent4 7 2 2 2 2 2" xfId="6391" xr:uid="{00000000-0005-0000-0000-0000F47D0000}"/>
    <cellStyle name="40% - Accent4 7 2 2 2 2 2 2" xfId="12041" xr:uid="{00000000-0005-0000-0000-0000F57D0000}"/>
    <cellStyle name="40% - Accent4 7 2 2 2 2 2 2 2" xfId="23342" xr:uid="{00000000-0005-0000-0000-0000F67D0000}"/>
    <cellStyle name="40% - Accent4 7 2 2 2 2 2 2 2 2" xfId="45944" xr:uid="{00000000-0005-0000-0000-0000F77D0000}"/>
    <cellStyle name="40% - Accent4 7 2 2 2 2 2 2 3" xfId="34643" xr:uid="{00000000-0005-0000-0000-0000F87D0000}"/>
    <cellStyle name="40% - Accent4 7 2 2 2 2 2 3" xfId="17692" xr:uid="{00000000-0005-0000-0000-0000F97D0000}"/>
    <cellStyle name="40% - Accent4 7 2 2 2 2 2 3 2" xfId="40294" xr:uid="{00000000-0005-0000-0000-0000FA7D0000}"/>
    <cellStyle name="40% - Accent4 7 2 2 2 2 2 4" xfId="28993" xr:uid="{00000000-0005-0000-0000-0000FB7D0000}"/>
    <cellStyle name="40% - Accent4 7 2 2 2 2 3" xfId="9209" xr:uid="{00000000-0005-0000-0000-0000FC7D0000}"/>
    <cellStyle name="40% - Accent4 7 2 2 2 2 3 2" xfId="20510" xr:uid="{00000000-0005-0000-0000-0000FD7D0000}"/>
    <cellStyle name="40% - Accent4 7 2 2 2 2 3 2 2" xfId="43112" xr:uid="{00000000-0005-0000-0000-0000FE7D0000}"/>
    <cellStyle name="40% - Accent4 7 2 2 2 2 3 3" xfId="31811" xr:uid="{00000000-0005-0000-0000-0000FF7D0000}"/>
    <cellStyle name="40% - Accent4 7 2 2 2 2 4" xfId="14860" xr:uid="{00000000-0005-0000-0000-0000007E0000}"/>
    <cellStyle name="40% - Accent4 7 2 2 2 2 4 2" xfId="37462" xr:uid="{00000000-0005-0000-0000-0000017E0000}"/>
    <cellStyle name="40% - Accent4 7 2 2 2 2 5" xfId="26161" xr:uid="{00000000-0005-0000-0000-0000027E0000}"/>
    <cellStyle name="40% - Accent4 7 2 2 2 3" xfId="5157" xr:uid="{00000000-0005-0000-0000-0000037E0000}"/>
    <cellStyle name="40% - Accent4 7 2 2 2 3 2" xfId="10807" xr:uid="{00000000-0005-0000-0000-0000047E0000}"/>
    <cellStyle name="40% - Accent4 7 2 2 2 3 2 2" xfId="22108" xr:uid="{00000000-0005-0000-0000-0000057E0000}"/>
    <cellStyle name="40% - Accent4 7 2 2 2 3 2 2 2" xfId="44710" xr:uid="{00000000-0005-0000-0000-0000067E0000}"/>
    <cellStyle name="40% - Accent4 7 2 2 2 3 2 3" xfId="33409" xr:uid="{00000000-0005-0000-0000-0000077E0000}"/>
    <cellStyle name="40% - Accent4 7 2 2 2 3 3" xfId="16458" xr:uid="{00000000-0005-0000-0000-0000087E0000}"/>
    <cellStyle name="40% - Accent4 7 2 2 2 3 3 2" xfId="39060" xr:uid="{00000000-0005-0000-0000-0000097E0000}"/>
    <cellStyle name="40% - Accent4 7 2 2 2 3 4" xfId="27759" xr:uid="{00000000-0005-0000-0000-00000A7E0000}"/>
    <cellStyle name="40% - Accent4 7 2 2 2 4" xfId="7838" xr:uid="{00000000-0005-0000-0000-00000B7E0000}"/>
    <cellStyle name="40% - Accent4 7 2 2 2 4 2" xfId="19139" xr:uid="{00000000-0005-0000-0000-00000C7E0000}"/>
    <cellStyle name="40% - Accent4 7 2 2 2 4 2 2" xfId="41741" xr:uid="{00000000-0005-0000-0000-00000D7E0000}"/>
    <cellStyle name="40% - Accent4 7 2 2 2 4 3" xfId="30440" xr:uid="{00000000-0005-0000-0000-00000E7E0000}"/>
    <cellStyle name="40% - Accent4 7 2 2 2 5" xfId="13489" xr:uid="{00000000-0005-0000-0000-00000F7E0000}"/>
    <cellStyle name="40% - Accent4 7 2 2 2 5 2" xfId="36091" xr:uid="{00000000-0005-0000-0000-0000107E0000}"/>
    <cellStyle name="40% - Accent4 7 2 2 2 6" xfId="24790" xr:uid="{00000000-0005-0000-0000-0000117E0000}"/>
    <cellStyle name="40% - Accent4 7 2 2 3" xfId="2748" xr:uid="{00000000-0005-0000-0000-0000127E0000}"/>
    <cellStyle name="40% - Accent4 7 2 2 3 2" xfId="5767" xr:uid="{00000000-0005-0000-0000-0000137E0000}"/>
    <cellStyle name="40% - Accent4 7 2 2 3 2 2" xfId="11417" xr:uid="{00000000-0005-0000-0000-0000147E0000}"/>
    <cellStyle name="40% - Accent4 7 2 2 3 2 2 2" xfId="22718" xr:uid="{00000000-0005-0000-0000-0000157E0000}"/>
    <cellStyle name="40% - Accent4 7 2 2 3 2 2 2 2" xfId="45320" xr:uid="{00000000-0005-0000-0000-0000167E0000}"/>
    <cellStyle name="40% - Accent4 7 2 2 3 2 2 3" xfId="34019" xr:uid="{00000000-0005-0000-0000-0000177E0000}"/>
    <cellStyle name="40% - Accent4 7 2 2 3 2 3" xfId="17068" xr:uid="{00000000-0005-0000-0000-0000187E0000}"/>
    <cellStyle name="40% - Accent4 7 2 2 3 2 3 2" xfId="39670" xr:uid="{00000000-0005-0000-0000-0000197E0000}"/>
    <cellStyle name="40% - Accent4 7 2 2 3 2 4" xfId="28369" xr:uid="{00000000-0005-0000-0000-00001A7E0000}"/>
    <cellStyle name="40% - Accent4 7 2 2 3 3" xfId="8584" xr:uid="{00000000-0005-0000-0000-00001B7E0000}"/>
    <cellStyle name="40% - Accent4 7 2 2 3 3 2" xfId="19885" xr:uid="{00000000-0005-0000-0000-00001C7E0000}"/>
    <cellStyle name="40% - Accent4 7 2 2 3 3 2 2" xfId="42487" xr:uid="{00000000-0005-0000-0000-00001D7E0000}"/>
    <cellStyle name="40% - Accent4 7 2 2 3 3 3" xfId="31186" xr:uid="{00000000-0005-0000-0000-00001E7E0000}"/>
    <cellStyle name="40% - Accent4 7 2 2 3 4" xfId="14235" xr:uid="{00000000-0005-0000-0000-00001F7E0000}"/>
    <cellStyle name="40% - Accent4 7 2 2 3 4 2" xfId="36837" xr:uid="{00000000-0005-0000-0000-0000207E0000}"/>
    <cellStyle name="40% - Accent4 7 2 2 3 5" xfId="25536" xr:uid="{00000000-0005-0000-0000-0000217E0000}"/>
    <cellStyle name="40% - Accent4 7 2 2 4" xfId="4533" xr:uid="{00000000-0005-0000-0000-0000227E0000}"/>
    <cellStyle name="40% - Accent4 7 2 2 4 2" xfId="10183" xr:uid="{00000000-0005-0000-0000-0000237E0000}"/>
    <cellStyle name="40% - Accent4 7 2 2 4 2 2" xfId="21484" xr:uid="{00000000-0005-0000-0000-0000247E0000}"/>
    <cellStyle name="40% - Accent4 7 2 2 4 2 2 2" xfId="44086" xr:uid="{00000000-0005-0000-0000-0000257E0000}"/>
    <cellStyle name="40% - Accent4 7 2 2 4 2 3" xfId="32785" xr:uid="{00000000-0005-0000-0000-0000267E0000}"/>
    <cellStyle name="40% - Accent4 7 2 2 4 3" xfId="15834" xr:uid="{00000000-0005-0000-0000-0000277E0000}"/>
    <cellStyle name="40% - Accent4 7 2 2 4 3 2" xfId="38436" xr:uid="{00000000-0005-0000-0000-0000287E0000}"/>
    <cellStyle name="40% - Accent4 7 2 2 4 4" xfId="27135" xr:uid="{00000000-0005-0000-0000-0000297E0000}"/>
    <cellStyle name="40% - Accent4 7 2 2 5" xfId="7329" xr:uid="{00000000-0005-0000-0000-00002A7E0000}"/>
    <cellStyle name="40% - Accent4 7 2 2 5 2" xfId="18630" xr:uid="{00000000-0005-0000-0000-00002B7E0000}"/>
    <cellStyle name="40% - Accent4 7 2 2 5 2 2" xfId="41232" xr:uid="{00000000-0005-0000-0000-00002C7E0000}"/>
    <cellStyle name="40% - Accent4 7 2 2 5 3" xfId="29931" xr:uid="{00000000-0005-0000-0000-00002D7E0000}"/>
    <cellStyle name="40% - Accent4 7 2 2 6" xfId="12980" xr:uid="{00000000-0005-0000-0000-00002E7E0000}"/>
    <cellStyle name="40% - Accent4 7 2 2 6 2" xfId="35582" xr:uid="{00000000-0005-0000-0000-00002F7E0000}"/>
    <cellStyle name="40% - Accent4 7 2 2 7" xfId="24281" xr:uid="{00000000-0005-0000-0000-0000307E0000}"/>
    <cellStyle name="40% - Accent4 7 2 3" xfId="1048" xr:uid="{00000000-0005-0000-0000-0000317E0000}"/>
    <cellStyle name="40% - Accent4 7 2 3 2" xfId="3111" xr:uid="{00000000-0005-0000-0000-0000327E0000}"/>
    <cellStyle name="40% - Accent4 7 2 3 2 2" xfId="6083" xr:uid="{00000000-0005-0000-0000-0000337E0000}"/>
    <cellStyle name="40% - Accent4 7 2 3 2 2 2" xfId="11733" xr:uid="{00000000-0005-0000-0000-0000347E0000}"/>
    <cellStyle name="40% - Accent4 7 2 3 2 2 2 2" xfId="23034" xr:uid="{00000000-0005-0000-0000-0000357E0000}"/>
    <cellStyle name="40% - Accent4 7 2 3 2 2 2 2 2" xfId="45636" xr:uid="{00000000-0005-0000-0000-0000367E0000}"/>
    <cellStyle name="40% - Accent4 7 2 3 2 2 2 3" xfId="34335" xr:uid="{00000000-0005-0000-0000-0000377E0000}"/>
    <cellStyle name="40% - Accent4 7 2 3 2 2 3" xfId="17384" xr:uid="{00000000-0005-0000-0000-0000387E0000}"/>
    <cellStyle name="40% - Accent4 7 2 3 2 2 3 2" xfId="39986" xr:uid="{00000000-0005-0000-0000-0000397E0000}"/>
    <cellStyle name="40% - Accent4 7 2 3 2 2 4" xfId="28685" xr:uid="{00000000-0005-0000-0000-00003A7E0000}"/>
    <cellStyle name="40% - Accent4 7 2 3 2 3" xfId="8901" xr:uid="{00000000-0005-0000-0000-00003B7E0000}"/>
    <cellStyle name="40% - Accent4 7 2 3 2 3 2" xfId="20202" xr:uid="{00000000-0005-0000-0000-00003C7E0000}"/>
    <cellStyle name="40% - Accent4 7 2 3 2 3 2 2" xfId="42804" xr:uid="{00000000-0005-0000-0000-00003D7E0000}"/>
    <cellStyle name="40% - Accent4 7 2 3 2 3 3" xfId="31503" xr:uid="{00000000-0005-0000-0000-00003E7E0000}"/>
    <cellStyle name="40% - Accent4 7 2 3 2 4" xfId="14552" xr:uid="{00000000-0005-0000-0000-00003F7E0000}"/>
    <cellStyle name="40% - Accent4 7 2 3 2 4 2" xfId="37154" xr:uid="{00000000-0005-0000-0000-0000407E0000}"/>
    <cellStyle name="40% - Accent4 7 2 3 2 5" xfId="25853" xr:uid="{00000000-0005-0000-0000-0000417E0000}"/>
    <cellStyle name="40% - Accent4 7 2 3 3" xfId="4849" xr:uid="{00000000-0005-0000-0000-0000427E0000}"/>
    <cellStyle name="40% - Accent4 7 2 3 3 2" xfId="10499" xr:uid="{00000000-0005-0000-0000-0000437E0000}"/>
    <cellStyle name="40% - Accent4 7 2 3 3 2 2" xfId="21800" xr:uid="{00000000-0005-0000-0000-0000447E0000}"/>
    <cellStyle name="40% - Accent4 7 2 3 3 2 2 2" xfId="44402" xr:uid="{00000000-0005-0000-0000-0000457E0000}"/>
    <cellStyle name="40% - Accent4 7 2 3 3 2 3" xfId="33101" xr:uid="{00000000-0005-0000-0000-0000467E0000}"/>
    <cellStyle name="40% - Accent4 7 2 3 3 3" xfId="16150" xr:uid="{00000000-0005-0000-0000-0000477E0000}"/>
    <cellStyle name="40% - Accent4 7 2 3 3 3 2" xfId="38752" xr:uid="{00000000-0005-0000-0000-0000487E0000}"/>
    <cellStyle name="40% - Accent4 7 2 3 3 4" xfId="27451" xr:uid="{00000000-0005-0000-0000-0000497E0000}"/>
    <cellStyle name="40% - Accent4 7 2 3 4" xfId="7036" xr:uid="{00000000-0005-0000-0000-00004A7E0000}"/>
    <cellStyle name="40% - Accent4 7 2 3 4 2" xfId="18337" xr:uid="{00000000-0005-0000-0000-00004B7E0000}"/>
    <cellStyle name="40% - Accent4 7 2 3 4 2 2" xfId="40939" xr:uid="{00000000-0005-0000-0000-00004C7E0000}"/>
    <cellStyle name="40% - Accent4 7 2 3 4 3" xfId="29638" xr:uid="{00000000-0005-0000-0000-00004D7E0000}"/>
    <cellStyle name="40% - Accent4 7 2 3 5" xfId="12687" xr:uid="{00000000-0005-0000-0000-00004E7E0000}"/>
    <cellStyle name="40% - Accent4 7 2 3 5 2" xfId="35289" xr:uid="{00000000-0005-0000-0000-00004F7E0000}"/>
    <cellStyle name="40% - Accent4 7 2 3 6" xfId="23988" xr:uid="{00000000-0005-0000-0000-0000507E0000}"/>
    <cellStyle name="40% - Accent4 7 2 4" xfId="1981" xr:uid="{00000000-0005-0000-0000-0000517E0000}"/>
    <cellStyle name="40% - Accent4 7 2 4 2" xfId="3791" xr:uid="{00000000-0005-0000-0000-0000527E0000}"/>
    <cellStyle name="40% - Accent4 7 2 4 2 2" xfId="9501" xr:uid="{00000000-0005-0000-0000-0000537E0000}"/>
    <cellStyle name="40% - Accent4 7 2 4 2 2 2" xfId="20802" xr:uid="{00000000-0005-0000-0000-0000547E0000}"/>
    <cellStyle name="40% - Accent4 7 2 4 2 2 2 2" xfId="43404" xr:uid="{00000000-0005-0000-0000-0000557E0000}"/>
    <cellStyle name="40% - Accent4 7 2 4 2 2 3" xfId="32103" xr:uid="{00000000-0005-0000-0000-0000567E0000}"/>
    <cellStyle name="40% - Accent4 7 2 4 2 3" xfId="15152" xr:uid="{00000000-0005-0000-0000-0000577E0000}"/>
    <cellStyle name="40% - Accent4 7 2 4 2 3 2" xfId="37754" xr:uid="{00000000-0005-0000-0000-0000587E0000}"/>
    <cellStyle name="40% - Accent4 7 2 4 2 4" xfId="26453" xr:uid="{00000000-0005-0000-0000-0000597E0000}"/>
    <cellStyle name="40% - Accent4 7 2 4 3" xfId="5459" xr:uid="{00000000-0005-0000-0000-00005A7E0000}"/>
    <cellStyle name="40% - Accent4 7 2 4 3 2" xfId="11109" xr:uid="{00000000-0005-0000-0000-00005B7E0000}"/>
    <cellStyle name="40% - Accent4 7 2 4 3 2 2" xfId="22410" xr:uid="{00000000-0005-0000-0000-00005C7E0000}"/>
    <cellStyle name="40% - Accent4 7 2 4 3 2 2 2" xfId="45012" xr:uid="{00000000-0005-0000-0000-00005D7E0000}"/>
    <cellStyle name="40% - Accent4 7 2 4 3 2 3" xfId="33711" xr:uid="{00000000-0005-0000-0000-00005E7E0000}"/>
    <cellStyle name="40% - Accent4 7 2 4 3 3" xfId="16760" xr:uid="{00000000-0005-0000-0000-00005F7E0000}"/>
    <cellStyle name="40% - Accent4 7 2 4 3 3 2" xfId="39362" xr:uid="{00000000-0005-0000-0000-0000607E0000}"/>
    <cellStyle name="40% - Accent4 7 2 4 3 4" xfId="28061" xr:uid="{00000000-0005-0000-0000-0000617E0000}"/>
    <cellStyle name="40% - Accent4 7 2 4 4" xfId="7837" xr:uid="{00000000-0005-0000-0000-0000627E0000}"/>
    <cellStyle name="40% - Accent4 7 2 4 4 2" xfId="19138" xr:uid="{00000000-0005-0000-0000-0000637E0000}"/>
    <cellStyle name="40% - Accent4 7 2 4 4 2 2" xfId="41740" xr:uid="{00000000-0005-0000-0000-0000647E0000}"/>
    <cellStyle name="40% - Accent4 7 2 4 4 3" xfId="30439" xr:uid="{00000000-0005-0000-0000-0000657E0000}"/>
    <cellStyle name="40% - Accent4 7 2 4 5" xfId="13488" xr:uid="{00000000-0005-0000-0000-0000667E0000}"/>
    <cellStyle name="40% - Accent4 7 2 4 5 2" xfId="36090" xr:uid="{00000000-0005-0000-0000-0000677E0000}"/>
    <cellStyle name="40% - Accent4 7 2 4 6" xfId="24789" xr:uid="{00000000-0005-0000-0000-0000687E0000}"/>
    <cellStyle name="40% - Accent4 7 2 5" xfId="2440" xr:uid="{00000000-0005-0000-0000-0000697E0000}"/>
    <cellStyle name="40% - Accent4 7 2 5 2" xfId="8276" xr:uid="{00000000-0005-0000-0000-00006A7E0000}"/>
    <cellStyle name="40% - Accent4 7 2 5 2 2" xfId="19577" xr:uid="{00000000-0005-0000-0000-00006B7E0000}"/>
    <cellStyle name="40% - Accent4 7 2 5 2 2 2" xfId="42179" xr:uid="{00000000-0005-0000-0000-00006C7E0000}"/>
    <cellStyle name="40% - Accent4 7 2 5 2 3" xfId="30878" xr:uid="{00000000-0005-0000-0000-00006D7E0000}"/>
    <cellStyle name="40% - Accent4 7 2 5 3" xfId="13927" xr:uid="{00000000-0005-0000-0000-00006E7E0000}"/>
    <cellStyle name="40% - Accent4 7 2 5 3 2" xfId="36529" xr:uid="{00000000-0005-0000-0000-00006F7E0000}"/>
    <cellStyle name="40% - Accent4 7 2 5 4" xfId="25228" xr:uid="{00000000-0005-0000-0000-0000707E0000}"/>
    <cellStyle name="40% - Accent4 7 2 6" xfId="4225" xr:uid="{00000000-0005-0000-0000-0000717E0000}"/>
    <cellStyle name="40% - Accent4 7 2 6 2" xfId="9875" xr:uid="{00000000-0005-0000-0000-0000727E0000}"/>
    <cellStyle name="40% - Accent4 7 2 6 2 2" xfId="21176" xr:uid="{00000000-0005-0000-0000-0000737E0000}"/>
    <cellStyle name="40% - Accent4 7 2 6 2 2 2" xfId="43778" xr:uid="{00000000-0005-0000-0000-0000747E0000}"/>
    <cellStyle name="40% - Accent4 7 2 6 2 3" xfId="32477" xr:uid="{00000000-0005-0000-0000-0000757E0000}"/>
    <cellStyle name="40% - Accent4 7 2 6 3" xfId="15526" xr:uid="{00000000-0005-0000-0000-0000767E0000}"/>
    <cellStyle name="40% - Accent4 7 2 6 3 2" xfId="38128" xr:uid="{00000000-0005-0000-0000-0000777E0000}"/>
    <cellStyle name="40% - Accent4 7 2 6 4" xfId="26827" xr:uid="{00000000-0005-0000-0000-0000787E0000}"/>
    <cellStyle name="40% - Accent4 7 2 7" xfId="6705" xr:uid="{00000000-0005-0000-0000-0000797E0000}"/>
    <cellStyle name="40% - Accent4 7 2 7 2" xfId="18006" xr:uid="{00000000-0005-0000-0000-00007A7E0000}"/>
    <cellStyle name="40% - Accent4 7 2 7 2 2" xfId="40608" xr:uid="{00000000-0005-0000-0000-00007B7E0000}"/>
    <cellStyle name="40% - Accent4 7 2 7 3" xfId="29307" xr:uid="{00000000-0005-0000-0000-00007C7E0000}"/>
    <cellStyle name="40% - Accent4 7 2 8" xfId="12356" xr:uid="{00000000-0005-0000-0000-00007D7E0000}"/>
    <cellStyle name="40% - Accent4 7 2 8 2" xfId="34958" xr:uid="{00000000-0005-0000-0000-00007E7E0000}"/>
    <cellStyle name="40% - Accent4 7 2 9" xfId="23657" xr:uid="{00000000-0005-0000-0000-00007F7E0000}"/>
    <cellStyle name="40% - Accent4 7 3" xfId="1212" xr:uid="{00000000-0005-0000-0000-0000807E0000}"/>
    <cellStyle name="40% - Accent4 7 3 2" xfId="1983" xr:uid="{00000000-0005-0000-0000-0000817E0000}"/>
    <cellStyle name="40% - Accent4 7 3 2 2" xfId="3280" xr:uid="{00000000-0005-0000-0000-0000827E0000}"/>
    <cellStyle name="40% - Accent4 7 3 2 2 2" xfId="6252" xr:uid="{00000000-0005-0000-0000-0000837E0000}"/>
    <cellStyle name="40% - Accent4 7 3 2 2 2 2" xfId="11902" xr:uid="{00000000-0005-0000-0000-0000847E0000}"/>
    <cellStyle name="40% - Accent4 7 3 2 2 2 2 2" xfId="23203" xr:uid="{00000000-0005-0000-0000-0000857E0000}"/>
    <cellStyle name="40% - Accent4 7 3 2 2 2 2 2 2" xfId="45805" xr:uid="{00000000-0005-0000-0000-0000867E0000}"/>
    <cellStyle name="40% - Accent4 7 3 2 2 2 2 3" xfId="34504" xr:uid="{00000000-0005-0000-0000-0000877E0000}"/>
    <cellStyle name="40% - Accent4 7 3 2 2 2 3" xfId="17553" xr:uid="{00000000-0005-0000-0000-0000887E0000}"/>
    <cellStyle name="40% - Accent4 7 3 2 2 2 3 2" xfId="40155" xr:uid="{00000000-0005-0000-0000-0000897E0000}"/>
    <cellStyle name="40% - Accent4 7 3 2 2 2 4" xfId="28854" xr:uid="{00000000-0005-0000-0000-00008A7E0000}"/>
    <cellStyle name="40% - Accent4 7 3 2 2 3" xfId="9070" xr:uid="{00000000-0005-0000-0000-00008B7E0000}"/>
    <cellStyle name="40% - Accent4 7 3 2 2 3 2" xfId="20371" xr:uid="{00000000-0005-0000-0000-00008C7E0000}"/>
    <cellStyle name="40% - Accent4 7 3 2 2 3 2 2" xfId="42973" xr:uid="{00000000-0005-0000-0000-00008D7E0000}"/>
    <cellStyle name="40% - Accent4 7 3 2 2 3 3" xfId="31672" xr:uid="{00000000-0005-0000-0000-00008E7E0000}"/>
    <cellStyle name="40% - Accent4 7 3 2 2 4" xfId="14721" xr:uid="{00000000-0005-0000-0000-00008F7E0000}"/>
    <cellStyle name="40% - Accent4 7 3 2 2 4 2" xfId="37323" xr:uid="{00000000-0005-0000-0000-0000907E0000}"/>
    <cellStyle name="40% - Accent4 7 3 2 2 5" xfId="26022" xr:uid="{00000000-0005-0000-0000-0000917E0000}"/>
    <cellStyle name="40% - Accent4 7 3 2 3" xfId="5018" xr:uid="{00000000-0005-0000-0000-0000927E0000}"/>
    <cellStyle name="40% - Accent4 7 3 2 3 2" xfId="10668" xr:uid="{00000000-0005-0000-0000-0000937E0000}"/>
    <cellStyle name="40% - Accent4 7 3 2 3 2 2" xfId="21969" xr:uid="{00000000-0005-0000-0000-0000947E0000}"/>
    <cellStyle name="40% - Accent4 7 3 2 3 2 2 2" xfId="44571" xr:uid="{00000000-0005-0000-0000-0000957E0000}"/>
    <cellStyle name="40% - Accent4 7 3 2 3 2 3" xfId="33270" xr:uid="{00000000-0005-0000-0000-0000967E0000}"/>
    <cellStyle name="40% - Accent4 7 3 2 3 3" xfId="16319" xr:uid="{00000000-0005-0000-0000-0000977E0000}"/>
    <cellStyle name="40% - Accent4 7 3 2 3 3 2" xfId="38921" xr:uid="{00000000-0005-0000-0000-0000987E0000}"/>
    <cellStyle name="40% - Accent4 7 3 2 3 4" xfId="27620" xr:uid="{00000000-0005-0000-0000-0000997E0000}"/>
    <cellStyle name="40% - Accent4 7 3 2 4" xfId="7839" xr:uid="{00000000-0005-0000-0000-00009A7E0000}"/>
    <cellStyle name="40% - Accent4 7 3 2 4 2" xfId="19140" xr:uid="{00000000-0005-0000-0000-00009B7E0000}"/>
    <cellStyle name="40% - Accent4 7 3 2 4 2 2" xfId="41742" xr:uid="{00000000-0005-0000-0000-00009C7E0000}"/>
    <cellStyle name="40% - Accent4 7 3 2 4 3" xfId="30441" xr:uid="{00000000-0005-0000-0000-00009D7E0000}"/>
    <cellStyle name="40% - Accent4 7 3 2 5" xfId="13490" xr:uid="{00000000-0005-0000-0000-00009E7E0000}"/>
    <cellStyle name="40% - Accent4 7 3 2 5 2" xfId="36092" xr:uid="{00000000-0005-0000-0000-00009F7E0000}"/>
    <cellStyle name="40% - Accent4 7 3 2 6" xfId="24791" xr:uid="{00000000-0005-0000-0000-0000A07E0000}"/>
    <cellStyle name="40% - Accent4 7 3 3" xfId="2609" xr:uid="{00000000-0005-0000-0000-0000A17E0000}"/>
    <cellStyle name="40% - Accent4 7 3 3 2" xfId="5628" xr:uid="{00000000-0005-0000-0000-0000A27E0000}"/>
    <cellStyle name="40% - Accent4 7 3 3 2 2" xfId="11278" xr:uid="{00000000-0005-0000-0000-0000A37E0000}"/>
    <cellStyle name="40% - Accent4 7 3 3 2 2 2" xfId="22579" xr:uid="{00000000-0005-0000-0000-0000A47E0000}"/>
    <cellStyle name="40% - Accent4 7 3 3 2 2 2 2" xfId="45181" xr:uid="{00000000-0005-0000-0000-0000A57E0000}"/>
    <cellStyle name="40% - Accent4 7 3 3 2 2 3" xfId="33880" xr:uid="{00000000-0005-0000-0000-0000A67E0000}"/>
    <cellStyle name="40% - Accent4 7 3 3 2 3" xfId="16929" xr:uid="{00000000-0005-0000-0000-0000A77E0000}"/>
    <cellStyle name="40% - Accent4 7 3 3 2 3 2" xfId="39531" xr:uid="{00000000-0005-0000-0000-0000A87E0000}"/>
    <cellStyle name="40% - Accent4 7 3 3 2 4" xfId="28230" xr:uid="{00000000-0005-0000-0000-0000A97E0000}"/>
    <cellStyle name="40% - Accent4 7 3 3 3" xfId="8445" xr:uid="{00000000-0005-0000-0000-0000AA7E0000}"/>
    <cellStyle name="40% - Accent4 7 3 3 3 2" xfId="19746" xr:uid="{00000000-0005-0000-0000-0000AB7E0000}"/>
    <cellStyle name="40% - Accent4 7 3 3 3 2 2" xfId="42348" xr:uid="{00000000-0005-0000-0000-0000AC7E0000}"/>
    <cellStyle name="40% - Accent4 7 3 3 3 3" xfId="31047" xr:uid="{00000000-0005-0000-0000-0000AD7E0000}"/>
    <cellStyle name="40% - Accent4 7 3 3 4" xfId="14096" xr:uid="{00000000-0005-0000-0000-0000AE7E0000}"/>
    <cellStyle name="40% - Accent4 7 3 3 4 2" xfId="36698" xr:uid="{00000000-0005-0000-0000-0000AF7E0000}"/>
    <cellStyle name="40% - Accent4 7 3 3 5" xfId="25397" xr:uid="{00000000-0005-0000-0000-0000B07E0000}"/>
    <cellStyle name="40% - Accent4 7 3 4" xfId="4394" xr:uid="{00000000-0005-0000-0000-0000B17E0000}"/>
    <cellStyle name="40% - Accent4 7 3 4 2" xfId="10044" xr:uid="{00000000-0005-0000-0000-0000B27E0000}"/>
    <cellStyle name="40% - Accent4 7 3 4 2 2" xfId="21345" xr:uid="{00000000-0005-0000-0000-0000B37E0000}"/>
    <cellStyle name="40% - Accent4 7 3 4 2 2 2" xfId="43947" xr:uid="{00000000-0005-0000-0000-0000B47E0000}"/>
    <cellStyle name="40% - Accent4 7 3 4 2 3" xfId="32646" xr:uid="{00000000-0005-0000-0000-0000B57E0000}"/>
    <cellStyle name="40% - Accent4 7 3 4 3" xfId="15695" xr:uid="{00000000-0005-0000-0000-0000B67E0000}"/>
    <cellStyle name="40% - Accent4 7 3 4 3 2" xfId="38297" xr:uid="{00000000-0005-0000-0000-0000B77E0000}"/>
    <cellStyle name="40% - Accent4 7 3 4 4" xfId="26996" xr:uid="{00000000-0005-0000-0000-0000B87E0000}"/>
    <cellStyle name="40% - Accent4 7 3 5" xfId="7191" xr:uid="{00000000-0005-0000-0000-0000B97E0000}"/>
    <cellStyle name="40% - Accent4 7 3 5 2" xfId="18492" xr:uid="{00000000-0005-0000-0000-0000BA7E0000}"/>
    <cellStyle name="40% - Accent4 7 3 5 2 2" xfId="41094" xr:uid="{00000000-0005-0000-0000-0000BB7E0000}"/>
    <cellStyle name="40% - Accent4 7 3 5 3" xfId="29793" xr:uid="{00000000-0005-0000-0000-0000BC7E0000}"/>
    <cellStyle name="40% - Accent4 7 3 6" xfId="12842" xr:uid="{00000000-0005-0000-0000-0000BD7E0000}"/>
    <cellStyle name="40% - Accent4 7 3 6 2" xfId="35444" xr:uid="{00000000-0005-0000-0000-0000BE7E0000}"/>
    <cellStyle name="40% - Accent4 7 3 7" xfId="24143" xr:uid="{00000000-0005-0000-0000-0000BF7E0000}"/>
    <cellStyle name="40% - Accent4 7 4" xfId="903" xr:uid="{00000000-0005-0000-0000-0000C07E0000}"/>
    <cellStyle name="40% - Accent4 7 4 2" xfId="2973" xr:uid="{00000000-0005-0000-0000-0000C17E0000}"/>
    <cellStyle name="40% - Accent4 7 4 2 2" xfId="5945" xr:uid="{00000000-0005-0000-0000-0000C27E0000}"/>
    <cellStyle name="40% - Accent4 7 4 2 2 2" xfId="11595" xr:uid="{00000000-0005-0000-0000-0000C37E0000}"/>
    <cellStyle name="40% - Accent4 7 4 2 2 2 2" xfId="22896" xr:uid="{00000000-0005-0000-0000-0000C47E0000}"/>
    <cellStyle name="40% - Accent4 7 4 2 2 2 2 2" xfId="45498" xr:uid="{00000000-0005-0000-0000-0000C57E0000}"/>
    <cellStyle name="40% - Accent4 7 4 2 2 2 3" xfId="34197" xr:uid="{00000000-0005-0000-0000-0000C67E0000}"/>
    <cellStyle name="40% - Accent4 7 4 2 2 3" xfId="17246" xr:uid="{00000000-0005-0000-0000-0000C77E0000}"/>
    <cellStyle name="40% - Accent4 7 4 2 2 3 2" xfId="39848" xr:uid="{00000000-0005-0000-0000-0000C87E0000}"/>
    <cellStyle name="40% - Accent4 7 4 2 2 4" xfId="28547" xr:uid="{00000000-0005-0000-0000-0000C97E0000}"/>
    <cellStyle name="40% - Accent4 7 4 2 3" xfId="8763" xr:uid="{00000000-0005-0000-0000-0000CA7E0000}"/>
    <cellStyle name="40% - Accent4 7 4 2 3 2" xfId="20064" xr:uid="{00000000-0005-0000-0000-0000CB7E0000}"/>
    <cellStyle name="40% - Accent4 7 4 2 3 2 2" xfId="42666" xr:uid="{00000000-0005-0000-0000-0000CC7E0000}"/>
    <cellStyle name="40% - Accent4 7 4 2 3 3" xfId="31365" xr:uid="{00000000-0005-0000-0000-0000CD7E0000}"/>
    <cellStyle name="40% - Accent4 7 4 2 4" xfId="14414" xr:uid="{00000000-0005-0000-0000-0000CE7E0000}"/>
    <cellStyle name="40% - Accent4 7 4 2 4 2" xfId="37016" xr:uid="{00000000-0005-0000-0000-0000CF7E0000}"/>
    <cellStyle name="40% - Accent4 7 4 2 5" xfId="25715" xr:uid="{00000000-0005-0000-0000-0000D07E0000}"/>
    <cellStyle name="40% - Accent4 7 4 3" xfId="4711" xr:uid="{00000000-0005-0000-0000-0000D17E0000}"/>
    <cellStyle name="40% - Accent4 7 4 3 2" xfId="10361" xr:uid="{00000000-0005-0000-0000-0000D27E0000}"/>
    <cellStyle name="40% - Accent4 7 4 3 2 2" xfId="21662" xr:uid="{00000000-0005-0000-0000-0000D37E0000}"/>
    <cellStyle name="40% - Accent4 7 4 3 2 2 2" xfId="44264" xr:uid="{00000000-0005-0000-0000-0000D47E0000}"/>
    <cellStyle name="40% - Accent4 7 4 3 2 3" xfId="32963" xr:uid="{00000000-0005-0000-0000-0000D57E0000}"/>
    <cellStyle name="40% - Accent4 7 4 3 3" xfId="16012" xr:uid="{00000000-0005-0000-0000-0000D67E0000}"/>
    <cellStyle name="40% - Accent4 7 4 3 3 2" xfId="38614" xr:uid="{00000000-0005-0000-0000-0000D77E0000}"/>
    <cellStyle name="40% - Accent4 7 4 3 4" xfId="27313" xr:uid="{00000000-0005-0000-0000-0000D87E0000}"/>
    <cellStyle name="40% - Accent4 7 4 4" xfId="6898" xr:uid="{00000000-0005-0000-0000-0000D97E0000}"/>
    <cellStyle name="40% - Accent4 7 4 4 2" xfId="18199" xr:uid="{00000000-0005-0000-0000-0000DA7E0000}"/>
    <cellStyle name="40% - Accent4 7 4 4 2 2" xfId="40801" xr:uid="{00000000-0005-0000-0000-0000DB7E0000}"/>
    <cellStyle name="40% - Accent4 7 4 4 3" xfId="29500" xr:uid="{00000000-0005-0000-0000-0000DC7E0000}"/>
    <cellStyle name="40% - Accent4 7 4 5" xfId="12549" xr:uid="{00000000-0005-0000-0000-0000DD7E0000}"/>
    <cellStyle name="40% - Accent4 7 4 5 2" xfId="35151" xr:uid="{00000000-0005-0000-0000-0000DE7E0000}"/>
    <cellStyle name="40% - Accent4 7 4 6" xfId="23850" xr:uid="{00000000-0005-0000-0000-0000DF7E0000}"/>
    <cellStyle name="40% - Accent4 7 5" xfId="1980" xr:uid="{00000000-0005-0000-0000-0000E07E0000}"/>
    <cellStyle name="40% - Accent4 7 5 2" xfId="3790" xr:uid="{00000000-0005-0000-0000-0000E17E0000}"/>
    <cellStyle name="40% - Accent4 7 5 2 2" xfId="9500" xr:uid="{00000000-0005-0000-0000-0000E27E0000}"/>
    <cellStyle name="40% - Accent4 7 5 2 2 2" xfId="20801" xr:uid="{00000000-0005-0000-0000-0000E37E0000}"/>
    <cellStyle name="40% - Accent4 7 5 2 2 2 2" xfId="43403" xr:uid="{00000000-0005-0000-0000-0000E47E0000}"/>
    <cellStyle name="40% - Accent4 7 5 2 2 3" xfId="32102" xr:uid="{00000000-0005-0000-0000-0000E57E0000}"/>
    <cellStyle name="40% - Accent4 7 5 2 3" xfId="15151" xr:uid="{00000000-0005-0000-0000-0000E67E0000}"/>
    <cellStyle name="40% - Accent4 7 5 2 3 2" xfId="37753" xr:uid="{00000000-0005-0000-0000-0000E77E0000}"/>
    <cellStyle name="40% - Accent4 7 5 2 4" xfId="26452" xr:uid="{00000000-0005-0000-0000-0000E87E0000}"/>
    <cellStyle name="40% - Accent4 7 5 3" xfId="5321" xr:uid="{00000000-0005-0000-0000-0000E97E0000}"/>
    <cellStyle name="40% - Accent4 7 5 3 2" xfId="10971" xr:uid="{00000000-0005-0000-0000-0000EA7E0000}"/>
    <cellStyle name="40% - Accent4 7 5 3 2 2" xfId="22272" xr:uid="{00000000-0005-0000-0000-0000EB7E0000}"/>
    <cellStyle name="40% - Accent4 7 5 3 2 2 2" xfId="44874" xr:uid="{00000000-0005-0000-0000-0000EC7E0000}"/>
    <cellStyle name="40% - Accent4 7 5 3 2 3" xfId="33573" xr:uid="{00000000-0005-0000-0000-0000ED7E0000}"/>
    <cellStyle name="40% - Accent4 7 5 3 3" xfId="16622" xr:uid="{00000000-0005-0000-0000-0000EE7E0000}"/>
    <cellStyle name="40% - Accent4 7 5 3 3 2" xfId="39224" xr:uid="{00000000-0005-0000-0000-0000EF7E0000}"/>
    <cellStyle name="40% - Accent4 7 5 3 4" xfId="27923" xr:uid="{00000000-0005-0000-0000-0000F07E0000}"/>
    <cellStyle name="40% - Accent4 7 5 4" xfId="7836" xr:uid="{00000000-0005-0000-0000-0000F17E0000}"/>
    <cellStyle name="40% - Accent4 7 5 4 2" xfId="19137" xr:uid="{00000000-0005-0000-0000-0000F27E0000}"/>
    <cellStyle name="40% - Accent4 7 5 4 2 2" xfId="41739" xr:uid="{00000000-0005-0000-0000-0000F37E0000}"/>
    <cellStyle name="40% - Accent4 7 5 4 3" xfId="30438" xr:uid="{00000000-0005-0000-0000-0000F47E0000}"/>
    <cellStyle name="40% - Accent4 7 5 5" xfId="13487" xr:uid="{00000000-0005-0000-0000-0000F57E0000}"/>
    <cellStyle name="40% - Accent4 7 5 5 2" xfId="36089" xr:uid="{00000000-0005-0000-0000-0000F67E0000}"/>
    <cellStyle name="40% - Accent4 7 5 6" xfId="24788" xr:uid="{00000000-0005-0000-0000-0000F77E0000}"/>
    <cellStyle name="40% - Accent4 7 6" xfId="2300" xr:uid="{00000000-0005-0000-0000-0000F87E0000}"/>
    <cellStyle name="40% - Accent4 7 6 2" xfId="8136" xr:uid="{00000000-0005-0000-0000-0000F97E0000}"/>
    <cellStyle name="40% - Accent4 7 6 2 2" xfId="19437" xr:uid="{00000000-0005-0000-0000-0000FA7E0000}"/>
    <cellStyle name="40% - Accent4 7 6 2 2 2" xfId="42039" xr:uid="{00000000-0005-0000-0000-0000FB7E0000}"/>
    <cellStyle name="40% - Accent4 7 6 2 3" xfId="30738" xr:uid="{00000000-0005-0000-0000-0000FC7E0000}"/>
    <cellStyle name="40% - Accent4 7 6 3" xfId="13787" xr:uid="{00000000-0005-0000-0000-0000FD7E0000}"/>
    <cellStyle name="40% - Accent4 7 6 3 2" xfId="36389" xr:uid="{00000000-0005-0000-0000-0000FE7E0000}"/>
    <cellStyle name="40% - Accent4 7 6 4" xfId="25088" xr:uid="{00000000-0005-0000-0000-0000FF7E0000}"/>
    <cellStyle name="40% - Accent4 7 7" xfId="4087" xr:uid="{00000000-0005-0000-0000-0000007F0000}"/>
    <cellStyle name="40% - Accent4 7 7 2" xfId="9737" xr:uid="{00000000-0005-0000-0000-0000017F0000}"/>
    <cellStyle name="40% - Accent4 7 7 2 2" xfId="21038" xr:uid="{00000000-0005-0000-0000-0000027F0000}"/>
    <cellStyle name="40% - Accent4 7 7 2 2 2" xfId="43640" xr:uid="{00000000-0005-0000-0000-0000037F0000}"/>
    <cellStyle name="40% - Accent4 7 7 2 3" xfId="32339" xr:uid="{00000000-0005-0000-0000-0000047F0000}"/>
    <cellStyle name="40% - Accent4 7 7 3" xfId="15388" xr:uid="{00000000-0005-0000-0000-0000057F0000}"/>
    <cellStyle name="40% - Accent4 7 7 3 2" xfId="37990" xr:uid="{00000000-0005-0000-0000-0000067F0000}"/>
    <cellStyle name="40% - Accent4 7 7 4" xfId="26689" xr:uid="{00000000-0005-0000-0000-0000077F0000}"/>
    <cellStyle name="40% - Accent4 7 8" xfId="6538" xr:uid="{00000000-0005-0000-0000-0000087F0000}"/>
    <cellStyle name="40% - Accent4 7 8 2" xfId="17839" xr:uid="{00000000-0005-0000-0000-0000097F0000}"/>
    <cellStyle name="40% - Accent4 7 8 2 2" xfId="40441" xr:uid="{00000000-0005-0000-0000-00000A7F0000}"/>
    <cellStyle name="40% - Accent4 7 8 3" xfId="29140" xr:uid="{00000000-0005-0000-0000-00000B7F0000}"/>
    <cellStyle name="40% - Accent4 7 9" xfId="12189" xr:uid="{00000000-0005-0000-0000-00000C7F0000}"/>
    <cellStyle name="40% - Accent4 7 9 2" xfId="34791" xr:uid="{00000000-0005-0000-0000-00000D7F0000}"/>
    <cellStyle name="40% - Accent4 8" xfId="498" xr:uid="{00000000-0005-0000-0000-00000E7F0000}"/>
    <cellStyle name="40% - Accent4 8 2" xfId="1269" xr:uid="{00000000-0005-0000-0000-00000F7F0000}"/>
    <cellStyle name="40% - Accent4 8 2 2" xfId="1985" xr:uid="{00000000-0005-0000-0000-0000107F0000}"/>
    <cellStyle name="40% - Accent4 8 2 2 2" xfId="3338" xr:uid="{00000000-0005-0000-0000-0000117F0000}"/>
    <cellStyle name="40% - Accent4 8 2 2 2 2" xfId="6310" xr:uid="{00000000-0005-0000-0000-0000127F0000}"/>
    <cellStyle name="40% - Accent4 8 2 2 2 2 2" xfId="11960" xr:uid="{00000000-0005-0000-0000-0000137F0000}"/>
    <cellStyle name="40% - Accent4 8 2 2 2 2 2 2" xfId="23261" xr:uid="{00000000-0005-0000-0000-0000147F0000}"/>
    <cellStyle name="40% - Accent4 8 2 2 2 2 2 2 2" xfId="45863" xr:uid="{00000000-0005-0000-0000-0000157F0000}"/>
    <cellStyle name="40% - Accent4 8 2 2 2 2 2 3" xfId="34562" xr:uid="{00000000-0005-0000-0000-0000167F0000}"/>
    <cellStyle name="40% - Accent4 8 2 2 2 2 3" xfId="17611" xr:uid="{00000000-0005-0000-0000-0000177F0000}"/>
    <cellStyle name="40% - Accent4 8 2 2 2 2 3 2" xfId="40213" xr:uid="{00000000-0005-0000-0000-0000187F0000}"/>
    <cellStyle name="40% - Accent4 8 2 2 2 2 4" xfId="28912" xr:uid="{00000000-0005-0000-0000-0000197F0000}"/>
    <cellStyle name="40% - Accent4 8 2 2 2 3" xfId="9128" xr:uid="{00000000-0005-0000-0000-00001A7F0000}"/>
    <cellStyle name="40% - Accent4 8 2 2 2 3 2" xfId="20429" xr:uid="{00000000-0005-0000-0000-00001B7F0000}"/>
    <cellStyle name="40% - Accent4 8 2 2 2 3 2 2" xfId="43031" xr:uid="{00000000-0005-0000-0000-00001C7F0000}"/>
    <cellStyle name="40% - Accent4 8 2 2 2 3 3" xfId="31730" xr:uid="{00000000-0005-0000-0000-00001D7F0000}"/>
    <cellStyle name="40% - Accent4 8 2 2 2 4" xfId="14779" xr:uid="{00000000-0005-0000-0000-00001E7F0000}"/>
    <cellStyle name="40% - Accent4 8 2 2 2 4 2" xfId="37381" xr:uid="{00000000-0005-0000-0000-00001F7F0000}"/>
    <cellStyle name="40% - Accent4 8 2 2 2 5" xfId="26080" xr:uid="{00000000-0005-0000-0000-0000207F0000}"/>
    <cellStyle name="40% - Accent4 8 2 2 3" xfId="5076" xr:uid="{00000000-0005-0000-0000-0000217F0000}"/>
    <cellStyle name="40% - Accent4 8 2 2 3 2" xfId="10726" xr:uid="{00000000-0005-0000-0000-0000227F0000}"/>
    <cellStyle name="40% - Accent4 8 2 2 3 2 2" xfId="22027" xr:uid="{00000000-0005-0000-0000-0000237F0000}"/>
    <cellStyle name="40% - Accent4 8 2 2 3 2 2 2" xfId="44629" xr:uid="{00000000-0005-0000-0000-0000247F0000}"/>
    <cellStyle name="40% - Accent4 8 2 2 3 2 3" xfId="33328" xr:uid="{00000000-0005-0000-0000-0000257F0000}"/>
    <cellStyle name="40% - Accent4 8 2 2 3 3" xfId="16377" xr:uid="{00000000-0005-0000-0000-0000267F0000}"/>
    <cellStyle name="40% - Accent4 8 2 2 3 3 2" xfId="38979" xr:uid="{00000000-0005-0000-0000-0000277F0000}"/>
    <cellStyle name="40% - Accent4 8 2 2 3 4" xfId="27678" xr:uid="{00000000-0005-0000-0000-0000287F0000}"/>
    <cellStyle name="40% - Accent4 8 2 2 4" xfId="7841" xr:uid="{00000000-0005-0000-0000-0000297F0000}"/>
    <cellStyle name="40% - Accent4 8 2 2 4 2" xfId="19142" xr:uid="{00000000-0005-0000-0000-00002A7F0000}"/>
    <cellStyle name="40% - Accent4 8 2 2 4 2 2" xfId="41744" xr:uid="{00000000-0005-0000-0000-00002B7F0000}"/>
    <cellStyle name="40% - Accent4 8 2 2 4 3" xfId="30443" xr:uid="{00000000-0005-0000-0000-00002C7F0000}"/>
    <cellStyle name="40% - Accent4 8 2 2 5" xfId="13492" xr:uid="{00000000-0005-0000-0000-00002D7F0000}"/>
    <cellStyle name="40% - Accent4 8 2 2 5 2" xfId="36094" xr:uid="{00000000-0005-0000-0000-00002E7F0000}"/>
    <cellStyle name="40% - Accent4 8 2 2 6" xfId="24793" xr:uid="{00000000-0005-0000-0000-00002F7F0000}"/>
    <cellStyle name="40% - Accent4 8 2 3" xfId="2667" xr:uid="{00000000-0005-0000-0000-0000307F0000}"/>
    <cellStyle name="40% - Accent4 8 2 3 2" xfId="5686" xr:uid="{00000000-0005-0000-0000-0000317F0000}"/>
    <cellStyle name="40% - Accent4 8 2 3 2 2" xfId="11336" xr:uid="{00000000-0005-0000-0000-0000327F0000}"/>
    <cellStyle name="40% - Accent4 8 2 3 2 2 2" xfId="22637" xr:uid="{00000000-0005-0000-0000-0000337F0000}"/>
    <cellStyle name="40% - Accent4 8 2 3 2 2 2 2" xfId="45239" xr:uid="{00000000-0005-0000-0000-0000347F0000}"/>
    <cellStyle name="40% - Accent4 8 2 3 2 2 3" xfId="33938" xr:uid="{00000000-0005-0000-0000-0000357F0000}"/>
    <cellStyle name="40% - Accent4 8 2 3 2 3" xfId="16987" xr:uid="{00000000-0005-0000-0000-0000367F0000}"/>
    <cellStyle name="40% - Accent4 8 2 3 2 3 2" xfId="39589" xr:uid="{00000000-0005-0000-0000-0000377F0000}"/>
    <cellStyle name="40% - Accent4 8 2 3 2 4" xfId="28288" xr:uid="{00000000-0005-0000-0000-0000387F0000}"/>
    <cellStyle name="40% - Accent4 8 2 3 3" xfId="8503" xr:uid="{00000000-0005-0000-0000-0000397F0000}"/>
    <cellStyle name="40% - Accent4 8 2 3 3 2" xfId="19804" xr:uid="{00000000-0005-0000-0000-00003A7F0000}"/>
    <cellStyle name="40% - Accent4 8 2 3 3 2 2" xfId="42406" xr:uid="{00000000-0005-0000-0000-00003B7F0000}"/>
    <cellStyle name="40% - Accent4 8 2 3 3 3" xfId="31105" xr:uid="{00000000-0005-0000-0000-00003C7F0000}"/>
    <cellStyle name="40% - Accent4 8 2 3 4" xfId="14154" xr:uid="{00000000-0005-0000-0000-00003D7F0000}"/>
    <cellStyle name="40% - Accent4 8 2 3 4 2" xfId="36756" xr:uid="{00000000-0005-0000-0000-00003E7F0000}"/>
    <cellStyle name="40% - Accent4 8 2 3 5" xfId="25455" xr:uid="{00000000-0005-0000-0000-00003F7F0000}"/>
    <cellStyle name="40% - Accent4 8 2 4" xfId="4452" xr:uid="{00000000-0005-0000-0000-0000407F0000}"/>
    <cellStyle name="40% - Accent4 8 2 4 2" xfId="10102" xr:uid="{00000000-0005-0000-0000-0000417F0000}"/>
    <cellStyle name="40% - Accent4 8 2 4 2 2" xfId="21403" xr:uid="{00000000-0005-0000-0000-0000427F0000}"/>
    <cellStyle name="40% - Accent4 8 2 4 2 2 2" xfId="44005" xr:uid="{00000000-0005-0000-0000-0000437F0000}"/>
    <cellStyle name="40% - Accent4 8 2 4 2 3" xfId="32704" xr:uid="{00000000-0005-0000-0000-0000447F0000}"/>
    <cellStyle name="40% - Accent4 8 2 4 3" xfId="15753" xr:uid="{00000000-0005-0000-0000-0000457F0000}"/>
    <cellStyle name="40% - Accent4 8 2 4 3 2" xfId="38355" xr:uid="{00000000-0005-0000-0000-0000467F0000}"/>
    <cellStyle name="40% - Accent4 8 2 4 4" xfId="27054" xr:uid="{00000000-0005-0000-0000-0000477F0000}"/>
    <cellStyle name="40% - Accent4 8 2 5" xfId="7248" xr:uid="{00000000-0005-0000-0000-0000487F0000}"/>
    <cellStyle name="40% - Accent4 8 2 5 2" xfId="18549" xr:uid="{00000000-0005-0000-0000-0000497F0000}"/>
    <cellStyle name="40% - Accent4 8 2 5 2 2" xfId="41151" xr:uid="{00000000-0005-0000-0000-00004A7F0000}"/>
    <cellStyle name="40% - Accent4 8 2 5 3" xfId="29850" xr:uid="{00000000-0005-0000-0000-00004B7F0000}"/>
    <cellStyle name="40% - Accent4 8 2 6" xfId="12899" xr:uid="{00000000-0005-0000-0000-00004C7F0000}"/>
    <cellStyle name="40% - Accent4 8 2 6 2" xfId="35501" xr:uid="{00000000-0005-0000-0000-00004D7F0000}"/>
    <cellStyle name="40% - Accent4 8 2 7" xfId="24200" xr:uid="{00000000-0005-0000-0000-00004E7F0000}"/>
    <cellStyle name="40% - Accent4 8 3" xfId="966" xr:uid="{00000000-0005-0000-0000-00004F7F0000}"/>
    <cellStyle name="40% - Accent4 8 3 2" xfId="3030" xr:uid="{00000000-0005-0000-0000-0000507F0000}"/>
    <cellStyle name="40% - Accent4 8 3 2 2" xfId="6002" xr:uid="{00000000-0005-0000-0000-0000517F0000}"/>
    <cellStyle name="40% - Accent4 8 3 2 2 2" xfId="11652" xr:uid="{00000000-0005-0000-0000-0000527F0000}"/>
    <cellStyle name="40% - Accent4 8 3 2 2 2 2" xfId="22953" xr:uid="{00000000-0005-0000-0000-0000537F0000}"/>
    <cellStyle name="40% - Accent4 8 3 2 2 2 2 2" xfId="45555" xr:uid="{00000000-0005-0000-0000-0000547F0000}"/>
    <cellStyle name="40% - Accent4 8 3 2 2 2 3" xfId="34254" xr:uid="{00000000-0005-0000-0000-0000557F0000}"/>
    <cellStyle name="40% - Accent4 8 3 2 2 3" xfId="17303" xr:uid="{00000000-0005-0000-0000-0000567F0000}"/>
    <cellStyle name="40% - Accent4 8 3 2 2 3 2" xfId="39905" xr:uid="{00000000-0005-0000-0000-0000577F0000}"/>
    <cellStyle name="40% - Accent4 8 3 2 2 4" xfId="28604" xr:uid="{00000000-0005-0000-0000-0000587F0000}"/>
    <cellStyle name="40% - Accent4 8 3 2 3" xfId="8820" xr:uid="{00000000-0005-0000-0000-0000597F0000}"/>
    <cellStyle name="40% - Accent4 8 3 2 3 2" xfId="20121" xr:uid="{00000000-0005-0000-0000-00005A7F0000}"/>
    <cellStyle name="40% - Accent4 8 3 2 3 2 2" xfId="42723" xr:uid="{00000000-0005-0000-0000-00005B7F0000}"/>
    <cellStyle name="40% - Accent4 8 3 2 3 3" xfId="31422" xr:uid="{00000000-0005-0000-0000-00005C7F0000}"/>
    <cellStyle name="40% - Accent4 8 3 2 4" xfId="14471" xr:uid="{00000000-0005-0000-0000-00005D7F0000}"/>
    <cellStyle name="40% - Accent4 8 3 2 4 2" xfId="37073" xr:uid="{00000000-0005-0000-0000-00005E7F0000}"/>
    <cellStyle name="40% - Accent4 8 3 2 5" xfId="25772" xr:uid="{00000000-0005-0000-0000-00005F7F0000}"/>
    <cellStyle name="40% - Accent4 8 3 3" xfId="4768" xr:uid="{00000000-0005-0000-0000-0000607F0000}"/>
    <cellStyle name="40% - Accent4 8 3 3 2" xfId="10418" xr:uid="{00000000-0005-0000-0000-0000617F0000}"/>
    <cellStyle name="40% - Accent4 8 3 3 2 2" xfId="21719" xr:uid="{00000000-0005-0000-0000-0000627F0000}"/>
    <cellStyle name="40% - Accent4 8 3 3 2 2 2" xfId="44321" xr:uid="{00000000-0005-0000-0000-0000637F0000}"/>
    <cellStyle name="40% - Accent4 8 3 3 2 3" xfId="33020" xr:uid="{00000000-0005-0000-0000-0000647F0000}"/>
    <cellStyle name="40% - Accent4 8 3 3 3" xfId="16069" xr:uid="{00000000-0005-0000-0000-0000657F0000}"/>
    <cellStyle name="40% - Accent4 8 3 3 3 2" xfId="38671" xr:uid="{00000000-0005-0000-0000-0000667F0000}"/>
    <cellStyle name="40% - Accent4 8 3 3 4" xfId="27370" xr:uid="{00000000-0005-0000-0000-0000677F0000}"/>
    <cellStyle name="40% - Accent4 8 3 4" xfId="6955" xr:uid="{00000000-0005-0000-0000-0000687F0000}"/>
    <cellStyle name="40% - Accent4 8 3 4 2" xfId="18256" xr:uid="{00000000-0005-0000-0000-0000697F0000}"/>
    <cellStyle name="40% - Accent4 8 3 4 2 2" xfId="40858" xr:uid="{00000000-0005-0000-0000-00006A7F0000}"/>
    <cellStyle name="40% - Accent4 8 3 4 3" xfId="29557" xr:uid="{00000000-0005-0000-0000-00006B7F0000}"/>
    <cellStyle name="40% - Accent4 8 3 5" xfId="12606" xr:uid="{00000000-0005-0000-0000-00006C7F0000}"/>
    <cellStyle name="40% - Accent4 8 3 5 2" xfId="35208" xr:uid="{00000000-0005-0000-0000-00006D7F0000}"/>
    <cellStyle name="40% - Accent4 8 3 6" xfId="23907" xr:uid="{00000000-0005-0000-0000-00006E7F0000}"/>
    <cellStyle name="40% - Accent4 8 4" xfId="1984" xr:uid="{00000000-0005-0000-0000-00006F7F0000}"/>
    <cellStyle name="40% - Accent4 8 4 2" xfId="3792" xr:uid="{00000000-0005-0000-0000-0000707F0000}"/>
    <cellStyle name="40% - Accent4 8 4 2 2" xfId="9502" xr:uid="{00000000-0005-0000-0000-0000717F0000}"/>
    <cellStyle name="40% - Accent4 8 4 2 2 2" xfId="20803" xr:uid="{00000000-0005-0000-0000-0000727F0000}"/>
    <cellStyle name="40% - Accent4 8 4 2 2 2 2" xfId="43405" xr:uid="{00000000-0005-0000-0000-0000737F0000}"/>
    <cellStyle name="40% - Accent4 8 4 2 2 3" xfId="32104" xr:uid="{00000000-0005-0000-0000-0000747F0000}"/>
    <cellStyle name="40% - Accent4 8 4 2 3" xfId="15153" xr:uid="{00000000-0005-0000-0000-0000757F0000}"/>
    <cellStyle name="40% - Accent4 8 4 2 3 2" xfId="37755" xr:uid="{00000000-0005-0000-0000-0000767F0000}"/>
    <cellStyle name="40% - Accent4 8 4 2 4" xfId="26454" xr:uid="{00000000-0005-0000-0000-0000777F0000}"/>
    <cellStyle name="40% - Accent4 8 4 3" xfId="5378" xr:uid="{00000000-0005-0000-0000-0000787F0000}"/>
    <cellStyle name="40% - Accent4 8 4 3 2" xfId="11028" xr:uid="{00000000-0005-0000-0000-0000797F0000}"/>
    <cellStyle name="40% - Accent4 8 4 3 2 2" xfId="22329" xr:uid="{00000000-0005-0000-0000-00007A7F0000}"/>
    <cellStyle name="40% - Accent4 8 4 3 2 2 2" xfId="44931" xr:uid="{00000000-0005-0000-0000-00007B7F0000}"/>
    <cellStyle name="40% - Accent4 8 4 3 2 3" xfId="33630" xr:uid="{00000000-0005-0000-0000-00007C7F0000}"/>
    <cellStyle name="40% - Accent4 8 4 3 3" xfId="16679" xr:uid="{00000000-0005-0000-0000-00007D7F0000}"/>
    <cellStyle name="40% - Accent4 8 4 3 3 2" xfId="39281" xr:uid="{00000000-0005-0000-0000-00007E7F0000}"/>
    <cellStyle name="40% - Accent4 8 4 3 4" xfId="27980" xr:uid="{00000000-0005-0000-0000-00007F7F0000}"/>
    <cellStyle name="40% - Accent4 8 4 4" xfId="7840" xr:uid="{00000000-0005-0000-0000-0000807F0000}"/>
    <cellStyle name="40% - Accent4 8 4 4 2" xfId="19141" xr:uid="{00000000-0005-0000-0000-0000817F0000}"/>
    <cellStyle name="40% - Accent4 8 4 4 2 2" xfId="41743" xr:uid="{00000000-0005-0000-0000-0000827F0000}"/>
    <cellStyle name="40% - Accent4 8 4 4 3" xfId="30442" xr:uid="{00000000-0005-0000-0000-0000837F0000}"/>
    <cellStyle name="40% - Accent4 8 4 5" xfId="13491" xr:uid="{00000000-0005-0000-0000-0000847F0000}"/>
    <cellStyle name="40% - Accent4 8 4 5 2" xfId="36093" xr:uid="{00000000-0005-0000-0000-0000857F0000}"/>
    <cellStyle name="40% - Accent4 8 4 6" xfId="24792" xr:uid="{00000000-0005-0000-0000-0000867F0000}"/>
    <cellStyle name="40% - Accent4 8 5" xfId="2359" xr:uid="{00000000-0005-0000-0000-0000877F0000}"/>
    <cellStyle name="40% - Accent4 8 5 2" xfId="8195" xr:uid="{00000000-0005-0000-0000-0000887F0000}"/>
    <cellStyle name="40% - Accent4 8 5 2 2" xfId="19496" xr:uid="{00000000-0005-0000-0000-0000897F0000}"/>
    <cellStyle name="40% - Accent4 8 5 2 2 2" xfId="42098" xr:uid="{00000000-0005-0000-0000-00008A7F0000}"/>
    <cellStyle name="40% - Accent4 8 5 2 3" xfId="30797" xr:uid="{00000000-0005-0000-0000-00008B7F0000}"/>
    <cellStyle name="40% - Accent4 8 5 3" xfId="13846" xr:uid="{00000000-0005-0000-0000-00008C7F0000}"/>
    <cellStyle name="40% - Accent4 8 5 3 2" xfId="36448" xr:uid="{00000000-0005-0000-0000-00008D7F0000}"/>
    <cellStyle name="40% - Accent4 8 5 4" xfId="25147" xr:uid="{00000000-0005-0000-0000-00008E7F0000}"/>
    <cellStyle name="40% - Accent4 8 6" xfId="4144" xr:uid="{00000000-0005-0000-0000-00008F7F0000}"/>
    <cellStyle name="40% - Accent4 8 6 2" xfId="9794" xr:uid="{00000000-0005-0000-0000-0000907F0000}"/>
    <cellStyle name="40% - Accent4 8 6 2 2" xfId="21095" xr:uid="{00000000-0005-0000-0000-0000917F0000}"/>
    <cellStyle name="40% - Accent4 8 6 2 2 2" xfId="43697" xr:uid="{00000000-0005-0000-0000-0000927F0000}"/>
    <cellStyle name="40% - Accent4 8 6 2 3" xfId="32396" xr:uid="{00000000-0005-0000-0000-0000937F0000}"/>
    <cellStyle name="40% - Accent4 8 6 3" xfId="15445" xr:uid="{00000000-0005-0000-0000-0000947F0000}"/>
    <cellStyle name="40% - Accent4 8 6 3 2" xfId="38047" xr:uid="{00000000-0005-0000-0000-0000957F0000}"/>
    <cellStyle name="40% - Accent4 8 6 4" xfId="26746" xr:uid="{00000000-0005-0000-0000-0000967F0000}"/>
    <cellStyle name="40% - Accent4 8 7" xfId="6595" xr:uid="{00000000-0005-0000-0000-0000977F0000}"/>
    <cellStyle name="40% - Accent4 8 7 2" xfId="17896" xr:uid="{00000000-0005-0000-0000-0000987F0000}"/>
    <cellStyle name="40% - Accent4 8 7 2 2" xfId="40498" xr:uid="{00000000-0005-0000-0000-0000997F0000}"/>
    <cellStyle name="40% - Accent4 8 7 3" xfId="29197" xr:uid="{00000000-0005-0000-0000-00009A7F0000}"/>
    <cellStyle name="40% - Accent4 8 8" xfId="12246" xr:uid="{00000000-0005-0000-0000-00009B7F0000}"/>
    <cellStyle name="40% - Accent4 8 8 2" xfId="34848" xr:uid="{00000000-0005-0000-0000-00009C7F0000}"/>
    <cellStyle name="40% - Accent4 8 9" xfId="23547" xr:uid="{00000000-0005-0000-0000-00009D7F0000}"/>
    <cellStyle name="40% - Accent4 9" xfId="700" xr:uid="{00000000-0005-0000-0000-00009E7F0000}"/>
    <cellStyle name="40% - Accent4 9 2" xfId="761" xr:uid="{00000000-0005-0000-0000-00009F7F0000}"/>
    <cellStyle name="40% - Accent4 9 2 2" xfId="3170" xr:uid="{00000000-0005-0000-0000-0000A07F0000}"/>
    <cellStyle name="40% - Accent4 9 2 2 2" xfId="6142" xr:uid="{00000000-0005-0000-0000-0000A17F0000}"/>
    <cellStyle name="40% - Accent4 9 2 2 2 2" xfId="11792" xr:uid="{00000000-0005-0000-0000-0000A27F0000}"/>
    <cellStyle name="40% - Accent4 9 2 2 2 2 2" xfId="23093" xr:uid="{00000000-0005-0000-0000-0000A37F0000}"/>
    <cellStyle name="40% - Accent4 9 2 2 2 2 2 2" xfId="45695" xr:uid="{00000000-0005-0000-0000-0000A47F0000}"/>
    <cellStyle name="40% - Accent4 9 2 2 2 2 3" xfId="34394" xr:uid="{00000000-0005-0000-0000-0000A57F0000}"/>
    <cellStyle name="40% - Accent4 9 2 2 2 3" xfId="17443" xr:uid="{00000000-0005-0000-0000-0000A67F0000}"/>
    <cellStyle name="40% - Accent4 9 2 2 2 3 2" xfId="40045" xr:uid="{00000000-0005-0000-0000-0000A77F0000}"/>
    <cellStyle name="40% - Accent4 9 2 2 2 4" xfId="28744" xr:uid="{00000000-0005-0000-0000-0000A87F0000}"/>
    <cellStyle name="40% - Accent4 9 2 2 3" xfId="8960" xr:uid="{00000000-0005-0000-0000-0000A97F0000}"/>
    <cellStyle name="40% - Accent4 9 2 2 3 2" xfId="20261" xr:uid="{00000000-0005-0000-0000-0000AA7F0000}"/>
    <cellStyle name="40% - Accent4 9 2 2 3 2 2" xfId="42863" xr:uid="{00000000-0005-0000-0000-0000AB7F0000}"/>
    <cellStyle name="40% - Accent4 9 2 2 3 3" xfId="31562" xr:uid="{00000000-0005-0000-0000-0000AC7F0000}"/>
    <cellStyle name="40% - Accent4 9 2 2 4" xfId="14611" xr:uid="{00000000-0005-0000-0000-0000AD7F0000}"/>
    <cellStyle name="40% - Accent4 9 2 2 4 2" xfId="37213" xr:uid="{00000000-0005-0000-0000-0000AE7F0000}"/>
    <cellStyle name="40% - Accent4 9 2 2 5" xfId="25912" xr:uid="{00000000-0005-0000-0000-0000AF7F0000}"/>
    <cellStyle name="40% - Accent4 9 2 3" xfId="4908" xr:uid="{00000000-0005-0000-0000-0000B07F0000}"/>
    <cellStyle name="40% - Accent4 9 2 3 2" xfId="10558" xr:uid="{00000000-0005-0000-0000-0000B17F0000}"/>
    <cellStyle name="40% - Accent4 9 2 3 2 2" xfId="21859" xr:uid="{00000000-0005-0000-0000-0000B27F0000}"/>
    <cellStyle name="40% - Accent4 9 2 3 2 2 2" xfId="44461" xr:uid="{00000000-0005-0000-0000-0000B37F0000}"/>
    <cellStyle name="40% - Accent4 9 2 3 2 3" xfId="33160" xr:uid="{00000000-0005-0000-0000-0000B47F0000}"/>
    <cellStyle name="40% - Accent4 9 2 3 3" xfId="16209" xr:uid="{00000000-0005-0000-0000-0000B57F0000}"/>
    <cellStyle name="40% - Accent4 9 2 3 3 2" xfId="38811" xr:uid="{00000000-0005-0000-0000-0000B67F0000}"/>
    <cellStyle name="40% - Accent4 9 2 3 4" xfId="27510" xr:uid="{00000000-0005-0000-0000-0000B77F0000}"/>
    <cellStyle name="40% - Accent4 9 2 4" xfId="6784" xr:uid="{00000000-0005-0000-0000-0000B87F0000}"/>
    <cellStyle name="40% - Accent4 9 2 4 2" xfId="18085" xr:uid="{00000000-0005-0000-0000-0000B97F0000}"/>
    <cellStyle name="40% - Accent4 9 2 4 2 2" xfId="40687" xr:uid="{00000000-0005-0000-0000-0000BA7F0000}"/>
    <cellStyle name="40% - Accent4 9 2 4 3" xfId="29386" xr:uid="{00000000-0005-0000-0000-0000BB7F0000}"/>
    <cellStyle name="40% - Accent4 9 2 5" xfId="12435" xr:uid="{00000000-0005-0000-0000-0000BC7F0000}"/>
    <cellStyle name="40% - Accent4 9 2 5 2" xfId="35037" xr:uid="{00000000-0005-0000-0000-0000BD7F0000}"/>
    <cellStyle name="40% - Accent4 9 2 6" xfId="23736" xr:uid="{00000000-0005-0000-0000-0000BE7F0000}"/>
    <cellStyle name="40% - Accent4 9 3" xfId="1986" xr:uid="{00000000-0005-0000-0000-0000BF7F0000}"/>
    <cellStyle name="40% - Accent4 9 3 2" xfId="3793" xr:uid="{00000000-0005-0000-0000-0000C07F0000}"/>
    <cellStyle name="40% - Accent4 9 3 2 2" xfId="9503" xr:uid="{00000000-0005-0000-0000-0000C17F0000}"/>
    <cellStyle name="40% - Accent4 9 3 2 2 2" xfId="20804" xr:uid="{00000000-0005-0000-0000-0000C27F0000}"/>
    <cellStyle name="40% - Accent4 9 3 2 2 2 2" xfId="43406" xr:uid="{00000000-0005-0000-0000-0000C37F0000}"/>
    <cellStyle name="40% - Accent4 9 3 2 2 3" xfId="32105" xr:uid="{00000000-0005-0000-0000-0000C47F0000}"/>
    <cellStyle name="40% - Accent4 9 3 2 3" xfId="15154" xr:uid="{00000000-0005-0000-0000-0000C57F0000}"/>
    <cellStyle name="40% - Accent4 9 3 2 3 2" xfId="37756" xr:uid="{00000000-0005-0000-0000-0000C67F0000}"/>
    <cellStyle name="40% - Accent4 9 3 2 4" xfId="26455" xr:uid="{00000000-0005-0000-0000-0000C77F0000}"/>
    <cellStyle name="40% - Accent4 9 3 3" xfId="5518" xr:uid="{00000000-0005-0000-0000-0000C87F0000}"/>
    <cellStyle name="40% - Accent4 9 3 3 2" xfId="11168" xr:uid="{00000000-0005-0000-0000-0000C97F0000}"/>
    <cellStyle name="40% - Accent4 9 3 3 2 2" xfId="22469" xr:uid="{00000000-0005-0000-0000-0000CA7F0000}"/>
    <cellStyle name="40% - Accent4 9 3 3 2 2 2" xfId="45071" xr:uid="{00000000-0005-0000-0000-0000CB7F0000}"/>
    <cellStyle name="40% - Accent4 9 3 3 2 3" xfId="33770" xr:uid="{00000000-0005-0000-0000-0000CC7F0000}"/>
    <cellStyle name="40% - Accent4 9 3 3 3" xfId="16819" xr:uid="{00000000-0005-0000-0000-0000CD7F0000}"/>
    <cellStyle name="40% - Accent4 9 3 3 3 2" xfId="39421" xr:uid="{00000000-0005-0000-0000-0000CE7F0000}"/>
    <cellStyle name="40% - Accent4 9 3 3 4" xfId="28120" xr:uid="{00000000-0005-0000-0000-0000CF7F0000}"/>
    <cellStyle name="40% - Accent4 9 3 4" xfId="7842" xr:uid="{00000000-0005-0000-0000-0000D07F0000}"/>
    <cellStyle name="40% - Accent4 9 3 4 2" xfId="19143" xr:uid="{00000000-0005-0000-0000-0000D17F0000}"/>
    <cellStyle name="40% - Accent4 9 3 4 2 2" xfId="41745" xr:uid="{00000000-0005-0000-0000-0000D27F0000}"/>
    <cellStyle name="40% - Accent4 9 3 4 3" xfId="30444" xr:uid="{00000000-0005-0000-0000-0000D37F0000}"/>
    <cellStyle name="40% - Accent4 9 3 5" xfId="13493" xr:uid="{00000000-0005-0000-0000-0000D47F0000}"/>
    <cellStyle name="40% - Accent4 9 3 5 2" xfId="36095" xr:uid="{00000000-0005-0000-0000-0000D57F0000}"/>
    <cellStyle name="40% - Accent4 9 3 6" xfId="24794" xr:uid="{00000000-0005-0000-0000-0000D67F0000}"/>
    <cellStyle name="40% - Accent4 9 4" xfId="2499" xr:uid="{00000000-0005-0000-0000-0000D77F0000}"/>
    <cellStyle name="40% - Accent4 9 4 2" xfId="8335" xr:uid="{00000000-0005-0000-0000-0000D87F0000}"/>
    <cellStyle name="40% - Accent4 9 4 2 2" xfId="19636" xr:uid="{00000000-0005-0000-0000-0000D97F0000}"/>
    <cellStyle name="40% - Accent4 9 4 2 2 2" xfId="42238" xr:uid="{00000000-0005-0000-0000-0000DA7F0000}"/>
    <cellStyle name="40% - Accent4 9 4 2 3" xfId="30937" xr:uid="{00000000-0005-0000-0000-0000DB7F0000}"/>
    <cellStyle name="40% - Accent4 9 4 3" xfId="13986" xr:uid="{00000000-0005-0000-0000-0000DC7F0000}"/>
    <cellStyle name="40% - Accent4 9 4 3 2" xfId="36588" xr:uid="{00000000-0005-0000-0000-0000DD7F0000}"/>
    <cellStyle name="40% - Accent4 9 4 4" xfId="25287" xr:uid="{00000000-0005-0000-0000-0000DE7F0000}"/>
    <cellStyle name="40% - Accent4 9 5" xfId="4284" xr:uid="{00000000-0005-0000-0000-0000DF7F0000}"/>
    <cellStyle name="40% - Accent4 9 5 2" xfId="9934" xr:uid="{00000000-0005-0000-0000-0000E07F0000}"/>
    <cellStyle name="40% - Accent4 9 5 2 2" xfId="21235" xr:uid="{00000000-0005-0000-0000-0000E17F0000}"/>
    <cellStyle name="40% - Accent4 9 5 2 2 2" xfId="43837" xr:uid="{00000000-0005-0000-0000-0000E27F0000}"/>
    <cellStyle name="40% - Accent4 9 5 2 3" xfId="32536" xr:uid="{00000000-0005-0000-0000-0000E37F0000}"/>
    <cellStyle name="40% - Accent4 9 5 3" xfId="15585" xr:uid="{00000000-0005-0000-0000-0000E47F0000}"/>
    <cellStyle name="40% - Accent4 9 5 3 2" xfId="38187" xr:uid="{00000000-0005-0000-0000-0000E57F0000}"/>
    <cellStyle name="40% - Accent4 9 5 4" xfId="26886" xr:uid="{00000000-0005-0000-0000-0000E67F0000}"/>
    <cellStyle name="40% - Accent4 9 6" xfId="6763" xr:uid="{00000000-0005-0000-0000-0000E77F0000}"/>
    <cellStyle name="40% - Accent4 9 6 2" xfId="18064" xr:uid="{00000000-0005-0000-0000-0000E87F0000}"/>
    <cellStyle name="40% - Accent4 9 6 2 2" xfId="40666" xr:uid="{00000000-0005-0000-0000-0000E97F0000}"/>
    <cellStyle name="40% - Accent4 9 6 3" xfId="29365" xr:uid="{00000000-0005-0000-0000-0000EA7F0000}"/>
    <cellStyle name="40% - Accent4 9 7" xfId="12414" xr:uid="{00000000-0005-0000-0000-0000EB7F0000}"/>
    <cellStyle name="40% - Accent4 9 7 2" xfId="35016" xr:uid="{00000000-0005-0000-0000-0000EC7F0000}"/>
    <cellStyle name="40% - Accent4 9 8" xfId="23715" xr:uid="{00000000-0005-0000-0000-0000ED7F0000}"/>
    <cellStyle name="40% - Accent5" xfId="36" builtinId="47" customBuiltin="1"/>
    <cellStyle name="40% - Accent5 10" xfId="1484" xr:uid="{00000000-0005-0000-0000-0000EF7F0000}"/>
    <cellStyle name="40% - Accent5 10 2" xfId="1987" xr:uid="{00000000-0005-0000-0000-0000F07F0000}"/>
    <cellStyle name="40% - Accent5 10 2 2" xfId="3473" xr:uid="{00000000-0005-0000-0000-0000F17F0000}"/>
    <cellStyle name="40% - Accent5 10 2 2 2" xfId="6445" xr:uid="{00000000-0005-0000-0000-0000F27F0000}"/>
    <cellStyle name="40% - Accent5 10 2 2 2 2" xfId="12095" xr:uid="{00000000-0005-0000-0000-0000F37F0000}"/>
    <cellStyle name="40% - Accent5 10 2 2 2 2 2" xfId="23396" xr:uid="{00000000-0005-0000-0000-0000F47F0000}"/>
    <cellStyle name="40% - Accent5 10 2 2 2 2 2 2" xfId="45998" xr:uid="{00000000-0005-0000-0000-0000F57F0000}"/>
    <cellStyle name="40% - Accent5 10 2 2 2 2 3" xfId="34697" xr:uid="{00000000-0005-0000-0000-0000F67F0000}"/>
    <cellStyle name="40% - Accent5 10 2 2 2 3" xfId="17746" xr:uid="{00000000-0005-0000-0000-0000F77F0000}"/>
    <cellStyle name="40% - Accent5 10 2 2 2 3 2" xfId="40348" xr:uid="{00000000-0005-0000-0000-0000F87F0000}"/>
    <cellStyle name="40% - Accent5 10 2 2 2 4" xfId="29047" xr:uid="{00000000-0005-0000-0000-0000F97F0000}"/>
    <cellStyle name="40% - Accent5 10 2 2 3" xfId="9263" xr:uid="{00000000-0005-0000-0000-0000FA7F0000}"/>
    <cellStyle name="40% - Accent5 10 2 2 3 2" xfId="20564" xr:uid="{00000000-0005-0000-0000-0000FB7F0000}"/>
    <cellStyle name="40% - Accent5 10 2 2 3 2 2" xfId="43166" xr:uid="{00000000-0005-0000-0000-0000FC7F0000}"/>
    <cellStyle name="40% - Accent5 10 2 2 3 3" xfId="31865" xr:uid="{00000000-0005-0000-0000-0000FD7F0000}"/>
    <cellStyle name="40% - Accent5 10 2 2 4" xfId="14914" xr:uid="{00000000-0005-0000-0000-0000FE7F0000}"/>
    <cellStyle name="40% - Accent5 10 2 2 4 2" xfId="37516" xr:uid="{00000000-0005-0000-0000-0000FF7F0000}"/>
    <cellStyle name="40% - Accent5 10 2 2 5" xfId="26215" xr:uid="{00000000-0005-0000-0000-000000800000}"/>
    <cellStyle name="40% - Accent5 10 2 3" xfId="5211" xr:uid="{00000000-0005-0000-0000-000001800000}"/>
    <cellStyle name="40% - Accent5 10 2 3 2" xfId="10861" xr:uid="{00000000-0005-0000-0000-000002800000}"/>
    <cellStyle name="40% - Accent5 10 2 3 2 2" xfId="22162" xr:uid="{00000000-0005-0000-0000-000003800000}"/>
    <cellStyle name="40% - Accent5 10 2 3 2 2 2" xfId="44764" xr:uid="{00000000-0005-0000-0000-000004800000}"/>
    <cellStyle name="40% - Accent5 10 2 3 2 3" xfId="33463" xr:uid="{00000000-0005-0000-0000-000005800000}"/>
    <cellStyle name="40% - Accent5 10 2 3 3" xfId="16512" xr:uid="{00000000-0005-0000-0000-000006800000}"/>
    <cellStyle name="40% - Accent5 10 2 3 3 2" xfId="39114" xr:uid="{00000000-0005-0000-0000-000007800000}"/>
    <cellStyle name="40% - Accent5 10 2 3 4" xfId="27813" xr:uid="{00000000-0005-0000-0000-000008800000}"/>
    <cellStyle name="40% - Accent5 10 2 4" xfId="7843" xr:uid="{00000000-0005-0000-0000-000009800000}"/>
    <cellStyle name="40% - Accent5 10 2 4 2" xfId="19144" xr:uid="{00000000-0005-0000-0000-00000A800000}"/>
    <cellStyle name="40% - Accent5 10 2 4 2 2" xfId="41746" xr:uid="{00000000-0005-0000-0000-00000B800000}"/>
    <cellStyle name="40% - Accent5 10 2 4 3" xfId="30445" xr:uid="{00000000-0005-0000-0000-00000C800000}"/>
    <cellStyle name="40% - Accent5 10 2 5" xfId="13494" xr:uid="{00000000-0005-0000-0000-00000D800000}"/>
    <cellStyle name="40% - Accent5 10 2 5 2" xfId="36096" xr:uid="{00000000-0005-0000-0000-00000E800000}"/>
    <cellStyle name="40% - Accent5 10 2 6" xfId="24795" xr:uid="{00000000-0005-0000-0000-00000F800000}"/>
    <cellStyle name="40% - Accent5 10 3" xfId="2804" xr:uid="{00000000-0005-0000-0000-000010800000}"/>
    <cellStyle name="40% - Accent5 10 3 2" xfId="5821" xr:uid="{00000000-0005-0000-0000-000011800000}"/>
    <cellStyle name="40% - Accent5 10 3 2 2" xfId="11471" xr:uid="{00000000-0005-0000-0000-000012800000}"/>
    <cellStyle name="40% - Accent5 10 3 2 2 2" xfId="22772" xr:uid="{00000000-0005-0000-0000-000013800000}"/>
    <cellStyle name="40% - Accent5 10 3 2 2 2 2" xfId="45374" xr:uid="{00000000-0005-0000-0000-000014800000}"/>
    <cellStyle name="40% - Accent5 10 3 2 2 3" xfId="34073" xr:uid="{00000000-0005-0000-0000-000015800000}"/>
    <cellStyle name="40% - Accent5 10 3 2 3" xfId="17122" xr:uid="{00000000-0005-0000-0000-000016800000}"/>
    <cellStyle name="40% - Accent5 10 3 2 3 2" xfId="39724" xr:uid="{00000000-0005-0000-0000-000017800000}"/>
    <cellStyle name="40% - Accent5 10 3 2 4" xfId="28423" xr:uid="{00000000-0005-0000-0000-000018800000}"/>
    <cellStyle name="40% - Accent5 10 3 3" xfId="8638" xr:uid="{00000000-0005-0000-0000-000019800000}"/>
    <cellStyle name="40% - Accent5 10 3 3 2" xfId="19939" xr:uid="{00000000-0005-0000-0000-00001A800000}"/>
    <cellStyle name="40% - Accent5 10 3 3 2 2" xfId="42541" xr:uid="{00000000-0005-0000-0000-00001B800000}"/>
    <cellStyle name="40% - Accent5 10 3 3 3" xfId="31240" xr:uid="{00000000-0005-0000-0000-00001C800000}"/>
    <cellStyle name="40% - Accent5 10 3 4" xfId="14289" xr:uid="{00000000-0005-0000-0000-00001D800000}"/>
    <cellStyle name="40% - Accent5 10 3 4 2" xfId="36891" xr:uid="{00000000-0005-0000-0000-00001E800000}"/>
    <cellStyle name="40% - Accent5 10 3 5" xfId="25590" xr:uid="{00000000-0005-0000-0000-00001F800000}"/>
    <cellStyle name="40% - Accent5 10 4" xfId="4587" xr:uid="{00000000-0005-0000-0000-000020800000}"/>
    <cellStyle name="40% - Accent5 10 4 2" xfId="10237" xr:uid="{00000000-0005-0000-0000-000021800000}"/>
    <cellStyle name="40% - Accent5 10 4 2 2" xfId="21538" xr:uid="{00000000-0005-0000-0000-000022800000}"/>
    <cellStyle name="40% - Accent5 10 4 2 2 2" xfId="44140" xr:uid="{00000000-0005-0000-0000-000023800000}"/>
    <cellStyle name="40% - Accent5 10 4 2 3" xfId="32839" xr:uid="{00000000-0005-0000-0000-000024800000}"/>
    <cellStyle name="40% - Accent5 10 4 3" xfId="15888" xr:uid="{00000000-0005-0000-0000-000025800000}"/>
    <cellStyle name="40% - Accent5 10 4 3 2" xfId="38490" xr:uid="{00000000-0005-0000-0000-000026800000}"/>
    <cellStyle name="40% - Accent5 10 4 4" xfId="27189" xr:uid="{00000000-0005-0000-0000-000027800000}"/>
    <cellStyle name="40% - Accent5 10 5" xfId="7387" xr:uid="{00000000-0005-0000-0000-000028800000}"/>
    <cellStyle name="40% - Accent5 10 5 2" xfId="18688" xr:uid="{00000000-0005-0000-0000-000029800000}"/>
    <cellStyle name="40% - Accent5 10 5 2 2" xfId="41290" xr:uid="{00000000-0005-0000-0000-00002A800000}"/>
    <cellStyle name="40% - Accent5 10 5 3" xfId="29989" xr:uid="{00000000-0005-0000-0000-00002B800000}"/>
    <cellStyle name="40% - Accent5 10 6" xfId="13038" xr:uid="{00000000-0005-0000-0000-00002C800000}"/>
    <cellStyle name="40% - Accent5 10 6 2" xfId="35640" xr:uid="{00000000-0005-0000-0000-00002D800000}"/>
    <cellStyle name="40% - Accent5 10 7" xfId="24339" xr:uid="{00000000-0005-0000-0000-00002E800000}"/>
    <cellStyle name="40% - Accent5 11" xfId="1472" xr:uid="{00000000-0005-0000-0000-00002F800000}"/>
    <cellStyle name="40% - Accent5 11 2" xfId="1988" xr:uid="{00000000-0005-0000-0000-000030800000}"/>
    <cellStyle name="40% - Accent5 11 2 2" xfId="3794" xr:uid="{00000000-0005-0000-0000-000031800000}"/>
    <cellStyle name="40% - Accent5 11 2 2 2" xfId="9504" xr:uid="{00000000-0005-0000-0000-000032800000}"/>
    <cellStyle name="40% - Accent5 11 2 2 2 2" xfId="20805" xr:uid="{00000000-0005-0000-0000-000033800000}"/>
    <cellStyle name="40% - Accent5 11 2 2 2 2 2" xfId="43407" xr:uid="{00000000-0005-0000-0000-000034800000}"/>
    <cellStyle name="40% - Accent5 11 2 2 2 3" xfId="32106" xr:uid="{00000000-0005-0000-0000-000035800000}"/>
    <cellStyle name="40% - Accent5 11 2 2 3" xfId="15155" xr:uid="{00000000-0005-0000-0000-000036800000}"/>
    <cellStyle name="40% - Accent5 11 2 2 3 2" xfId="37757" xr:uid="{00000000-0005-0000-0000-000037800000}"/>
    <cellStyle name="40% - Accent5 11 2 2 4" xfId="26456" xr:uid="{00000000-0005-0000-0000-000038800000}"/>
    <cellStyle name="40% - Accent5 11 2 3" xfId="7844" xr:uid="{00000000-0005-0000-0000-000039800000}"/>
    <cellStyle name="40% - Accent5 11 2 3 2" xfId="19145" xr:uid="{00000000-0005-0000-0000-00003A800000}"/>
    <cellStyle name="40% - Accent5 11 2 3 2 2" xfId="41747" xr:uid="{00000000-0005-0000-0000-00003B800000}"/>
    <cellStyle name="40% - Accent5 11 2 3 3" xfId="30446" xr:uid="{00000000-0005-0000-0000-00003C800000}"/>
    <cellStyle name="40% - Accent5 11 2 4" xfId="13495" xr:uid="{00000000-0005-0000-0000-00003D800000}"/>
    <cellStyle name="40% - Accent5 11 2 4 2" xfId="36097" xr:uid="{00000000-0005-0000-0000-00003E800000}"/>
    <cellStyle name="40% - Accent5 11 2 5" xfId="24796" xr:uid="{00000000-0005-0000-0000-00003F800000}"/>
    <cellStyle name="40% - Accent5 11 3" xfId="2183" xr:uid="{00000000-0005-0000-0000-000040800000}"/>
    <cellStyle name="40% - Accent5 11 3 2" xfId="8027" xr:uid="{00000000-0005-0000-0000-000041800000}"/>
    <cellStyle name="40% - Accent5 11 3 2 2" xfId="19328" xr:uid="{00000000-0005-0000-0000-000042800000}"/>
    <cellStyle name="40% - Accent5 11 3 2 2 2" xfId="41930" xr:uid="{00000000-0005-0000-0000-000043800000}"/>
    <cellStyle name="40% - Accent5 11 3 2 3" xfId="30629" xr:uid="{00000000-0005-0000-0000-000044800000}"/>
    <cellStyle name="40% - Accent5 11 3 3" xfId="13678" xr:uid="{00000000-0005-0000-0000-000045800000}"/>
    <cellStyle name="40% - Accent5 11 3 3 2" xfId="36280" xr:uid="{00000000-0005-0000-0000-000046800000}"/>
    <cellStyle name="40% - Accent5 11 3 4" xfId="24979" xr:uid="{00000000-0005-0000-0000-000047800000}"/>
    <cellStyle name="40% - Accent5 11 4" xfId="3979" xr:uid="{00000000-0005-0000-0000-000048800000}"/>
    <cellStyle name="40% - Accent5 11 4 2" xfId="9629" xr:uid="{00000000-0005-0000-0000-000049800000}"/>
    <cellStyle name="40% - Accent5 11 4 2 2" xfId="20930" xr:uid="{00000000-0005-0000-0000-00004A800000}"/>
    <cellStyle name="40% - Accent5 11 4 2 2 2" xfId="43532" xr:uid="{00000000-0005-0000-0000-00004B800000}"/>
    <cellStyle name="40% - Accent5 11 4 2 3" xfId="32231" xr:uid="{00000000-0005-0000-0000-00004C800000}"/>
    <cellStyle name="40% - Accent5 11 4 3" xfId="15280" xr:uid="{00000000-0005-0000-0000-00004D800000}"/>
    <cellStyle name="40% - Accent5 11 4 3 2" xfId="37882" xr:uid="{00000000-0005-0000-0000-00004E800000}"/>
    <cellStyle name="40% - Accent5 11 4 4" xfId="26581" xr:uid="{00000000-0005-0000-0000-00004F800000}"/>
    <cellStyle name="40% - Accent5 11 5" xfId="7384" xr:uid="{00000000-0005-0000-0000-000050800000}"/>
    <cellStyle name="40% - Accent5 11 5 2" xfId="18685" xr:uid="{00000000-0005-0000-0000-000051800000}"/>
    <cellStyle name="40% - Accent5 11 5 2 2" xfId="41287" xr:uid="{00000000-0005-0000-0000-000052800000}"/>
    <cellStyle name="40% - Accent5 11 5 3" xfId="29986" xr:uid="{00000000-0005-0000-0000-000053800000}"/>
    <cellStyle name="40% - Accent5 11 6" xfId="13035" xr:uid="{00000000-0005-0000-0000-000054800000}"/>
    <cellStyle name="40% - Accent5 11 6 2" xfId="35637" xr:uid="{00000000-0005-0000-0000-000055800000}"/>
    <cellStyle name="40% - Accent5 11 7" xfId="24336" xr:uid="{00000000-0005-0000-0000-000056800000}"/>
    <cellStyle name="40% - Accent5 12" xfId="829" xr:uid="{00000000-0005-0000-0000-000057800000}"/>
    <cellStyle name="40% - Accent5 12 2" xfId="3932" xr:uid="{00000000-0005-0000-0000-000058800000}"/>
    <cellStyle name="40% - Accent5 12 2 2" xfId="9609" xr:uid="{00000000-0005-0000-0000-000059800000}"/>
    <cellStyle name="40% - Accent5 12 2 2 2" xfId="20910" xr:uid="{00000000-0005-0000-0000-00005A800000}"/>
    <cellStyle name="40% - Accent5 12 2 2 2 2" xfId="43512" xr:uid="{00000000-0005-0000-0000-00005B800000}"/>
    <cellStyle name="40% - Accent5 12 2 2 3" xfId="32211" xr:uid="{00000000-0005-0000-0000-00005C800000}"/>
    <cellStyle name="40% - Accent5 12 2 3" xfId="15260" xr:uid="{00000000-0005-0000-0000-00005D800000}"/>
    <cellStyle name="40% - Accent5 12 2 3 2" xfId="37862" xr:uid="{00000000-0005-0000-0000-00005E800000}"/>
    <cellStyle name="40% - Accent5 12 2 4" xfId="26561" xr:uid="{00000000-0005-0000-0000-00005F800000}"/>
    <cellStyle name="40% - Accent5 13" xfId="3554" xr:uid="{00000000-0005-0000-0000-000060800000}"/>
    <cellStyle name="40% - Accent5 14" xfId="113" xr:uid="{00000000-0005-0000-0000-000061800000}"/>
    <cellStyle name="40% - Accent5 2" xfId="55" xr:uid="{00000000-0005-0000-0000-000062800000}"/>
    <cellStyle name="40% - Accent5 2 2" xfId="328" xr:uid="{00000000-0005-0000-0000-000063800000}"/>
    <cellStyle name="40% - Accent5 2 2 10" xfId="23446" xr:uid="{00000000-0005-0000-0000-000064800000}"/>
    <cellStyle name="40% - Accent5 2 2 2" xfId="596" xr:uid="{00000000-0005-0000-0000-000065800000}"/>
    <cellStyle name="40% - Accent5 2 2 2 2" xfId="1306" xr:uid="{00000000-0005-0000-0000-000066800000}"/>
    <cellStyle name="40% - Accent5 2 2 2 2 2" xfId="1991" xr:uid="{00000000-0005-0000-0000-000067800000}"/>
    <cellStyle name="40% - Accent5 2 2 2 2 2 2" xfId="3375" xr:uid="{00000000-0005-0000-0000-000068800000}"/>
    <cellStyle name="40% - Accent5 2 2 2 2 2 2 2" xfId="6347" xr:uid="{00000000-0005-0000-0000-000069800000}"/>
    <cellStyle name="40% - Accent5 2 2 2 2 2 2 2 2" xfId="11997" xr:uid="{00000000-0005-0000-0000-00006A800000}"/>
    <cellStyle name="40% - Accent5 2 2 2 2 2 2 2 2 2" xfId="23298" xr:uid="{00000000-0005-0000-0000-00006B800000}"/>
    <cellStyle name="40% - Accent5 2 2 2 2 2 2 2 2 2 2" xfId="45900" xr:uid="{00000000-0005-0000-0000-00006C800000}"/>
    <cellStyle name="40% - Accent5 2 2 2 2 2 2 2 2 3" xfId="34599" xr:uid="{00000000-0005-0000-0000-00006D800000}"/>
    <cellStyle name="40% - Accent5 2 2 2 2 2 2 2 3" xfId="17648" xr:uid="{00000000-0005-0000-0000-00006E800000}"/>
    <cellStyle name="40% - Accent5 2 2 2 2 2 2 2 3 2" xfId="40250" xr:uid="{00000000-0005-0000-0000-00006F800000}"/>
    <cellStyle name="40% - Accent5 2 2 2 2 2 2 2 4" xfId="28949" xr:uid="{00000000-0005-0000-0000-000070800000}"/>
    <cellStyle name="40% - Accent5 2 2 2 2 2 2 3" xfId="9165" xr:uid="{00000000-0005-0000-0000-000071800000}"/>
    <cellStyle name="40% - Accent5 2 2 2 2 2 2 3 2" xfId="20466" xr:uid="{00000000-0005-0000-0000-000072800000}"/>
    <cellStyle name="40% - Accent5 2 2 2 2 2 2 3 2 2" xfId="43068" xr:uid="{00000000-0005-0000-0000-000073800000}"/>
    <cellStyle name="40% - Accent5 2 2 2 2 2 2 3 3" xfId="31767" xr:uid="{00000000-0005-0000-0000-000074800000}"/>
    <cellStyle name="40% - Accent5 2 2 2 2 2 2 4" xfId="14816" xr:uid="{00000000-0005-0000-0000-000075800000}"/>
    <cellStyle name="40% - Accent5 2 2 2 2 2 2 4 2" xfId="37418" xr:uid="{00000000-0005-0000-0000-000076800000}"/>
    <cellStyle name="40% - Accent5 2 2 2 2 2 2 5" xfId="26117" xr:uid="{00000000-0005-0000-0000-000077800000}"/>
    <cellStyle name="40% - Accent5 2 2 2 2 2 3" xfId="5113" xr:uid="{00000000-0005-0000-0000-000078800000}"/>
    <cellStyle name="40% - Accent5 2 2 2 2 2 3 2" xfId="10763" xr:uid="{00000000-0005-0000-0000-000079800000}"/>
    <cellStyle name="40% - Accent5 2 2 2 2 2 3 2 2" xfId="22064" xr:uid="{00000000-0005-0000-0000-00007A800000}"/>
    <cellStyle name="40% - Accent5 2 2 2 2 2 3 2 2 2" xfId="44666" xr:uid="{00000000-0005-0000-0000-00007B800000}"/>
    <cellStyle name="40% - Accent5 2 2 2 2 2 3 2 3" xfId="33365" xr:uid="{00000000-0005-0000-0000-00007C800000}"/>
    <cellStyle name="40% - Accent5 2 2 2 2 2 3 3" xfId="16414" xr:uid="{00000000-0005-0000-0000-00007D800000}"/>
    <cellStyle name="40% - Accent5 2 2 2 2 2 3 3 2" xfId="39016" xr:uid="{00000000-0005-0000-0000-00007E800000}"/>
    <cellStyle name="40% - Accent5 2 2 2 2 2 3 4" xfId="27715" xr:uid="{00000000-0005-0000-0000-00007F800000}"/>
    <cellStyle name="40% - Accent5 2 2 2 2 2 4" xfId="7847" xr:uid="{00000000-0005-0000-0000-000080800000}"/>
    <cellStyle name="40% - Accent5 2 2 2 2 2 4 2" xfId="19148" xr:uid="{00000000-0005-0000-0000-000081800000}"/>
    <cellStyle name="40% - Accent5 2 2 2 2 2 4 2 2" xfId="41750" xr:uid="{00000000-0005-0000-0000-000082800000}"/>
    <cellStyle name="40% - Accent5 2 2 2 2 2 4 3" xfId="30449" xr:uid="{00000000-0005-0000-0000-000083800000}"/>
    <cellStyle name="40% - Accent5 2 2 2 2 2 5" xfId="13498" xr:uid="{00000000-0005-0000-0000-000084800000}"/>
    <cellStyle name="40% - Accent5 2 2 2 2 2 5 2" xfId="36100" xr:uid="{00000000-0005-0000-0000-000085800000}"/>
    <cellStyle name="40% - Accent5 2 2 2 2 2 6" xfId="24799" xr:uid="{00000000-0005-0000-0000-000086800000}"/>
    <cellStyle name="40% - Accent5 2 2 2 2 3" xfId="2704" xr:uid="{00000000-0005-0000-0000-000087800000}"/>
    <cellStyle name="40% - Accent5 2 2 2 2 3 2" xfId="5723" xr:uid="{00000000-0005-0000-0000-000088800000}"/>
    <cellStyle name="40% - Accent5 2 2 2 2 3 2 2" xfId="11373" xr:uid="{00000000-0005-0000-0000-000089800000}"/>
    <cellStyle name="40% - Accent5 2 2 2 2 3 2 2 2" xfId="22674" xr:uid="{00000000-0005-0000-0000-00008A800000}"/>
    <cellStyle name="40% - Accent5 2 2 2 2 3 2 2 2 2" xfId="45276" xr:uid="{00000000-0005-0000-0000-00008B800000}"/>
    <cellStyle name="40% - Accent5 2 2 2 2 3 2 2 3" xfId="33975" xr:uid="{00000000-0005-0000-0000-00008C800000}"/>
    <cellStyle name="40% - Accent5 2 2 2 2 3 2 3" xfId="17024" xr:uid="{00000000-0005-0000-0000-00008D800000}"/>
    <cellStyle name="40% - Accent5 2 2 2 2 3 2 3 2" xfId="39626" xr:uid="{00000000-0005-0000-0000-00008E800000}"/>
    <cellStyle name="40% - Accent5 2 2 2 2 3 2 4" xfId="28325" xr:uid="{00000000-0005-0000-0000-00008F800000}"/>
    <cellStyle name="40% - Accent5 2 2 2 2 3 3" xfId="8540" xr:uid="{00000000-0005-0000-0000-000090800000}"/>
    <cellStyle name="40% - Accent5 2 2 2 2 3 3 2" xfId="19841" xr:uid="{00000000-0005-0000-0000-000091800000}"/>
    <cellStyle name="40% - Accent5 2 2 2 2 3 3 2 2" xfId="42443" xr:uid="{00000000-0005-0000-0000-000092800000}"/>
    <cellStyle name="40% - Accent5 2 2 2 2 3 3 3" xfId="31142" xr:uid="{00000000-0005-0000-0000-000093800000}"/>
    <cellStyle name="40% - Accent5 2 2 2 2 3 4" xfId="14191" xr:uid="{00000000-0005-0000-0000-000094800000}"/>
    <cellStyle name="40% - Accent5 2 2 2 2 3 4 2" xfId="36793" xr:uid="{00000000-0005-0000-0000-000095800000}"/>
    <cellStyle name="40% - Accent5 2 2 2 2 3 5" xfId="25492" xr:uid="{00000000-0005-0000-0000-000096800000}"/>
    <cellStyle name="40% - Accent5 2 2 2 2 4" xfId="4489" xr:uid="{00000000-0005-0000-0000-000097800000}"/>
    <cellStyle name="40% - Accent5 2 2 2 2 4 2" xfId="10139" xr:uid="{00000000-0005-0000-0000-000098800000}"/>
    <cellStyle name="40% - Accent5 2 2 2 2 4 2 2" xfId="21440" xr:uid="{00000000-0005-0000-0000-000099800000}"/>
    <cellStyle name="40% - Accent5 2 2 2 2 4 2 2 2" xfId="44042" xr:uid="{00000000-0005-0000-0000-00009A800000}"/>
    <cellStyle name="40% - Accent5 2 2 2 2 4 2 3" xfId="32741" xr:uid="{00000000-0005-0000-0000-00009B800000}"/>
    <cellStyle name="40% - Accent5 2 2 2 2 4 3" xfId="15790" xr:uid="{00000000-0005-0000-0000-00009C800000}"/>
    <cellStyle name="40% - Accent5 2 2 2 2 4 3 2" xfId="38392" xr:uid="{00000000-0005-0000-0000-00009D800000}"/>
    <cellStyle name="40% - Accent5 2 2 2 2 4 4" xfId="27091" xr:uid="{00000000-0005-0000-0000-00009E800000}"/>
    <cellStyle name="40% - Accent5 2 2 2 2 5" xfId="7285" xr:uid="{00000000-0005-0000-0000-00009F800000}"/>
    <cellStyle name="40% - Accent5 2 2 2 2 5 2" xfId="18586" xr:uid="{00000000-0005-0000-0000-0000A0800000}"/>
    <cellStyle name="40% - Accent5 2 2 2 2 5 2 2" xfId="41188" xr:uid="{00000000-0005-0000-0000-0000A1800000}"/>
    <cellStyle name="40% - Accent5 2 2 2 2 5 3" xfId="29887" xr:uid="{00000000-0005-0000-0000-0000A2800000}"/>
    <cellStyle name="40% - Accent5 2 2 2 2 6" xfId="12936" xr:uid="{00000000-0005-0000-0000-0000A3800000}"/>
    <cellStyle name="40% - Accent5 2 2 2 2 6 2" xfId="35538" xr:uid="{00000000-0005-0000-0000-0000A4800000}"/>
    <cellStyle name="40% - Accent5 2 2 2 2 7" xfId="24237" xr:uid="{00000000-0005-0000-0000-0000A5800000}"/>
    <cellStyle name="40% - Accent5 2 2 2 3" xfId="1004" xr:uid="{00000000-0005-0000-0000-0000A6800000}"/>
    <cellStyle name="40% - Accent5 2 2 2 3 2" xfId="3067" xr:uid="{00000000-0005-0000-0000-0000A7800000}"/>
    <cellStyle name="40% - Accent5 2 2 2 3 2 2" xfId="6039" xr:uid="{00000000-0005-0000-0000-0000A8800000}"/>
    <cellStyle name="40% - Accent5 2 2 2 3 2 2 2" xfId="11689" xr:uid="{00000000-0005-0000-0000-0000A9800000}"/>
    <cellStyle name="40% - Accent5 2 2 2 3 2 2 2 2" xfId="22990" xr:uid="{00000000-0005-0000-0000-0000AA800000}"/>
    <cellStyle name="40% - Accent5 2 2 2 3 2 2 2 2 2" xfId="45592" xr:uid="{00000000-0005-0000-0000-0000AB800000}"/>
    <cellStyle name="40% - Accent5 2 2 2 3 2 2 2 3" xfId="34291" xr:uid="{00000000-0005-0000-0000-0000AC800000}"/>
    <cellStyle name="40% - Accent5 2 2 2 3 2 2 3" xfId="17340" xr:uid="{00000000-0005-0000-0000-0000AD800000}"/>
    <cellStyle name="40% - Accent5 2 2 2 3 2 2 3 2" xfId="39942" xr:uid="{00000000-0005-0000-0000-0000AE800000}"/>
    <cellStyle name="40% - Accent5 2 2 2 3 2 2 4" xfId="28641" xr:uid="{00000000-0005-0000-0000-0000AF800000}"/>
    <cellStyle name="40% - Accent5 2 2 2 3 2 3" xfId="8857" xr:uid="{00000000-0005-0000-0000-0000B0800000}"/>
    <cellStyle name="40% - Accent5 2 2 2 3 2 3 2" xfId="20158" xr:uid="{00000000-0005-0000-0000-0000B1800000}"/>
    <cellStyle name="40% - Accent5 2 2 2 3 2 3 2 2" xfId="42760" xr:uid="{00000000-0005-0000-0000-0000B2800000}"/>
    <cellStyle name="40% - Accent5 2 2 2 3 2 3 3" xfId="31459" xr:uid="{00000000-0005-0000-0000-0000B3800000}"/>
    <cellStyle name="40% - Accent5 2 2 2 3 2 4" xfId="14508" xr:uid="{00000000-0005-0000-0000-0000B4800000}"/>
    <cellStyle name="40% - Accent5 2 2 2 3 2 4 2" xfId="37110" xr:uid="{00000000-0005-0000-0000-0000B5800000}"/>
    <cellStyle name="40% - Accent5 2 2 2 3 2 5" xfId="25809" xr:uid="{00000000-0005-0000-0000-0000B6800000}"/>
    <cellStyle name="40% - Accent5 2 2 2 3 3" xfId="4805" xr:uid="{00000000-0005-0000-0000-0000B7800000}"/>
    <cellStyle name="40% - Accent5 2 2 2 3 3 2" xfId="10455" xr:uid="{00000000-0005-0000-0000-0000B8800000}"/>
    <cellStyle name="40% - Accent5 2 2 2 3 3 2 2" xfId="21756" xr:uid="{00000000-0005-0000-0000-0000B9800000}"/>
    <cellStyle name="40% - Accent5 2 2 2 3 3 2 2 2" xfId="44358" xr:uid="{00000000-0005-0000-0000-0000BA800000}"/>
    <cellStyle name="40% - Accent5 2 2 2 3 3 2 3" xfId="33057" xr:uid="{00000000-0005-0000-0000-0000BB800000}"/>
    <cellStyle name="40% - Accent5 2 2 2 3 3 3" xfId="16106" xr:uid="{00000000-0005-0000-0000-0000BC800000}"/>
    <cellStyle name="40% - Accent5 2 2 2 3 3 3 2" xfId="38708" xr:uid="{00000000-0005-0000-0000-0000BD800000}"/>
    <cellStyle name="40% - Accent5 2 2 2 3 3 4" xfId="27407" xr:uid="{00000000-0005-0000-0000-0000BE800000}"/>
    <cellStyle name="40% - Accent5 2 2 2 3 4" xfId="6992" xr:uid="{00000000-0005-0000-0000-0000BF800000}"/>
    <cellStyle name="40% - Accent5 2 2 2 3 4 2" xfId="18293" xr:uid="{00000000-0005-0000-0000-0000C0800000}"/>
    <cellStyle name="40% - Accent5 2 2 2 3 4 2 2" xfId="40895" xr:uid="{00000000-0005-0000-0000-0000C1800000}"/>
    <cellStyle name="40% - Accent5 2 2 2 3 4 3" xfId="29594" xr:uid="{00000000-0005-0000-0000-0000C2800000}"/>
    <cellStyle name="40% - Accent5 2 2 2 3 5" xfId="12643" xr:uid="{00000000-0005-0000-0000-0000C3800000}"/>
    <cellStyle name="40% - Accent5 2 2 2 3 5 2" xfId="35245" xr:uid="{00000000-0005-0000-0000-0000C4800000}"/>
    <cellStyle name="40% - Accent5 2 2 2 3 6" xfId="23944" xr:uid="{00000000-0005-0000-0000-0000C5800000}"/>
    <cellStyle name="40% - Accent5 2 2 2 4" xfId="1990" xr:uid="{00000000-0005-0000-0000-0000C6800000}"/>
    <cellStyle name="40% - Accent5 2 2 2 4 2" xfId="3796" xr:uid="{00000000-0005-0000-0000-0000C7800000}"/>
    <cellStyle name="40% - Accent5 2 2 2 4 2 2" xfId="9506" xr:uid="{00000000-0005-0000-0000-0000C8800000}"/>
    <cellStyle name="40% - Accent5 2 2 2 4 2 2 2" xfId="20807" xr:uid="{00000000-0005-0000-0000-0000C9800000}"/>
    <cellStyle name="40% - Accent5 2 2 2 4 2 2 2 2" xfId="43409" xr:uid="{00000000-0005-0000-0000-0000CA800000}"/>
    <cellStyle name="40% - Accent5 2 2 2 4 2 2 3" xfId="32108" xr:uid="{00000000-0005-0000-0000-0000CB800000}"/>
    <cellStyle name="40% - Accent5 2 2 2 4 2 3" xfId="15157" xr:uid="{00000000-0005-0000-0000-0000CC800000}"/>
    <cellStyle name="40% - Accent5 2 2 2 4 2 3 2" xfId="37759" xr:uid="{00000000-0005-0000-0000-0000CD800000}"/>
    <cellStyle name="40% - Accent5 2 2 2 4 2 4" xfId="26458" xr:uid="{00000000-0005-0000-0000-0000CE800000}"/>
    <cellStyle name="40% - Accent5 2 2 2 4 3" xfId="5415" xr:uid="{00000000-0005-0000-0000-0000CF800000}"/>
    <cellStyle name="40% - Accent5 2 2 2 4 3 2" xfId="11065" xr:uid="{00000000-0005-0000-0000-0000D0800000}"/>
    <cellStyle name="40% - Accent5 2 2 2 4 3 2 2" xfId="22366" xr:uid="{00000000-0005-0000-0000-0000D1800000}"/>
    <cellStyle name="40% - Accent5 2 2 2 4 3 2 2 2" xfId="44968" xr:uid="{00000000-0005-0000-0000-0000D2800000}"/>
    <cellStyle name="40% - Accent5 2 2 2 4 3 2 3" xfId="33667" xr:uid="{00000000-0005-0000-0000-0000D3800000}"/>
    <cellStyle name="40% - Accent5 2 2 2 4 3 3" xfId="16716" xr:uid="{00000000-0005-0000-0000-0000D4800000}"/>
    <cellStyle name="40% - Accent5 2 2 2 4 3 3 2" xfId="39318" xr:uid="{00000000-0005-0000-0000-0000D5800000}"/>
    <cellStyle name="40% - Accent5 2 2 2 4 3 4" xfId="28017" xr:uid="{00000000-0005-0000-0000-0000D6800000}"/>
    <cellStyle name="40% - Accent5 2 2 2 4 4" xfId="7846" xr:uid="{00000000-0005-0000-0000-0000D7800000}"/>
    <cellStyle name="40% - Accent5 2 2 2 4 4 2" xfId="19147" xr:uid="{00000000-0005-0000-0000-0000D8800000}"/>
    <cellStyle name="40% - Accent5 2 2 2 4 4 2 2" xfId="41749" xr:uid="{00000000-0005-0000-0000-0000D9800000}"/>
    <cellStyle name="40% - Accent5 2 2 2 4 4 3" xfId="30448" xr:uid="{00000000-0005-0000-0000-0000DA800000}"/>
    <cellStyle name="40% - Accent5 2 2 2 4 5" xfId="13497" xr:uid="{00000000-0005-0000-0000-0000DB800000}"/>
    <cellStyle name="40% - Accent5 2 2 2 4 5 2" xfId="36099" xr:uid="{00000000-0005-0000-0000-0000DC800000}"/>
    <cellStyle name="40% - Accent5 2 2 2 4 6" xfId="24798" xr:uid="{00000000-0005-0000-0000-0000DD800000}"/>
    <cellStyle name="40% - Accent5 2 2 2 5" xfId="2396" xr:uid="{00000000-0005-0000-0000-0000DE800000}"/>
    <cellStyle name="40% - Accent5 2 2 2 5 2" xfId="8232" xr:uid="{00000000-0005-0000-0000-0000DF800000}"/>
    <cellStyle name="40% - Accent5 2 2 2 5 2 2" xfId="19533" xr:uid="{00000000-0005-0000-0000-0000E0800000}"/>
    <cellStyle name="40% - Accent5 2 2 2 5 2 2 2" xfId="42135" xr:uid="{00000000-0005-0000-0000-0000E1800000}"/>
    <cellStyle name="40% - Accent5 2 2 2 5 2 3" xfId="30834" xr:uid="{00000000-0005-0000-0000-0000E2800000}"/>
    <cellStyle name="40% - Accent5 2 2 2 5 3" xfId="13883" xr:uid="{00000000-0005-0000-0000-0000E3800000}"/>
    <cellStyle name="40% - Accent5 2 2 2 5 3 2" xfId="36485" xr:uid="{00000000-0005-0000-0000-0000E4800000}"/>
    <cellStyle name="40% - Accent5 2 2 2 5 4" xfId="25184" xr:uid="{00000000-0005-0000-0000-0000E5800000}"/>
    <cellStyle name="40% - Accent5 2 2 2 6" xfId="4181" xr:uid="{00000000-0005-0000-0000-0000E6800000}"/>
    <cellStyle name="40% - Accent5 2 2 2 6 2" xfId="9831" xr:uid="{00000000-0005-0000-0000-0000E7800000}"/>
    <cellStyle name="40% - Accent5 2 2 2 6 2 2" xfId="21132" xr:uid="{00000000-0005-0000-0000-0000E8800000}"/>
    <cellStyle name="40% - Accent5 2 2 2 6 2 2 2" xfId="43734" xr:uid="{00000000-0005-0000-0000-0000E9800000}"/>
    <cellStyle name="40% - Accent5 2 2 2 6 2 3" xfId="32433" xr:uid="{00000000-0005-0000-0000-0000EA800000}"/>
    <cellStyle name="40% - Accent5 2 2 2 6 3" xfId="15482" xr:uid="{00000000-0005-0000-0000-0000EB800000}"/>
    <cellStyle name="40% - Accent5 2 2 2 6 3 2" xfId="38084" xr:uid="{00000000-0005-0000-0000-0000EC800000}"/>
    <cellStyle name="40% - Accent5 2 2 2 6 4" xfId="26783" xr:uid="{00000000-0005-0000-0000-0000ED800000}"/>
    <cellStyle name="40% - Accent5 2 2 2 7" xfId="6661" xr:uid="{00000000-0005-0000-0000-0000EE800000}"/>
    <cellStyle name="40% - Accent5 2 2 2 7 2" xfId="17962" xr:uid="{00000000-0005-0000-0000-0000EF800000}"/>
    <cellStyle name="40% - Accent5 2 2 2 7 2 2" xfId="40564" xr:uid="{00000000-0005-0000-0000-0000F0800000}"/>
    <cellStyle name="40% - Accent5 2 2 2 7 3" xfId="29263" xr:uid="{00000000-0005-0000-0000-0000F1800000}"/>
    <cellStyle name="40% - Accent5 2 2 2 8" xfId="12312" xr:uid="{00000000-0005-0000-0000-0000F2800000}"/>
    <cellStyle name="40% - Accent5 2 2 2 8 2" xfId="34914" xr:uid="{00000000-0005-0000-0000-0000F3800000}"/>
    <cellStyle name="40% - Accent5 2 2 2 9" xfId="23613" xr:uid="{00000000-0005-0000-0000-0000F4800000}"/>
    <cellStyle name="40% - Accent5 2 2 3" xfId="1168" xr:uid="{00000000-0005-0000-0000-0000F5800000}"/>
    <cellStyle name="40% - Accent5 2 2 3 2" xfId="1992" xr:uid="{00000000-0005-0000-0000-0000F6800000}"/>
    <cellStyle name="40% - Accent5 2 2 3 2 2" xfId="3236" xr:uid="{00000000-0005-0000-0000-0000F7800000}"/>
    <cellStyle name="40% - Accent5 2 2 3 2 2 2" xfId="6208" xr:uid="{00000000-0005-0000-0000-0000F8800000}"/>
    <cellStyle name="40% - Accent5 2 2 3 2 2 2 2" xfId="11858" xr:uid="{00000000-0005-0000-0000-0000F9800000}"/>
    <cellStyle name="40% - Accent5 2 2 3 2 2 2 2 2" xfId="23159" xr:uid="{00000000-0005-0000-0000-0000FA800000}"/>
    <cellStyle name="40% - Accent5 2 2 3 2 2 2 2 2 2" xfId="45761" xr:uid="{00000000-0005-0000-0000-0000FB800000}"/>
    <cellStyle name="40% - Accent5 2 2 3 2 2 2 2 3" xfId="34460" xr:uid="{00000000-0005-0000-0000-0000FC800000}"/>
    <cellStyle name="40% - Accent5 2 2 3 2 2 2 3" xfId="17509" xr:uid="{00000000-0005-0000-0000-0000FD800000}"/>
    <cellStyle name="40% - Accent5 2 2 3 2 2 2 3 2" xfId="40111" xr:uid="{00000000-0005-0000-0000-0000FE800000}"/>
    <cellStyle name="40% - Accent5 2 2 3 2 2 2 4" xfId="28810" xr:uid="{00000000-0005-0000-0000-0000FF800000}"/>
    <cellStyle name="40% - Accent5 2 2 3 2 2 3" xfId="9026" xr:uid="{00000000-0005-0000-0000-000000810000}"/>
    <cellStyle name="40% - Accent5 2 2 3 2 2 3 2" xfId="20327" xr:uid="{00000000-0005-0000-0000-000001810000}"/>
    <cellStyle name="40% - Accent5 2 2 3 2 2 3 2 2" xfId="42929" xr:uid="{00000000-0005-0000-0000-000002810000}"/>
    <cellStyle name="40% - Accent5 2 2 3 2 2 3 3" xfId="31628" xr:uid="{00000000-0005-0000-0000-000003810000}"/>
    <cellStyle name="40% - Accent5 2 2 3 2 2 4" xfId="14677" xr:uid="{00000000-0005-0000-0000-000004810000}"/>
    <cellStyle name="40% - Accent5 2 2 3 2 2 4 2" xfId="37279" xr:uid="{00000000-0005-0000-0000-000005810000}"/>
    <cellStyle name="40% - Accent5 2 2 3 2 2 5" xfId="25978" xr:uid="{00000000-0005-0000-0000-000006810000}"/>
    <cellStyle name="40% - Accent5 2 2 3 2 3" xfId="4974" xr:uid="{00000000-0005-0000-0000-000007810000}"/>
    <cellStyle name="40% - Accent5 2 2 3 2 3 2" xfId="10624" xr:uid="{00000000-0005-0000-0000-000008810000}"/>
    <cellStyle name="40% - Accent5 2 2 3 2 3 2 2" xfId="21925" xr:uid="{00000000-0005-0000-0000-000009810000}"/>
    <cellStyle name="40% - Accent5 2 2 3 2 3 2 2 2" xfId="44527" xr:uid="{00000000-0005-0000-0000-00000A810000}"/>
    <cellStyle name="40% - Accent5 2 2 3 2 3 2 3" xfId="33226" xr:uid="{00000000-0005-0000-0000-00000B810000}"/>
    <cellStyle name="40% - Accent5 2 2 3 2 3 3" xfId="16275" xr:uid="{00000000-0005-0000-0000-00000C810000}"/>
    <cellStyle name="40% - Accent5 2 2 3 2 3 3 2" xfId="38877" xr:uid="{00000000-0005-0000-0000-00000D810000}"/>
    <cellStyle name="40% - Accent5 2 2 3 2 3 4" xfId="27576" xr:uid="{00000000-0005-0000-0000-00000E810000}"/>
    <cellStyle name="40% - Accent5 2 2 3 2 4" xfId="7848" xr:uid="{00000000-0005-0000-0000-00000F810000}"/>
    <cellStyle name="40% - Accent5 2 2 3 2 4 2" xfId="19149" xr:uid="{00000000-0005-0000-0000-000010810000}"/>
    <cellStyle name="40% - Accent5 2 2 3 2 4 2 2" xfId="41751" xr:uid="{00000000-0005-0000-0000-000011810000}"/>
    <cellStyle name="40% - Accent5 2 2 3 2 4 3" xfId="30450" xr:uid="{00000000-0005-0000-0000-000012810000}"/>
    <cellStyle name="40% - Accent5 2 2 3 2 5" xfId="13499" xr:uid="{00000000-0005-0000-0000-000013810000}"/>
    <cellStyle name="40% - Accent5 2 2 3 2 5 2" xfId="36101" xr:uid="{00000000-0005-0000-0000-000014810000}"/>
    <cellStyle name="40% - Accent5 2 2 3 2 6" xfId="24800" xr:uid="{00000000-0005-0000-0000-000015810000}"/>
    <cellStyle name="40% - Accent5 2 2 3 3" xfId="2565" xr:uid="{00000000-0005-0000-0000-000016810000}"/>
    <cellStyle name="40% - Accent5 2 2 3 3 2" xfId="5584" xr:uid="{00000000-0005-0000-0000-000017810000}"/>
    <cellStyle name="40% - Accent5 2 2 3 3 2 2" xfId="11234" xr:uid="{00000000-0005-0000-0000-000018810000}"/>
    <cellStyle name="40% - Accent5 2 2 3 3 2 2 2" xfId="22535" xr:uid="{00000000-0005-0000-0000-000019810000}"/>
    <cellStyle name="40% - Accent5 2 2 3 3 2 2 2 2" xfId="45137" xr:uid="{00000000-0005-0000-0000-00001A810000}"/>
    <cellStyle name="40% - Accent5 2 2 3 3 2 2 3" xfId="33836" xr:uid="{00000000-0005-0000-0000-00001B810000}"/>
    <cellStyle name="40% - Accent5 2 2 3 3 2 3" xfId="16885" xr:uid="{00000000-0005-0000-0000-00001C810000}"/>
    <cellStyle name="40% - Accent5 2 2 3 3 2 3 2" xfId="39487" xr:uid="{00000000-0005-0000-0000-00001D810000}"/>
    <cellStyle name="40% - Accent5 2 2 3 3 2 4" xfId="28186" xr:uid="{00000000-0005-0000-0000-00001E810000}"/>
    <cellStyle name="40% - Accent5 2 2 3 3 3" xfId="8401" xr:uid="{00000000-0005-0000-0000-00001F810000}"/>
    <cellStyle name="40% - Accent5 2 2 3 3 3 2" xfId="19702" xr:uid="{00000000-0005-0000-0000-000020810000}"/>
    <cellStyle name="40% - Accent5 2 2 3 3 3 2 2" xfId="42304" xr:uid="{00000000-0005-0000-0000-000021810000}"/>
    <cellStyle name="40% - Accent5 2 2 3 3 3 3" xfId="31003" xr:uid="{00000000-0005-0000-0000-000022810000}"/>
    <cellStyle name="40% - Accent5 2 2 3 3 4" xfId="14052" xr:uid="{00000000-0005-0000-0000-000023810000}"/>
    <cellStyle name="40% - Accent5 2 2 3 3 4 2" xfId="36654" xr:uid="{00000000-0005-0000-0000-000024810000}"/>
    <cellStyle name="40% - Accent5 2 2 3 3 5" xfId="25353" xr:uid="{00000000-0005-0000-0000-000025810000}"/>
    <cellStyle name="40% - Accent5 2 2 3 4" xfId="4350" xr:uid="{00000000-0005-0000-0000-000026810000}"/>
    <cellStyle name="40% - Accent5 2 2 3 4 2" xfId="10000" xr:uid="{00000000-0005-0000-0000-000027810000}"/>
    <cellStyle name="40% - Accent5 2 2 3 4 2 2" xfId="21301" xr:uid="{00000000-0005-0000-0000-000028810000}"/>
    <cellStyle name="40% - Accent5 2 2 3 4 2 2 2" xfId="43903" xr:uid="{00000000-0005-0000-0000-000029810000}"/>
    <cellStyle name="40% - Accent5 2 2 3 4 2 3" xfId="32602" xr:uid="{00000000-0005-0000-0000-00002A810000}"/>
    <cellStyle name="40% - Accent5 2 2 3 4 3" xfId="15651" xr:uid="{00000000-0005-0000-0000-00002B810000}"/>
    <cellStyle name="40% - Accent5 2 2 3 4 3 2" xfId="38253" xr:uid="{00000000-0005-0000-0000-00002C810000}"/>
    <cellStyle name="40% - Accent5 2 2 3 4 4" xfId="26952" xr:uid="{00000000-0005-0000-0000-00002D810000}"/>
    <cellStyle name="40% - Accent5 2 2 3 5" xfId="7147" xr:uid="{00000000-0005-0000-0000-00002E810000}"/>
    <cellStyle name="40% - Accent5 2 2 3 5 2" xfId="18448" xr:uid="{00000000-0005-0000-0000-00002F810000}"/>
    <cellStyle name="40% - Accent5 2 2 3 5 2 2" xfId="41050" xr:uid="{00000000-0005-0000-0000-000030810000}"/>
    <cellStyle name="40% - Accent5 2 2 3 5 3" xfId="29749" xr:uid="{00000000-0005-0000-0000-000031810000}"/>
    <cellStyle name="40% - Accent5 2 2 3 6" xfId="12798" xr:uid="{00000000-0005-0000-0000-000032810000}"/>
    <cellStyle name="40% - Accent5 2 2 3 6 2" xfId="35400" xr:uid="{00000000-0005-0000-0000-000033810000}"/>
    <cellStyle name="40% - Accent5 2 2 3 7" xfId="24099" xr:uid="{00000000-0005-0000-0000-000034810000}"/>
    <cellStyle name="40% - Accent5 2 2 4" xfId="856" xr:uid="{00000000-0005-0000-0000-000035810000}"/>
    <cellStyle name="40% - Accent5 2 2 4 2" xfId="2929" xr:uid="{00000000-0005-0000-0000-000036810000}"/>
    <cellStyle name="40% - Accent5 2 2 4 2 2" xfId="5901" xr:uid="{00000000-0005-0000-0000-000037810000}"/>
    <cellStyle name="40% - Accent5 2 2 4 2 2 2" xfId="11551" xr:uid="{00000000-0005-0000-0000-000038810000}"/>
    <cellStyle name="40% - Accent5 2 2 4 2 2 2 2" xfId="22852" xr:uid="{00000000-0005-0000-0000-000039810000}"/>
    <cellStyle name="40% - Accent5 2 2 4 2 2 2 2 2" xfId="45454" xr:uid="{00000000-0005-0000-0000-00003A810000}"/>
    <cellStyle name="40% - Accent5 2 2 4 2 2 2 3" xfId="34153" xr:uid="{00000000-0005-0000-0000-00003B810000}"/>
    <cellStyle name="40% - Accent5 2 2 4 2 2 3" xfId="17202" xr:uid="{00000000-0005-0000-0000-00003C810000}"/>
    <cellStyle name="40% - Accent5 2 2 4 2 2 3 2" xfId="39804" xr:uid="{00000000-0005-0000-0000-00003D810000}"/>
    <cellStyle name="40% - Accent5 2 2 4 2 2 4" xfId="28503" xr:uid="{00000000-0005-0000-0000-00003E810000}"/>
    <cellStyle name="40% - Accent5 2 2 4 2 3" xfId="8719" xr:uid="{00000000-0005-0000-0000-00003F810000}"/>
    <cellStyle name="40% - Accent5 2 2 4 2 3 2" xfId="20020" xr:uid="{00000000-0005-0000-0000-000040810000}"/>
    <cellStyle name="40% - Accent5 2 2 4 2 3 2 2" xfId="42622" xr:uid="{00000000-0005-0000-0000-000041810000}"/>
    <cellStyle name="40% - Accent5 2 2 4 2 3 3" xfId="31321" xr:uid="{00000000-0005-0000-0000-000042810000}"/>
    <cellStyle name="40% - Accent5 2 2 4 2 4" xfId="14370" xr:uid="{00000000-0005-0000-0000-000043810000}"/>
    <cellStyle name="40% - Accent5 2 2 4 2 4 2" xfId="36972" xr:uid="{00000000-0005-0000-0000-000044810000}"/>
    <cellStyle name="40% - Accent5 2 2 4 2 5" xfId="25671" xr:uid="{00000000-0005-0000-0000-000045810000}"/>
    <cellStyle name="40% - Accent5 2 2 4 3" xfId="4667" xr:uid="{00000000-0005-0000-0000-000046810000}"/>
    <cellStyle name="40% - Accent5 2 2 4 3 2" xfId="10317" xr:uid="{00000000-0005-0000-0000-000047810000}"/>
    <cellStyle name="40% - Accent5 2 2 4 3 2 2" xfId="21618" xr:uid="{00000000-0005-0000-0000-000048810000}"/>
    <cellStyle name="40% - Accent5 2 2 4 3 2 2 2" xfId="44220" xr:uid="{00000000-0005-0000-0000-000049810000}"/>
    <cellStyle name="40% - Accent5 2 2 4 3 2 3" xfId="32919" xr:uid="{00000000-0005-0000-0000-00004A810000}"/>
    <cellStyle name="40% - Accent5 2 2 4 3 3" xfId="15968" xr:uid="{00000000-0005-0000-0000-00004B810000}"/>
    <cellStyle name="40% - Accent5 2 2 4 3 3 2" xfId="38570" xr:uid="{00000000-0005-0000-0000-00004C810000}"/>
    <cellStyle name="40% - Accent5 2 2 4 3 4" xfId="27269" xr:uid="{00000000-0005-0000-0000-00004D810000}"/>
    <cellStyle name="40% - Accent5 2 2 4 4" xfId="6854" xr:uid="{00000000-0005-0000-0000-00004E810000}"/>
    <cellStyle name="40% - Accent5 2 2 4 4 2" xfId="18155" xr:uid="{00000000-0005-0000-0000-00004F810000}"/>
    <cellStyle name="40% - Accent5 2 2 4 4 2 2" xfId="40757" xr:uid="{00000000-0005-0000-0000-000050810000}"/>
    <cellStyle name="40% - Accent5 2 2 4 4 3" xfId="29456" xr:uid="{00000000-0005-0000-0000-000051810000}"/>
    <cellStyle name="40% - Accent5 2 2 4 5" xfId="12505" xr:uid="{00000000-0005-0000-0000-000052810000}"/>
    <cellStyle name="40% - Accent5 2 2 4 5 2" xfId="35107" xr:uid="{00000000-0005-0000-0000-000053810000}"/>
    <cellStyle name="40% - Accent5 2 2 4 6" xfId="23806" xr:uid="{00000000-0005-0000-0000-000054810000}"/>
    <cellStyle name="40% - Accent5 2 2 5" xfId="1989" xr:uid="{00000000-0005-0000-0000-000055810000}"/>
    <cellStyle name="40% - Accent5 2 2 5 2" xfId="3795" xr:uid="{00000000-0005-0000-0000-000056810000}"/>
    <cellStyle name="40% - Accent5 2 2 5 2 2" xfId="9505" xr:uid="{00000000-0005-0000-0000-000057810000}"/>
    <cellStyle name="40% - Accent5 2 2 5 2 2 2" xfId="20806" xr:uid="{00000000-0005-0000-0000-000058810000}"/>
    <cellStyle name="40% - Accent5 2 2 5 2 2 2 2" xfId="43408" xr:uid="{00000000-0005-0000-0000-000059810000}"/>
    <cellStyle name="40% - Accent5 2 2 5 2 2 3" xfId="32107" xr:uid="{00000000-0005-0000-0000-00005A810000}"/>
    <cellStyle name="40% - Accent5 2 2 5 2 3" xfId="15156" xr:uid="{00000000-0005-0000-0000-00005B810000}"/>
    <cellStyle name="40% - Accent5 2 2 5 2 3 2" xfId="37758" xr:uid="{00000000-0005-0000-0000-00005C810000}"/>
    <cellStyle name="40% - Accent5 2 2 5 2 4" xfId="26457" xr:uid="{00000000-0005-0000-0000-00005D810000}"/>
    <cellStyle name="40% - Accent5 2 2 5 3" xfId="5277" xr:uid="{00000000-0005-0000-0000-00005E810000}"/>
    <cellStyle name="40% - Accent5 2 2 5 3 2" xfId="10927" xr:uid="{00000000-0005-0000-0000-00005F810000}"/>
    <cellStyle name="40% - Accent5 2 2 5 3 2 2" xfId="22228" xr:uid="{00000000-0005-0000-0000-000060810000}"/>
    <cellStyle name="40% - Accent5 2 2 5 3 2 2 2" xfId="44830" xr:uid="{00000000-0005-0000-0000-000061810000}"/>
    <cellStyle name="40% - Accent5 2 2 5 3 2 3" xfId="33529" xr:uid="{00000000-0005-0000-0000-000062810000}"/>
    <cellStyle name="40% - Accent5 2 2 5 3 3" xfId="16578" xr:uid="{00000000-0005-0000-0000-000063810000}"/>
    <cellStyle name="40% - Accent5 2 2 5 3 3 2" xfId="39180" xr:uid="{00000000-0005-0000-0000-000064810000}"/>
    <cellStyle name="40% - Accent5 2 2 5 3 4" xfId="27879" xr:uid="{00000000-0005-0000-0000-000065810000}"/>
    <cellStyle name="40% - Accent5 2 2 5 4" xfId="7845" xr:uid="{00000000-0005-0000-0000-000066810000}"/>
    <cellStyle name="40% - Accent5 2 2 5 4 2" xfId="19146" xr:uid="{00000000-0005-0000-0000-000067810000}"/>
    <cellStyle name="40% - Accent5 2 2 5 4 2 2" xfId="41748" xr:uid="{00000000-0005-0000-0000-000068810000}"/>
    <cellStyle name="40% - Accent5 2 2 5 4 3" xfId="30447" xr:uid="{00000000-0005-0000-0000-000069810000}"/>
    <cellStyle name="40% - Accent5 2 2 5 5" xfId="13496" xr:uid="{00000000-0005-0000-0000-00006A810000}"/>
    <cellStyle name="40% - Accent5 2 2 5 5 2" xfId="36098" xr:uid="{00000000-0005-0000-0000-00006B810000}"/>
    <cellStyle name="40% - Accent5 2 2 5 6" xfId="24797" xr:uid="{00000000-0005-0000-0000-00006C810000}"/>
    <cellStyle name="40% - Accent5 2 2 6" xfId="2254" xr:uid="{00000000-0005-0000-0000-00006D810000}"/>
    <cellStyle name="40% - Accent5 2 2 6 2" xfId="8091" xr:uid="{00000000-0005-0000-0000-00006E810000}"/>
    <cellStyle name="40% - Accent5 2 2 6 2 2" xfId="19392" xr:uid="{00000000-0005-0000-0000-00006F810000}"/>
    <cellStyle name="40% - Accent5 2 2 6 2 2 2" xfId="41994" xr:uid="{00000000-0005-0000-0000-000070810000}"/>
    <cellStyle name="40% - Accent5 2 2 6 2 3" xfId="30693" xr:uid="{00000000-0005-0000-0000-000071810000}"/>
    <cellStyle name="40% - Accent5 2 2 6 3" xfId="13742" xr:uid="{00000000-0005-0000-0000-000072810000}"/>
    <cellStyle name="40% - Accent5 2 2 6 3 2" xfId="36344" xr:uid="{00000000-0005-0000-0000-000073810000}"/>
    <cellStyle name="40% - Accent5 2 2 6 4" xfId="25043" xr:uid="{00000000-0005-0000-0000-000074810000}"/>
    <cellStyle name="40% - Accent5 2 2 7" xfId="4043" xr:uid="{00000000-0005-0000-0000-000075810000}"/>
    <cellStyle name="40% - Accent5 2 2 7 2" xfId="9693" xr:uid="{00000000-0005-0000-0000-000076810000}"/>
    <cellStyle name="40% - Accent5 2 2 7 2 2" xfId="20994" xr:uid="{00000000-0005-0000-0000-000077810000}"/>
    <cellStyle name="40% - Accent5 2 2 7 2 2 2" xfId="43596" xr:uid="{00000000-0005-0000-0000-000078810000}"/>
    <cellStyle name="40% - Accent5 2 2 7 2 3" xfId="32295" xr:uid="{00000000-0005-0000-0000-000079810000}"/>
    <cellStyle name="40% - Accent5 2 2 7 3" xfId="15344" xr:uid="{00000000-0005-0000-0000-00007A810000}"/>
    <cellStyle name="40% - Accent5 2 2 7 3 2" xfId="37946" xr:uid="{00000000-0005-0000-0000-00007B810000}"/>
    <cellStyle name="40% - Accent5 2 2 7 4" xfId="26645" xr:uid="{00000000-0005-0000-0000-00007C810000}"/>
    <cellStyle name="40% - Accent5 2 2 8" xfId="6494" xr:uid="{00000000-0005-0000-0000-00007D810000}"/>
    <cellStyle name="40% - Accent5 2 2 8 2" xfId="17795" xr:uid="{00000000-0005-0000-0000-00007E810000}"/>
    <cellStyle name="40% - Accent5 2 2 8 2 2" xfId="40397" xr:uid="{00000000-0005-0000-0000-00007F810000}"/>
    <cellStyle name="40% - Accent5 2 2 8 3" xfId="29096" xr:uid="{00000000-0005-0000-0000-000080810000}"/>
    <cellStyle name="40% - Accent5 2 2 9" xfId="12145" xr:uid="{00000000-0005-0000-0000-000081810000}"/>
    <cellStyle name="40% - Accent5 2 2 9 2" xfId="34747" xr:uid="{00000000-0005-0000-0000-000082810000}"/>
    <cellStyle name="40% - Accent5 2 3" xfId="2820" xr:uid="{00000000-0005-0000-0000-000083810000}"/>
    <cellStyle name="40% - Accent5 2 3 2" xfId="3564" xr:uid="{00000000-0005-0000-0000-000084810000}"/>
    <cellStyle name="40% - Accent5 2 3 2 2" xfId="5835" xr:uid="{00000000-0005-0000-0000-000085810000}"/>
    <cellStyle name="40% - Accent5 2 3 2 2 2" xfId="11485" xr:uid="{00000000-0005-0000-0000-000086810000}"/>
    <cellStyle name="40% - Accent5 2 3 2 2 2 2" xfId="22786" xr:uid="{00000000-0005-0000-0000-000087810000}"/>
    <cellStyle name="40% - Accent5 2 3 2 2 2 2 2" xfId="45388" xr:uid="{00000000-0005-0000-0000-000088810000}"/>
    <cellStyle name="40% - Accent5 2 3 2 2 2 3" xfId="34087" xr:uid="{00000000-0005-0000-0000-000089810000}"/>
    <cellStyle name="40% - Accent5 2 3 2 2 3" xfId="17136" xr:uid="{00000000-0005-0000-0000-00008A810000}"/>
    <cellStyle name="40% - Accent5 2 3 2 2 3 2" xfId="39738" xr:uid="{00000000-0005-0000-0000-00008B810000}"/>
    <cellStyle name="40% - Accent5 2 3 2 2 4" xfId="28437" xr:uid="{00000000-0005-0000-0000-00008C810000}"/>
    <cellStyle name="40% - Accent5 2 3 2 3" xfId="9297" xr:uid="{00000000-0005-0000-0000-00008D810000}"/>
    <cellStyle name="40% - Accent5 2 3 2 3 2" xfId="20598" xr:uid="{00000000-0005-0000-0000-00008E810000}"/>
    <cellStyle name="40% - Accent5 2 3 2 3 2 2" xfId="43200" xr:uid="{00000000-0005-0000-0000-00008F810000}"/>
    <cellStyle name="40% - Accent5 2 3 2 3 3" xfId="31899" xr:uid="{00000000-0005-0000-0000-000090810000}"/>
    <cellStyle name="40% - Accent5 2 3 2 4" xfId="14948" xr:uid="{00000000-0005-0000-0000-000091810000}"/>
    <cellStyle name="40% - Accent5 2 3 2 4 2" xfId="37550" xr:uid="{00000000-0005-0000-0000-000092810000}"/>
    <cellStyle name="40% - Accent5 2 3 2 5" xfId="26249" xr:uid="{00000000-0005-0000-0000-000093810000}"/>
    <cellStyle name="40% - Accent5 2 3 3" xfId="4601" xr:uid="{00000000-0005-0000-0000-000094810000}"/>
    <cellStyle name="40% - Accent5 2 3 3 2" xfId="10251" xr:uid="{00000000-0005-0000-0000-000095810000}"/>
    <cellStyle name="40% - Accent5 2 3 3 2 2" xfId="21552" xr:uid="{00000000-0005-0000-0000-000096810000}"/>
    <cellStyle name="40% - Accent5 2 3 3 2 2 2" xfId="44154" xr:uid="{00000000-0005-0000-0000-000097810000}"/>
    <cellStyle name="40% - Accent5 2 3 3 2 3" xfId="32853" xr:uid="{00000000-0005-0000-0000-000098810000}"/>
    <cellStyle name="40% - Accent5 2 3 3 3" xfId="15902" xr:uid="{00000000-0005-0000-0000-000099810000}"/>
    <cellStyle name="40% - Accent5 2 3 3 3 2" xfId="38504" xr:uid="{00000000-0005-0000-0000-00009A810000}"/>
    <cellStyle name="40% - Accent5 2 3 3 4" xfId="27203" xr:uid="{00000000-0005-0000-0000-00009B810000}"/>
    <cellStyle name="40% - Accent5 2 3 4" xfId="8653" xr:uid="{00000000-0005-0000-0000-00009C810000}"/>
    <cellStyle name="40% - Accent5 2 3 4 2" xfId="19954" xr:uid="{00000000-0005-0000-0000-00009D810000}"/>
    <cellStyle name="40% - Accent5 2 3 4 2 2" xfId="42556" xr:uid="{00000000-0005-0000-0000-00009E810000}"/>
    <cellStyle name="40% - Accent5 2 3 4 3" xfId="31255" xr:uid="{00000000-0005-0000-0000-00009F810000}"/>
    <cellStyle name="40% - Accent5 2 3 5" xfId="14304" xr:uid="{00000000-0005-0000-0000-0000A0810000}"/>
    <cellStyle name="40% - Accent5 2 3 5 2" xfId="36906" xr:uid="{00000000-0005-0000-0000-0000A1810000}"/>
    <cellStyle name="40% - Accent5 2 3 6" xfId="25605" xr:uid="{00000000-0005-0000-0000-0000A2810000}"/>
    <cellStyle name="40% - Accent5 2 4" xfId="2829" xr:uid="{00000000-0005-0000-0000-0000A3810000}"/>
    <cellStyle name="40% - Accent5 2 5" xfId="3913" xr:uid="{00000000-0005-0000-0000-0000A4810000}"/>
    <cellStyle name="40% - Accent5 2 5 2" xfId="9606" xr:uid="{00000000-0005-0000-0000-0000A5810000}"/>
    <cellStyle name="40% - Accent5 2 5 2 2" xfId="20907" xr:uid="{00000000-0005-0000-0000-0000A6810000}"/>
    <cellStyle name="40% - Accent5 2 5 2 2 2" xfId="43509" xr:uid="{00000000-0005-0000-0000-0000A7810000}"/>
    <cellStyle name="40% - Accent5 2 5 2 3" xfId="32208" xr:uid="{00000000-0005-0000-0000-0000A8810000}"/>
    <cellStyle name="40% - Accent5 2 5 3" xfId="15257" xr:uid="{00000000-0005-0000-0000-0000A9810000}"/>
    <cellStyle name="40% - Accent5 2 5 3 2" xfId="37859" xr:uid="{00000000-0005-0000-0000-0000AA810000}"/>
    <cellStyle name="40% - Accent5 2 5 4" xfId="26558" xr:uid="{00000000-0005-0000-0000-0000AB810000}"/>
    <cellStyle name="40% - Accent5 2 6" xfId="3906" xr:uid="{00000000-0005-0000-0000-0000AC810000}"/>
    <cellStyle name="40% - Accent5 2 7" xfId="149" xr:uid="{00000000-0005-0000-0000-0000AD810000}"/>
    <cellStyle name="40% - Accent5 3" xfId="224" xr:uid="{00000000-0005-0000-0000-0000AE810000}"/>
    <cellStyle name="40% - Accent5 3 2" xfId="349" xr:uid="{00000000-0005-0000-0000-0000AF810000}"/>
    <cellStyle name="40% - Accent5 3 2 10" xfId="23459" xr:uid="{00000000-0005-0000-0000-0000B0810000}"/>
    <cellStyle name="40% - Accent5 3 2 2" xfId="609" xr:uid="{00000000-0005-0000-0000-0000B1810000}"/>
    <cellStyle name="40% - Accent5 3 2 2 2" xfId="1319" xr:uid="{00000000-0005-0000-0000-0000B2810000}"/>
    <cellStyle name="40% - Accent5 3 2 2 2 2" xfId="1995" xr:uid="{00000000-0005-0000-0000-0000B3810000}"/>
    <cellStyle name="40% - Accent5 3 2 2 2 2 2" xfId="3388" xr:uid="{00000000-0005-0000-0000-0000B4810000}"/>
    <cellStyle name="40% - Accent5 3 2 2 2 2 2 2" xfId="6360" xr:uid="{00000000-0005-0000-0000-0000B5810000}"/>
    <cellStyle name="40% - Accent5 3 2 2 2 2 2 2 2" xfId="12010" xr:uid="{00000000-0005-0000-0000-0000B6810000}"/>
    <cellStyle name="40% - Accent5 3 2 2 2 2 2 2 2 2" xfId="23311" xr:uid="{00000000-0005-0000-0000-0000B7810000}"/>
    <cellStyle name="40% - Accent5 3 2 2 2 2 2 2 2 2 2" xfId="45913" xr:uid="{00000000-0005-0000-0000-0000B8810000}"/>
    <cellStyle name="40% - Accent5 3 2 2 2 2 2 2 2 3" xfId="34612" xr:uid="{00000000-0005-0000-0000-0000B9810000}"/>
    <cellStyle name="40% - Accent5 3 2 2 2 2 2 2 3" xfId="17661" xr:uid="{00000000-0005-0000-0000-0000BA810000}"/>
    <cellStyle name="40% - Accent5 3 2 2 2 2 2 2 3 2" xfId="40263" xr:uid="{00000000-0005-0000-0000-0000BB810000}"/>
    <cellStyle name="40% - Accent5 3 2 2 2 2 2 2 4" xfId="28962" xr:uid="{00000000-0005-0000-0000-0000BC810000}"/>
    <cellStyle name="40% - Accent5 3 2 2 2 2 2 3" xfId="9178" xr:uid="{00000000-0005-0000-0000-0000BD810000}"/>
    <cellStyle name="40% - Accent5 3 2 2 2 2 2 3 2" xfId="20479" xr:uid="{00000000-0005-0000-0000-0000BE810000}"/>
    <cellStyle name="40% - Accent5 3 2 2 2 2 2 3 2 2" xfId="43081" xr:uid="{00000000-0005-0000-0000-0000BF810000}"/>
    <cellStyle name="40% - Accent5 3 2 2 2 2 2 3 3" xfId="31780" xr:uid="{00000000-0005-0000-0000-0000C0810000}"/>
    <cellStyle name="40% - Accent5 3 2 2 2 2 2 4" xfId="14829" xr:uid="{00000000-0005-0000-0000-0000C1810000}"/>
    <cellStyle name="40% - Accent5 3 2 2 2 2 2 4 2" xfId="37431" xr:uid="{00000000-0005-0000-0000-0000C2810000}"/>
    <cellStyle name="40% - Accent5 3 2 2 2 2 2 5" xfId="26130" xr:uid="{00000000-0005-0000-0000-0000C3810000}"/>
    <cellStyle name="40% - Accent5 3 2 2 2 2 3" xfId="5126" xr:uid="{00000000-0005-0000-0000-0000C4810000}"/>
    <cellStyle name="40% - Accent5 3 2 2 2 2 3 2" xfId="10776" xr:uid="{00000000-0005-0000-0000-0000C5810000}"/>
    <cellStyle name="40% - Accent5 3 2 2 2 2 3 2 2" xfId="22077" xr:uid="{00000000-0005-0000-0000-0000C6810000}"/>
    <cellStyle name="40% - Accent5 3 2 2 2 2 3 2 2 2" xfId="44679" xr:uid="{00000000-0005-0000-0000-0000C7810000}"/>
    <cellStyle name="40% - Accent5 3 2 2 2 2 3 2 3" xfId="33378" xr:uid="{00000000-0005-0000-0000-0000C8810000}"/>
    <cellStyle name="40% - Accent5 3 2 2 2 2 3 3" xfId="16427" xr:uid="{00000000-0005-0000-0000-0000C9810000}"/>
    <cellStyle name="40% - Accent5 3 2 2 2 2 3 3 2" xfId="39029" xr:uid="{00000000-0005-0000-0000-0000CA810000}"/>
    <cellStyle name="40% - Accent5 3 2 2 2 2 3 4" xfId="27728" xr:uid="{00000000-0005-0000-0000-0000CB810000}"/>
    <cellStyle name="40% - Accent5 3 2 2 2 2 4" xfId="7851" xr:uid="{00000000-0005-0000-0000-0000CC810000}"/>
    <cellStyle name="40% - Accent5 3 2 2 2 2 4 2" xfId="19152" xr:uid="{00000000-0005-0000-0000-0000CD810000}"/>
    <cellStyle name="40% - Accent5 3 2 2 2 2 4 2 2" xfId="41754" xr:uid="{00000000-0005-0000-0000-0000CE810000}"/>
    <cellStyle name="40% - Accent5 3 2 2 2 2 4 3" xfId="30453" xr:uid="{00000000-0005-0000-0000-0000CF810000}"/>
    <cellStyle name="40% - Accent5 3 2 2 2 2 5" xfId="13502" xr:uid="{00000000-0005-0000-0000-0000D0810000}"/>
    <cellStyle name="40% - Accent5 3 2 2 2 2 5 2" xfId="36104" xr:uid="{00000000-0005-0000-0000-0000D1810000}"/>
    <cellStyle name="40% - Accent5 3 2 2 2 2 6" xfId="24803" xr:uid="{00000000-0005-0000-0000-0000D2810000}"/>
    <cellStyle name="40% - Accent5 3 2 2 2 3" xfId="2717" xr:uid="{00000000-0005-0000-0000-0000D3810000}"/>
    <cellStyle name="40% - Accent5 3 2 2 2 3 2" xfId="5736" xr:uid="{00000000-0005-0000-0000-0000D4810000}"/>
    <cellStyle name="40% - Accent5 3 2 2 2 3 2 2" xfId="11386" xr:uid="{00000000-0005-0000-0000-0000D5810000}"/>
    <cellStyle name="40% - Accent5 3 2 2 2 3 2 2 2" xfId="22687" xr:uid="{00000000-0005-0000-0000-0000D6810000}"/>
    <cellStyle name="40% - Accent5 3 2 2 2 3 2 2 2 2" xfId="45289" xr:uid="{00000000-0005-0000-0000-0000D7810000}"/>
    <cellStyle name="40% - Accent5 3 2 2 2 3 2 2 3" xfId="33988" xr:uid="{00000000-0005-0000-0000-0000D8810000}"/>
    <cellStyle name="40% - Accent5 3 2 2 2 3 2 3" xfId="17037" xr:uid="{00000000-0005-0000-0000-0000D9810000}"/>
    <cellStyle name="40% - Accent5 3 2 2 2 3 2 3 2" xfId="39639" xr:uid="{00000000-0005-0000-0000-0000DA810000}"/>
    <cellStyle name="40% - Accent5 3 2 2 2 3 2 4" xfId="28338" xr:uid="{00000000-0005-0000-0000-0000DB810000}"/>
    <cellStyle name="40% - Accent5 3 2 2 2 3 3" xfId="8553" xr:uid="{00000000-0005-0000-0000-0000DC810000}"/>
    <cellStyle name="40% - Accent5 3 2 2 2 3 3 2" xfId="19854" xr:uid="{00000000-0005-0000-0000-0000DD810000}"/>
    <cellStyle name="40% - Accent5 3 2 2 2 3 3 2 2" xfId="42456" xr:uid="{00000000-0005-0000-0000-0000DE810000}"/>
    <cellStyle name="40% - Accent5 3 2 2 2 3 3 3" xfId="31155" xr:uid="{00000000-0005-0000-0000-0000DF810000}"/>
    <cellStyle name="40% - Accent5 3 2 2 2 3 4" xfId="14204" xr:uid="{00000000-0005-0000-0000-0000E0810000}"/>
    <cellStyle name="40% - Accent5 3 2 2 2 3 4 2" xfId="36806" xr:uid="{00000000-0005-0000-0000-0000E1810000}"/>
    <cellStyle name="40% - Accent5 3 2 2 2 3 5" xfId="25505" xr:uid="{00000000-0005-0000-0000-0000E2810000}"/>
    <cellStyle name="40% - Accent5 3 2 2 2 4" xfId="4502" xr:uid="{00000000-0005-0000-0000-0000E3810000}"/>
    <cellStyle name="40% - Accent5 3 2 2 2 4 2" xfId="10152" xr:uid="{00000000-0005-0000-0000-0000E4810000}"/>
    <cellStyle name="40% - Accent5 3 2 2 2 4 2 2" xfId="21453" xr:uid="{00000000-0005-0000-0000-0000E5810000}"/>
    <cellStyle name="40% - Accent5 3 2 2 2 4 2 2 2" xfId="44055" xr:uid="{00000000-0005-0000-0000-0000E6810000}"/>
    <cellStyle name="40% - Accent5 3 2 2 2 4 2 3" xfId="32754" xr:uid="{00000000-0005-0000-0000-0000E7810000}"/>
    <cellStyle name="40% - Accent5 3 2 2 2 4 3" xfId="15803" xr:uid="{00000000-0005-0000-0000-0000E8810000}"/>
    <cellStyle name="40% - Accent5 3 2 2 2 4 3 2" xfId="38405" xr:uid="{00000000-0005-0000-0000-0000E9810000}"/>
    <cellStyle name="40% - Accent5 3 2 2 2 4 4" xfId="27104" xr:uid="{00000000-0005-0000-0000-0000EA810000}"/>
    <cellStyle name="40% - Accent5 3 2 2 2 5" xfId="7298" xr:uid="{00000000-0005-0000-0000-0000EB810000}"/>
    <cellStyle name="40% - Accent5 3 2 2 2 5 2" xfId="18599" xr:uid="{00000000-0005-0000-0000-0000EC810000}"/>
    <cellStyle name="40% - Accent5 3 2 2 2 5 2 2" xfId="41201" xr:uid="{00000000-0005-0000-0000-0000ED810000}"/>
    <cellStyle name="40% - Accent5 3 2 2 2 5 3" xfId="29900" xr:uid="{00000000-0005-0000-0000-0000EE810000}"/>
    <cellStyle name="40% - Accent5 3 2 2 2 6" xfId="12949" xr:uid="{00000000-0005-0000-0000-0000EF810000}"/>
    <cellStyle name="40% - Accent5 3 2 2 2 6 2" xfId="35551" xr:uid="{00000000-0005-0000-0000-0000F0810000}"/>
    <cellStyle name="40% - Accent5 3 2 2 2 7" xfId="24250" xr:uid="{00000000-0005-0000-0000-0000F1810000}"/>
    <cellStyle name="40% - Accent5 3 2 2 3" xfId="1017" xr:uid="{00000000-0005-0000-0000-0000F2810000}"/>
    <cellStyle name="40% - Accent5 3 2 2 3 2" xfId="3080" xr:uid="{00000000-0005-0000-0000-0000F3810000}"/>
    <cellStyle name="40% - Accent5 3 2 2 3 2 2" xfId="6052" xr:uid="{00000000-0005-0000-0000-0000F4810000}"/>
    <cellStyle name="40% - Accent5 3 2 2 3 2 2 2" xfId="11702" xr:uid="{00000000-0005-0000-0000-0000F5810000}"/>
    <cellStyle name="40% - Accent5 3 2 2 3 2 2 2 2" xfId="23003" xr:uid="{00000000-0005-0000-0000-0000F6810000}"/>
    <cellStyle name="40% - Accent5 3 2 2 3 2 2 2 2 2" xfId="45605" xr:uid="{00000000-0005-0000-0000-0000F7810000}"/>
    <cellStyle name="40% - Accent5 3 2 2 3 2 2 2 3" xfId="34304" xr:uid="{00000000-0005-0000-0000-0000F8810000}"/>
    <cellStyle name="40% - Accent5 3 2 2 3 2 2 3" xfId="17353" xr:uid="{00000000-0005-0000-0000-0000F9810000}"/>
    <cellStyle name="40% - Accent5 3 2 2 3 2 2 3 2" xfId="39955" xr:uid="{00000000-0005-0000-0000-0000FA810000}"/>
    <cellStyle name="40% - Accent5 3 2 2 3 2 2 4" xfId="28654" xr:uid="{00000000-0005-0000-0000-0000FB810000}"/>
    <cellStyle name="40% - Accent5 3 2 2 3 2 3" xfId="8870" xr:uid="{00000000-0005-0000-0000-0000FC810000}"/>
    <cellStyle name="40% - Accent5 3 2 2 3 2 3 2" xfId="20171" xr:uid="{00000000-0005-0000-0000-0000FD810000}"/>
    <cellStyle name="40% - Accent5 3 2 2 3 2 3 2 2" xfId="42773" xr:uid="{00000000-0005-0000-0000-0000FE810000}"/>
    <cellStyle name="40% - Accent5 3 2 2 3 2 3 3" xfId="31472" xr:uid="{00000000-0005-0000-0000-0000FF810000}"/>
    <cellStyle name="40% - Accent5 3 2 2 3 2 4" xfId="14521" xr:uid="{00000000-0005-0000-0000-000000820000}"/>
    <cellStyle name="40% - Accent5 3 2 2 3 2 4 2" xfId="37123" xr:uid="{00000000-0005-0000-0000-000001820000}"/>
    <cellStyle name="40% - Accent5 3 2 2 3 2 5" xfId="25822" xr:uid="{00000000-0005-0000-0000-000002820000}"/>
    <cellStyle name="40% - Accent5 3 2 2 3 3" xfId="4818" xr:uid="{00000000-0005-0000-0000-000003820000}"/>
    <cellStyle name="40% - Accent5 3 2 2 3 3 2" xfId="10468" xr:uid="{00000000-0005-0000-0000-000004820000}"/>
    <cellStyle name="40% - Accent5 3 2 2 3 3 2 2" xfId="21769" xr:uid="{00000000-0005-0000-0000-000005820000}"/>
    <cellStyle name="40% - Accent5 3 2 2 3 3 2 2 2" xfId="44371" xr:uid="{00000000-0005-0000-0000-000006820000}"/>
    <cellStyle name="40% - Accent5 3 2 2 3 3 2 3" xfId="33070" xr:uid="{00000000-0005-0000-0000-000007820000}"/>
    <cellStyle name="40% - Accent5 3 2 2 3 3 3" xfId="16119" xr:uid="{00000000-0005-0000-0000-000008820000}"/>
    <cellStyle name="40% - Accent5 3 2 2 3 3 3 2" xfId="38721" xr:uid="{00000000-0005-0000-0000-000009820000}"/>
    <cellStyle name="40% - Accent5 3 2 2 3 3 4" xfId="27420" xr:uid="{00000000-0005-0000-0000-00000A820000}"/>
    <cellStyle name="40% - Accent5 3 2 2 3 4" xfId="7005" xr:uid="{00000000-0005-0000-0000-00000B820000}"/>
    <cellStyle name="40% - Accent5 3 2 2 3 4 2" xfId="18306" xr:uid="{00000000-0005-0000-0000-00000C820000}"/>
    <cellStyle name="40% - Accent5 3 2 2 3 4 2 2" xfId="40908" xr:uid="{00000000-0005-0000-0000-00000D820000}"/>
    <cellStyle name="40% - Accent5 3 2 2 3 4 3" xfId="29607" xr:uid="{00000000-0005-0000-0000-00000E820000}"/>
    <cellStyle name="40% - Accent5 3 2 2 3 5" xfId="12656" xr:uid="{00000000-0005-0000-0000-00000F820000}"/>
    <cellStyle name="40% - Accent5 3 2 2 3 5 2" xfId="35258" xr:uid="{00000000-0005-0000-0000-000010820000}"/>
    <cellStyle name="40% - Accent5 3 2 2 3 6" xfId="23957" xr:uid="{00000000-0005-0000-0000-000011820000}"/>
    <cellStyle name="40% - Accent5 3 2 2 4" xfId="1994" xr:uid="{00000000-0005-0000-0000-000012820000}"/>
    <cellStyle name="40% - Accent5 3 2 2 4 2" xfId="3798" xr:uid="{00000000-0005-0000-0000-000013820000}"/>
    <cellStyle name="40% - Accent5 3 2 2 4 2 2" xfId="9508" xr:uid="{00000000-0005-0000-0000-000014820000}"/>
    <cellStyle name="40% - Accent5 3 2 2 4 2 2 2" xfId="20809" xr:uid="{00000000-0005-0000-0000-000015820000}"/>
    <cellStyle name="40% - Accent5 3 2 2 4 2 2 2 2" xfId="43411" xr:uid="{00000000-0005-0000-0000-000016820000}"/>
    <cellStyle name="40% - Accent5 3 2 2 4 2 2 3" xfId="32110" xr:uid="{00000000-0005-0000-0000-000017820000}"/>
    <cellStyle name="40% - Accent5 3 2 2 4 2 3" xfId="15159" xr:uid="{00000000-0005-0000-0000-000018820000}"/>
    <cellStyle name="40% - Accent5 3 2 2 4 2 3 2" xfId="37761" xr:uid="{00000000-0005-0000-0000-000019820000}"/>
    <cellStyle name="40% - Accent5 3 2 2 4 2 4" xfId="26460" xr:uid="{00000000-0005-0000-0000-00001A820000}"/>
    <cellStyle name="40% - Accent5 3 2 2 4 3" xfId="5428" xr:uid="{00000000-0005-0000-0000-00001B820000}"/>
    <cellStyle name="40% - Accent5 3 2 2 4 3 2" xfId="11078" xr:uid="{00000000-0005-0000-0000-00001C820000}"/>
    <cellStyle name="40% - Accent5 3 2 2 4 3 2 2" xfId="22379" xr:uid="{00000000-0005-0000-0000-00001D820000}"/>
    <cellStyle name="40% - Accent5 3 2 2 4 3 2 2 2" xfId="44981" xr:uid="{00000000-0005-0000-0000-00001E820000}"/>
    <cellStyle name="40% - Accent5 3 2 2 4 3 2 3" xfId="33680" xr:uid="{00000000-0005-0000-0000-00001F820000}"/>
    <cellStyle name="40% - Accent5 3 2 2 4 3 3" xfId="16729" xr:uid="{00000000-0005-0000-0000-000020820000}"/>
    <cellStyle name="40% - Accent5 3 2 2 4 3 3 2" xfId="39331" xr:uid="{00000000-0005-0000-0000-000021820000}"/>
    <cellStyle name="40% - Accent5 3 2 2 4 3 4" xfId="28030" xr:uid="{00000000-0005-0000-0000-000022820000}"/>
    <cellStyle name="40% - Accent5 3 2 2 4 4" xfId="7850" xr:uid="{00000000-0005-0000-0000-000023820000}"/>
    <cellStyle name="40% - Accent5 3 2 2 4 4 2" xfId="19151" xr:uid="{00000000-0005-0000-0000-000024820000}"/>
    <cellStyle name="40% - Accent5 3 2 2 4 4 2 2" xfId="41753" xr:uid="{00000000-0005-0000-0000-000025820000}"/>
    <cellStyle name="40% - Accent5 3 2 2 4 4 3" xfId="30452" xr:uid="{00000000-0005-0000-0000-000026820000}"/>
    <cellStyle name="40% - Accent5 3 2 2 4 5" xfId="13501" xr:uid="{00000000-0005-0000-0000-000027820000}"/>
    <cellStyle name="40% - Accent5 3 2 2 4 5 2" xfId="36103" xr:uid="{00000000-0005-0000-0000-000028820000}"/>
    <cellStyle name="40% - Accent5 3 2 2 4 6" xfId="24802" xr:uid="{00000000-0005-0000-0000-000029820000}"/>
    <cellStyle name="40% - Accent5 3 2 2 5" xfId="2409" xr:uid="{00000000-0005-0000-0000-00002A820000}"/>
    <cellStyle name="40% - Accent5 3 2 2 5 2" xfId="8245" xr:uid="{00000000-0005-0000-0000-00002B820000}"/>
    <cellStyle name="40% - Accent5 3 2 2 5 2 2" xfId="19546" xr:uid="{00000000-0005-0000-0000-00002C820000}"/>
    <cellStyle name="40% - Accent5 3 2 2 5 2 2 2" xfId="42148" xr:uid="{00000000-0005-0000-0000-00002D820000}"/>
    <cellStyle name="40% - Accent5 3 2 2 5 2 3" xfId="30847" xr:uid="{00000000-0005-0000-0000-00002E820000}"/>
    <cellStyle name="40% - Accent5 3 2 2 5 3" xfId="13896" xr:uid="{00000000-0005-0000-0000-00002F820000}"/>
    <cellStyle name="40% - Accent5 3 2 2 5 3 2" xfId="36498" xr:uid="{00000000-0005-0000-0000-000030820000}"/>
    <cellStyle name="40% - Accent5 3 2 2 5 4" xfId="25197" xr:uid="{00000000-0005-0000-0000-000031820000}"/>
    <cellStyle name="40% - Accent5 3 2 2 6" xfId="4194" xr:uid="{00000000-0005-0000-0000-000032820000}"/>
    <cellStyle name="40% - Accent5 3 2 2 6 2" xfId="9844" xr:uid="{00000000-0005-0000-0000-000033820000}"/>
    <cellStyle name="40% - Accent5 3 2 2 6 2 2" xfId="21145" xr:uid="{00000000-0005-0000-0000-000034820000}"/>
    <cellStyle name="40% - Accent5 3 2 2 6 2 2 2" xfId="43747" xr:uid="{00000000-0005-0000-0000-000035820000}"/>
    <cellStyle name="40% - Accent5 3 2 2 6 2 3" xfId="32446" xr:uid="{00000000-0005-0000-0000-000036820000}"/>
    <cellStyle name="40% - Accent5 3 2 2 6 3" xfId="15495" xr:uid="{00000000-0005-0000-0000-000037820000}"/>
    <cellStyle name="40% - Accent5 3 2 2 6 3 2" xfId="38097" xr:uid="{00000000-0005-0000-0000-000038820000}"/>
    <cellStyle name="40% - Accent5 3 2 2 6 4" xfId="26796" xr:uid="{00000000-0005-0000-0000-000039820000}"/>
    <cellStyle name="40% - Accent5 3 2 2 7" xfId="6674" xr:uid="{00000000-0005-0000-0000-00003A820000}"/>
    <cellStyle name="40% - Accent5 3 2 2 7 2" xfId="17975" xr:uid="{00000000-0005-0000-0000-00003B820000}"/>
    <cellStyle name="40% - Accent5 3 2 2 7 2 2" xfId="40577" xr:uid="{00000000-0005-0000-0000-00003C820000}"/>
    <cellStyle name="40% - Accent5 3 2 2 7 3" xfId="29276" xr:uid="{00000000-0005-0000-0000-00003D820000}"/>
    <cellStyle name="40% - Accent5 3 2 2 8" xfId="12325" xr:uid="{00000000-0005-0000-0000-00003E820000}"/>
    <cellStyle name="40% - Accent5 3 2 2 8 2" xfId="34927" xr:uid="{00000000-0005-0000-0000-00003F820000}"/>
    <cellStyle name="40% - Accent5 3 2 2 9" xfId="23626" xr:uid="{00000000-0005-0000-0000-000040820000}"/>
    <cellStyle name="40% - Accent5 3 2 3" xfId="1181" xr:uid="{00000000-0005-0000-0000-000041820000}"/>
    <cellStyle name="40% - Accent5 3 2 3 2" xfId="1996" xr:uid="{00000000-0005-0000-0000-000042820000}"/>
    <cellStyle name="40% - Accent5 3 2 3 2 2" xfId="3249" xr:uid="{00000000-0005-0000-0000-000043820000}"/>
    <cellStyle name="40% - Accent5 3 2 3 2 2 2" xfId="6221" xr:uid="{00000000-0005-0000-0000-000044820000}"/>
    <cellStyle name="40% - Accent5 3 2 3 2 2 2 2" xfId="11871" xr:uid="{00000000-0005-0000-0000-000045820000}"/>
    <cellStyle name="40% - Accent5 3 2 3 2 2 2 2 2" xfId="23172" xr:uid="{00000000-0005-0000-0000-000046820000}"/>
    <cellStyle name="40% - Accent5 3 2 3 2 2 2 2 2 2" xfId="45774" xr:uid="{00000000-0005-0000-0000-000047820000}"/>
    <cellStyle name="40% - Accent5 3 2 3 2 2 2 2 3" xfId="34473" xr:uid="{00000000-0005-0000-0000-000048820000}"/>
    <cellStyle name="40% - Accent5 3 2 3 2 2 2 3" xfId="17522" xr:uid="{00000000-0005-0000-0000-000049820000}"/>
    <cellStyle name="40% - Accent5 3 2 3 2 2 2 3 2" xfId="40124" xr:uid="{00000000-0005-0000-0000-00004A820000}"/>
    <cellStyle name="40% - Accent5 3 2 3 2 2 2 4" xfId="28823" xr:uid="{00000000-0005-0000-0000-00004B820000}"/>
    <cellStyle name="40% - Accent5 3 2 3 2 2 3" xfId="9039" xr:uid="{00000000-0005-0000-0000-00004C820000}"/>
    <cellStyle name="40% - Accent5 3 2 3 2 2 3 2" xfId="20340" xr:uid="{00000000-0005-0000-0000-00004D820000}"/>
    <cellStyle name="40% - Accent5 3 2 3 2 2 3 2 2" xfId="42942" xr:uid="{00000000-0005-0000-0000-00004E820000}"/>
    <cellStyle name="40% - Accent5 3 2 3 2 2 3 3" xfId="31641" xr:uid="{00000000-0005-0000-0000-00004F820000}"/>
    <cellStyle name="40% - Accent5 3 2 3 2 2 4" xfId="14690" xr:uid="{00000000-0005-0000-0000-000050820000}"/>
    <cellStyle name="40% - Accent5 3 2 3 2 2 4 2" xfId="37292" xr:uid="{00000000-0005-0000-0000-000051820000}"/>
    <cellStyle name="40% - Accent5 3 2 3 2 2 5" xfId="25991" xr:uid="{00000000-0005-0000-0000-000052820000}"/>
    <cellStyle name="40% - Accent5 3 2 3 2 3" xfId="4987" xr:uid="{00000000-0005-0000-0000-000053820000}"/>
    <cellStyle name="40% - Accent5 3 2 3 2 3 2" xfId="10637" xr:uid="{00000000-0005-0000-0000-000054820000}"/>
    <cellStyle name="40% - Accent5 3 2 3 2 3 2 2" xfId="21938" xr:uid="{00000000-0005-0000-0000-000055820000}"/>
    <cellStyle name="40% - Accent5 3 2 3 2 3 2 2 2" xfId="44540" xr:uid="{00000000-0005-0000-0000-000056820000}"/>
    <cellStyle name="40% - Accent5 3 2 3 2 3 2 3" xfId="33239" xr:uid="{00000000-0005-0000-0000-000057820000}"/>
    <cellStyle name="40% - Accent5 3 2 3 2 3 3" xfId="16288" xr:uid="{00000000-0005-0000-0000-000058820000}"/>
    <cellStyle name="40% - Accent5 3 2 3 2 3 3 2" xfId="38890" xr:uid="{00000000-0005-0000-0000-000059820000}"/>
    <cellStyle name="40% - Accent5 3 2 3 2 3 4" xfId="27589" xr:uid="{00000000-0005-0000-0000-00005A820000}"/>
    <cellStyle name="40% - Accent5 3 2 3 2 4" xfId="7852" xr:uid="{00000000-0005-0000-0000-00005B820000}"/>
    <cellStyle name="40% - Accent5 3 2 3 2 4 2" xfId="19153" xr:uid="{00000000-0005-0000-0000-00005C820000}"/>
    <cellStyle name="40% - Accent5 3 2 3 2 4 2 2" xfId="41755" xr:uid="{00000000-0005-0000-0000-00005D820000}"/>
    <cellStyle name="40% - Accent5 3 2 3 2 4 3" xfId="30454" xr:uid="{00000000-0005-0000-0000-00005E820000}"/>
    <cellStyle name="40% - Accent5 3 2 3 2 5" xfId="13503" xr:uid="{00000000-0005-0000-0000-00005F820000}"/>
    <cellStyle name="40% - Accent5 3 2 3 2 5 2" xfId="36105" xr:uid="{00000000-0005-0000-0000-000060820000}"/>
    <cellStyle name="40% - Accent5 3 2 3 2 6" xfId="24804" xr:uid="{00000000-0005-0000-0000-000061820000}"/>
    <cellStyle name="40% - Accent5 3 2 3 3" xfId="2578" xr:uid="{00000000-0005-0000-0000-000062820000}"/>
    <cellStyle name="40% - Accent5 3 2 3 3 2" xfId="5597" xr:uid="{00000000-0005-0000-0000-000063820000}"/>
    <cellStyle name="40% - Accent5 3 2 3 3 2 2" xfId="11247" xr:uid="{00000000-0005-0000-0000-000064820000}"/>
    <cellStyle name="40% - Accent5 3 2 3 3 2 2 2" xfId="22548" xr:uid="{00000000-0005-0000-0000-000065820000}"/>
    <cellStyle name="40% - Accent5 3 2 3 3 2 2 2 2" xfId="45150" xr:uid="{00000000-0005-0000-0000-000066820000}"/>
    <cellStyle name="40% - Accent5 3 2 3 3 2 2 3" xfId="33849" xr:uid="{00000000-0005-0000-0000-000067820000}"/>
    <cellStyle name="40% - Accent5 3 2 3 3 2 3" xfId="16898" xr:uid="{00000000-0005-0000-0000-000068820000}"/>
    <cellStyle name="40% - Accent5 3 2 3 3 2 3 2" xfId="39500" xr:uid="{00000000-0005-0000-0000-000069820000}"/>
    <cellStyle name="40% - Accent5 3 2 3 3 2 4" xfId="28199" xr:uid="{00000000-0005-0000-0000-00006A820000}"/>
    <cellStyle name="40% - Accent5 3 2 3 3 3" xfId="8414" xr:uid="{00000000-0005-0000-0000-00006B820000}"/>
    <cellStyle name="40% - Accent5 3 2 3 3 3 2" xfId="19715" xr:uid="{00000000-0005-0000-0000-00006C820000}"/>
    <cellStyle name="40% - Accent5 3 2 3 3 3 2 2" xfId="42317" xr:uid="{00000000-0005-0000-0000-00006D820000}"/>
    <cellStyle name="40% - Accent5 3 2 3 3 3 3" xfId="31016" xr:uid="{00000000-0005-0000-0000-00006E820000}"/>
    <cellStyle name="40% - Accent5 3 2 3 3 4" xfId="14065" xr:uid="{00000000-0005-0000-0000-00006F820000}"/>
    <cellStyle name="40% - Accent5 3 2 3 3 4 2" xfId="36667" xr:uid="{00000000-0005-0000-0000-000070820000}"/>
    <cellStyle name="40% - Accent5 3 2 3 3 5" xfId="25366" xr:uid="{00000000-0005-0000-0000-000071820000}"/>
    <cellStyle name="40% - Accent5 3 2 3 4" xfId="4363" xr:uid="{00000000-0005-0000-0000-000072820000}"/>
    <cellStyle name="40% - Accent5 3 2 3 4 2" xfId="10013" xr:uid="{00000000-0005-0000-0000-000073820000}"/>
    <cellStyle name="40% - Accent5 3 2 3 4 2 2" xfId="21314" xr:uid="{00000000-0005-0000-0000-000074820000}"/>
    <cellStyle name="40% - Accent5 3 2 3 4 2 2 2" xfId="43916" xr:uid="{00000000-0005-0000-0000-000075820000}"/>
    <cellStyle name="40% - Accent5 3 2 3 4 2 3" xfId="32615" xr:uid="{00000000-0005-0000-0000-000076820000}"/>
    <cellStyle name="40% - Accent5 3 2 3 4 3" xfId="15664" xr:uid="{00000000-0005-0000-0000-000077820000}"/>
    <cellStyle name="40% - Accent5 3 2 3 4 3 2" xfId="38266" xr:uid="{00000000-0005-0000-0000-000078820000}"/>
    <cellStyle name="40% - Accent5 3 2 3 4 4" xfId="26965" xr:uid="{00000000-0005-0000-0000-000079820000}"/>
    <cellStyle name="40% - Accent5 3 2 3 5" xfId="7160" xr:uid="{00000000-0005-0000-0000-00007A820000}"/>
    <cellStyle name="40% - Accent5 3 2 3 5 2" xfId="18461" xr:uid="{00000000-0005-0000-0000-00007B820000}"/>
    <cellStyle name="40% - Accent5 3 2 3 5 2 2" xfId="41063" xr:uid="{00000000-0005-0000-0000-00007C820000}"/>
    <cellStyle name="40% - Accent5 3 2 3 5 3" xfId="29762" xr:uid="{00000000-0005-0000-0000-00007D820000}"/>
    <cellStyle name="40% - Accent5 3 2 3 6" xfId="12811" xr:uid="{00000000-0005-0000-0000-00007E820000}"/>
    <cellStyle name="40% - Accent5 3 2 3 6 2" xfId="35413" xr:uid="{00000000-0005-0000-0000-00007F820000}"/>
    <cellStyle name="40% - Accent5 3 2 3 7" xfId="24112" xr:uid="{00000000-0005-0000-0000-000080820000}"/>
    <cellStyle name="40% - Accent5 3 2 4" xfId="870" xr:uid="{00000000-0005-0000-0000-000081820000}"/>
    <cellStyle name="40% - Accent5 3 2 4 2" xfId="2942" xr:uid="{00000000-0005-0000-0000-000082820000}"/>
    <cellStyle name="40% - Accent5 3 2 4 2 2" xfId="5914" xr:uid="{00000000-0005-0000-0000-000083820000}"/>
    <cellStyle name="40% - Accent5 3 2 4 2 2 2" xfId="11564" xr:uid="{00000000-0005-0000-0000-000084820000}"/>
    <cellStyle name="40% - Accent5 3 2 4 2 2 2 2" xfId="22865" xr:uid="{00000000-0005-0000-0000-000085820000}"/>
    <cellStyle name="40% - Accent5 3 2 4 2 2 2 2 2" xfId="45467" xr:uid="{00000000-0005-0000-0000-000086820000}"/>
    <cellStyle name="40% - Accent5 3 2 4 2 2 2 3" xfId="34166" xr:uid="{00000000-0005-0000-0000-000087820000}"/>
    <cellStyle name="40% - Accent5 3 2 4 2 2 3" xfId="17215" xr:uid="{00000000-0005-0000-0000-000088820000}"/>
    <cellStyle name="40% - Accent5 3 2 4 2 2 3 2" xfId="39817" xr:uid="{00000000-0005-0000-0000-000089820000}"/>
    <cellStyle name="40% - Accent5 3 2 4 2 2 4" xfId="28516" xr:uid="{00000000-0005-0000-0000-00008A820000}"/>
    <cellStyle name="40% - Accent5 3 2 4 2 3" xfId="8732" xr:uid="{00000000-0005-0000-0000-00008B820000}"/>
    <cellStyle name="40% - Accent5 3 2 4 2 3 2" xfId="20033" xr:uid="{00000000-0005-0000-0000-00008C820000}"/>
    <cellStyle name="40% - Accent5 3 2 4 2 3 2 2" xfId="42635" xr:uid="{00000000-0005-0000-0000-00008D820000}"/>
    <cellStyle name="40% - Accent5 3 2 4 2 3 3" xfId="31334" xr:uid="{00000000-0005-0000-0000-00008E820000}"/>
    <cellStyle name="40% - Accent5 3 2 4 2 4" xfId="14383" xr:uid="{00000000-0005-0000-0000-00008F820000}"/>
    <cellStyle name="40% - Accent5 3 2 4 2 4 2" xfId="36985" xr:uid="{00000000-0005-0000-0000-000090820000}"/>
    <cellStyle name="40% - Accent5 3 2 4 2 5" xfId="25684" xr:uid="{00000000-0005-0000-0000-000091820000}"/>
    <cellStyle name="40% - Accent5 3 2 4 3" xfId="4680" xr:uid="{00000000-0005-0000-0000-000092820000}"/>
    <cellStyle name="40% - Accent5 3 2 4 3 2" xfId="10330" xr:uid="{00000000-0005-0000-0000-000093820000}"/>
    <cellStyle name="40% - Accent5 3 2 4 3 2 2" xfId="21631" xr:uid="{00000000-0005-0000-0000-000094820000}"/>
    <cellStyle name="40% - Accent5 3 2 4 3 2 2 2" xfId="44233" xr:uid="{00000000-0005-0000-0000-000095820000}"/>
    <cellStyle name="40% - Accent5 3 2 4 3 2 3" xfId="32932" xr:uid="{00000000-0005-0000-0000-000096820000}"/>
    <cellStyle name="40% - Accent5 3 2 4 3 3" xfId="15981" xr:uid="{00000000-0005-0000-0000-000097820000}"/>
    <cellStyle name="40% - Accent5 3 2 4 3 3 2" xfId="38583" xr:uid="{00000000-0005-0000-0000-000098820000}"/>
    <cellStyle name="40% - Accent5 3 2 4 3 4" xfId="27282" xr:uid="{00000000-0005-0000-0000-000099820000}"/>
    <cellStyle name="40% - Accent5 3 2 4 4" xfId="6867" xr:uid="{00000000-0005-0000-0000-00009A820000}"/>
    <cellStyle name="40% - Accent5 3 2 4 4 2" xfId="18168" xr:uid="{00000000-0005-0000-0000-00009B820000}"/>
    <cellStyle name="40% - Accent5 3 2 4 4 2 2" xfId="40770" xr:uid="{00000000-0005-0000-0000-00009C820000}"/>
    <cellStyle name="40% - Accent5 3 2 4 4 3" xfId="29469" xr:uid="{00000000-0005-0000-0000-00009D820000}"/>
    <cellStyle name="40% - Accent5 3 2 4 5" xfId="12518" xr:uid="{00000000-0005-0000-0000-00009E820000}"/>
    <cellStyle name="40% - Accent5 3 2 4 5 2" xfId="35120" xr:uid="{00000000-0005-0000-0000-00009F820000}"/>
    <cellStyle name="40% - Accent5 3 2 4 6" xfId="23819" xr:uid="{00000000-0005-0000-0000-0000A0820000}"/>
    <cellStyle name="40% - Accent5 3 2 5" xfId="1993" xr:uid="{00000000-0005-0000-0000-0000A1820000}"/>
    <cellStyle name="40% - Accent5 3 2 5 2" xfId="3797" xr:uid="{00000000-0005-0000-0000-0000A2820000}"/>
    <cellStyle name="40% - Accent5 3 2 5 2 2" xfId="9507" xr:uid="{00000000-0005-0000-0000-0000A3820000}"/>
    <cellStyle name="40% - Accent5 3 2 5 2 2 2" xfId="20808" xr:uid="{00000000-0005-0000-0000-0000A4820000}"/>
    <cellStyle name="40% - Accent5 3 2 5 2 2 2 2" xfId="43410" xr:uid="{00000000-0005-0000-0000-0000A5820000}"/>
    <cellStyle name="40% - Accent5 3 2 5 2 2 3" xfId="32109" xr:uid="{00000000-0005-0000-0000-0000A6820000}"/>
    <cellStyle name="40% - Accent5 3 2 5 2 3" xfId="15158" xr:uid="{00000000-0005-0000-0000-0000A7820000}"/>
    <cellStyle name="40% - Accent5 3 2 5 2 3 2" xfId="37760" xr:uid="{00000000-0005-0000-0000-0000A8820000}"/>
    <cellStyle name="40% - Accent5 3 2 5 2 4" xfId="26459" xr:uid="{00000000-0005-0000-0000-0000A9820000}"/>
    <cellStyle name="40% - Accent5 3 2 5 3" xfId="5290" xr:uid="{00000000-0005-0000-0000-0000AA820000}"/>
    <cellStyle name="40% - Accent5 3 2 5 3 2" xfId="10940" xr:uid="{00000000-0005-0000-0000-0000AB820000}"/>
    <cellStyle name="40% - Accent5 3 2 5 3 2 2" xfId="22241" xr:uid="{00000000-0005-0000-0000-0000AC820000}"/>
    <cellStyle name="40% - Accent5 3 2 5 3 2 2 2" xfId="44843" xr:uid="{00000000-0005-0000-0000-0000AD820000}"/>
    <cellStyle name="40% - Accent5 3 2 5 3 2 3" xfId="33542" xr:uid="{00000000-0005-0000-0000-0000AE820000}"/>
    <cellStyle name="40% - Accent5 3 2 5 3 3" xfId="16591" xr:uid="{00000000-0005-0000-0000-0000AF820000}"/>
    <cellStyle name="40% - Accent5 3 2 5 3 3 2" xfId="39193" xr:uid="{00000000-0005-0000-0000-0000B0820000}"/>
    <cellStyle name="40% - Accent5 3 2 5 3 4" xfId="27892" xr:uid="{00000000-0005-0000-0000-0000B1820000}"/>
    <cellStyle name="40% - Accent5 3 2 5 4" xfId="7849" xr:uid="{00000000-0005-0000-0000-0000B2820000}"/>
    <cellStyle name="40% - Accent5 3 2 5 4 2" xfId="19150" xr:uid="{00000000-0005-0000-0000-0000B3820000}"/>
    <cellStyle name="40% - Accent5 3 2 5 4 2 2" xfId="41752" xr:uid="{00000000-0005-0000-0000-0000B4820000}"/>
    <cellStyle name="40% - Accent5 3 2 5 4 3" xfId="30451" xr:uid="{00000000-0005-0000-0000-0000B5820000}"/>
    <cellStyle name="40% - Accent5 3 2 5 5" xfId="13500" xr:uid="{00000000-0005-0000-0000-0000B6820000}"/>
    <cellStyle name="40% - Accent5 3 2 5 5 2" xfId="36102" xr:uid="{00000000-0005-0000-0000-0000B7820000}"/>
    <cellStyle name="40% - Accent5 3 2 5 6" xfId="24801" xr:uid="{00000000-0005-0000-0000-0000B8820000}"/>
    <cellStyle name="40% - Accent5 3 2 6" xfId="2268" xr:uid="{00000000-0005-0000-0000-0000B9820000}"/>
    <cellStyle name="40% - Accent5 3 2 6 2" xfId="8104" xr:uid="{00000000-0005-0000-0000-0000BA820000}"/>
    <cellStyle name="40% - Accent5 3 2 6 2 2" xfId="19405" xr:uid="{00000000-0005-0000-0000-0000BB820000}"/>
    <cellStyle name="40% - Accent5 3 2 6 2 2 2" xfId="42007" xr:uid="{00000000-0005-0000-0000-0000BC820000}"/>
    <cellStyle name="40% - Accent5 3 2 6 2 3" xfId="30706" xr:uid="{00000000-0005-0000-0000-0000BD820000}"/>
    <cellStyle name="40% - Accent5 3 2 6 3" xfId="13755" xr:uid="{00000000-0005-0000-0000-0000BE820000}"/>
    <cellStyle name="40% - Accent5 3 2 6 3 2" xfId="36357" xr:uid="{00000000-0005-0000-0000-0000BF820000}"/>
    <cellStyle name="40% - Accent5 3 2 6 4" xfId="25056" xr:uid="{00000000-0005-0000-0000-0000C0820000}"/>
    <cellStyle name="40% - Accent5 3 2 7" xfId="4056" xr:uid="{00000000-0005-0000-0000-0000C1820000}"/>
    <cellStyle name="40% - Accent5 3 2 7 2" xfId="9706" xr:uid="{00000000-0005-0000-0000-0000C2820000}"/>
    <cellStyle name="40% - Accent5 3 2 7 2 2" xfId="21007" xr:uid="{00000000-0005-0000-0000-0000C3820000}"/>
    <cellStyle name="40% - Accent5 3 2 7 2 2 2" xfId="43609" xr:uid="{00000000-0005-0000-0000-0000C4820000}"/>
    <cellStyle name="40% - Accent5 3 2 7 2 3" xfId="32308" xr:uid="{00000000-0005-0000-0000-0000C5820000}"/>
    <cellStyle name="40% - Accent5 3 2 7 3" xfId="15357" xr:uid="{00000000-0005-0000-0000-0000C6820000}"/>
    <cellStyle name="40% - Accent5 3 2 7 3 2" xfId="37959" xr:uid="{00000000-0005-0000-0000-0000C7820000}"/>
    <cellStyle name="40% - Accent5 3 2 7 4" xfId="26658" xr:uid="{00000000-0005-0000-0000-0000C8820000}"/>
    <cellStyle name="40% - Accent5 3 2 8" xfId="6507" xr:uid="{00000000-0005-0000-0000-0000C9820000}"/>
    <cellStyle name="40% - Accent5 3 2 8 2" xfId="17808" xr:uid="{00000000-0005-0000-0000-0000CA820000}"/>
    <cellStyle name="40% - Accent5 3 2 8 2 2" xfId="40410" xr:uid="{00000000-0005-0000-0000-0000CB820000}"/>
    <cellStyle name="40% - Accent5 3 2 8 3" xfId="29109" xr:uid="{00000000-0005-0000-0000-0000CC820000}"/>
    <cellStyle name="40% - Accent5 3 2 9" xfId="12158" xr:uid="{00000000-0005-0000-0000-0000CD820000}"/>
    <cellStyle name="40% - Accent5 3 2 9 2" xfId="34760" xr:uid="{00000000-0005-0000-0000-0000CE820000}"/>
    <cellStyle name="40% - Accent5 3 3" xfId="413" xr:uid="{00000000-0005-0000-0000-0000CF820000}"/>
    <cellStyle name="40% - Accent5 3 3 10" xfId="23508" xr:uid="{00000000-0005-0000-0000-0000D0820000}"/>
    <cellStyle name="40% - Accent5 3 3 2" xfId="658" xr:uid="{00000000-0005-0000-0000-0000D1820000}"/>
    <cellStyle name="40% - Accent5 3 3 2 2" xfId="1368" xr:uid="{00000000-0005-0000-0000-0000D2820000}"/>
    <cellStyle name="40% - Accent5 3 3 2 2 2" xfId="1999" xr:uid="{00000000-0005-0000-0000-0000D3820000}"/>
    <cellStyle name="40% - Accent5 3 3 2 2 2 2" xfId="3437" xr:uid="{00000000-0005-0000-0000-0000D4820000}"/>
    <cellStyle name="40% - Accent5 3 3 2 2 2 2 2" xfId="6409" xr:uid="{00000000-0005-0000-0000-0000D5820000}"/>
    <cellStyle name="40% - Accent5 3 3 2 2 2 2 2 2" xfId="12059" xr:uid="{00000000-0005-0000-0000-0000D6820000}"/>
    <cellStyle name="40% - Accent5 3 3 2 2 2 2 2 2 2" xfId="23360" xr:uid="{00000000-0005-0000-0000-0000D7820000}"/>
    <cellStyle name="40% - Accent5 3 3 2 2 2 2 2 2 2 2" xfId="45962" xr:uid="{00000000-0005-0000-0000-0000D8820000}"/>
    <cellStyle name="40% - Accent5 3 3 2 2 2 2 2 2 3" xfId="34661" xr:uid="{00000000-0005-0000-0000-0000D9820000}"/>
    <cellStyle name="40% - Accent5 3 3 2 2 2 2 2 3" xfId="17710" xr:uid="{00000000-0005-0000-0000-0000DA820000}"/>
    <cellStyle name="40% - Accent5 3 3 2 2 2 2 2 3 2" xfId="40312" xr:uid="{00000000-0005-0000-0000-0000DB820000}"/>
    <cellStyle name="40% - Accent5 3 3 2 2 2 2 2 4" xfId="29011" xr:uid="{00000000-0005-0000-0000-0000DC820000}"/>
    <cellStyle name="40% - Accent5 3 3 2 2 2 2 3" xfId="9227" xr:uid="{00000000-0005-0000-0000-0000DD820000}"/>
    <cellStyle name="40% - Accent5 3 3 2 2 2 2 3 2" xfId="20528" xr:uid="{00000000-0005-0000-0000-0000DE820000}"/>
    <cellStyle name="40% - Accent5 3 3 2 2 2 2 3 2 2" xfId="43130" xr:uid="{00000000-0005-0000-0000-0000DF820000}"/>
    <cellStyle name="40% - Accent5 3 3 2 2 2 2 3 3" xfId="31829" xr:uid="{00000000-0005-0000-0000-0000E0820000}"/>
    <cellStyle name="40% - Accent5 3 3 2 2 2 2 4" xfId="14878" xr:uid="{00000000-0005-0000-0000-0000E1820000}"/>
    <cellStyle name="40% - Accent5 3 3 2 2 2 2 4 2" xfId="37480" xr:uid="{00000000-0005-0000-0000-0000E2820000}"/>
    <cellStyle name="40% - Accent5 3 3 2 2 2 2 5" xfId="26179" xr:uid="{00000000-0005-0000-0000-0000E3820000}"/>
    <cellStyle name="40% - Accent5 3 3 2 2 2 3" xfId="5175" xr:uid="{00000000-0005-0000-0000-0000E4820000}"/>
    <cellStyle name="40% - Accent5 3 3 2 2 2 3 2" xfId="10825" xr:uid="{00000000-0005-0000-0000-0000E5820000}"/>
    <cellStyle name="40% - Accent5 3 3 2 2 2 3 2 2" xfId="22126" xr:uid="{00000000-0005-0000-0000-0000E6820000}"/>
    <cellStyle name="40% - Accent5 3 3 2 2 2 3 2 2 2" xfId="44728" xr:uid="{00000000-0005-0000-0000-0000E7820000}"/>
    <cellStyle name="40% - Accent5 3 3 2 2 2 3 2 3" xfId="33427" xr:uid="{00000000-0005-0000-0000-0000E8820000}"/>
    <cellStyle name="40% - Accent5 3 3 2 2 2 3 3" xfId="16476" xr:uid="{00000000-0005-0000-0000-0000E9820000}"/>
    <cellStyle name="40% - Accent5 3 3 2 2 2 3 3 2" xfId="39078" xr:uid="{00000000-0005-0000-0000-0000EA820000}"/>
    <cellStyle name="40% - Accent5 3 3 2 2 2 3 4" xfId="27777" xr:uid="{00000000-0005-0000-0000-0000EB820000}"/>
    <cellStyle name="40% - Accent5 3 3 2 2 2 4" xfId="7855" xr:uid="{00000000-0005-0000-0000-0000EC820000}"/>
    <cellStyle name="40% - Accent5 3 3 2 2 2 4 2" xfId="19156" xr:uid="{00000000-0005-0000-0000-0000ED820000}"/>
    <cellStyle name="40% - Accent5 3 3 2 2 2 4 2 2" xfId="41758" xr:uid="{00000000-0005-0000-0000-0000EE820000}"/>
    <cellStyle name="40% - Accent5 3 3 2 2 2 4 3" xfId="30457" xr:uid="{00000000-0005-0000-0000-0000EF820000}"/>
    <cellStyle name="40% - Accent5 3 3 2 2 2 5" xfId="13506" xr:uid="{00000000-0005-0000-0000-0000F0820000}"/>
    <cellStyle name="40% - Accent5 3 3 2 2 2 5 2" xfId="36108" xr:uid="{00000000-0005-0000-0000-0000F1820000}"/>
    <cellStyle name="40% - Accent5 3 3 2 2 2 6" xfId="24807" xr:uid="{00000000-0005-0000-0000-0000F2820000}"/>
    <cellStyle name="40% - Accent5 3 3 2 2 3" xfId="2766" xr:uid="{00000000-0005-0000-0000-0000F3820000}"/>
    <cellStyle name="40% - Accent5 3 3 2 2 3 2" xfId="5785" xr:uid="{00000000-0005-0000-0000-0000F4820000}"/>
    <cellStyle name="40% - Accent5 3 3 2 2 3 2 2" xfId="11435" xr:uid="{00000000-0005-0000-0000-0000F5820000}"/>
    <cellStyle name="40% - Accent5 3 3 2 2 3 2 2 2" xfId="22736" xr:uid="{00000000-0005-0000-0000-0000F6820000}"/>
    <cellStyle name="40% - Accent5 3 3 2 2 3 2 2 2 2" xfId="45338" xr:uid="{00000000-0005-0000-0000-0000F7820000}"/>
    <cellStyle name="40% - Accent5 3 3 2 2 3 2 2 3" xfId="34037" xr:uid="{00000000-0005-0000-0000-0000F8820000}"/>
    <cellStyle name="40% - Accent5 3 3 2 2 3 2 3" xfId="17086" xr:uid="{00000000-0005-0000-0000-0000F9820000}"/>
    <cellStyle name="40% - Accent5 3 3 2 2 3 2 3 2" xfId="39688" xr:uid="{00000000-0005-0000-0000-0000FA820000}"/>
    <cellStyle name="40% - Accent5 3 3 2 2 3 2 4" xfId="28387" xr:uid="{00000000-0005-0000-0000-0000FB820000}"/>
    <cellStyle name="40% - Accent5 3 3 2 2 3 3" xfId="8602" xr:uid="{00000000-0005-0000-0000-0000FC820000}"/>
    <cellStyle name="40% - Accent5 3 3 2 2 3 3 2" xfId="19903" xr:uid="{00000000-0005-0000-0000-0000FD820000}"/>
    <cellStyle name="40% - Accent5 3 3 2 2 3 3 2 2" xfId="42505" xr:uid="{00000000-0005-0000-0000-0000FE820000}"/>
    <cellStyle name="40% - Accent5 3 3 2 2 3 3 3" xfId="31204" xr:uid="{00000000-0005-0000-0000-0000FF820000}"/>
    <cellStyle name="40% - Accent5 3 3 2 2 3 4" xfId="14253" xr:uid="{00000000-0005-0000-0000-000000830000}"/>
    <cellStyle name="40% - Accent5 3 3 2 2 3 4 2" xfId="36855" xr:uid="{00000000-0005-0000-0000-000001830000}"/>
    <cellStyle name="40% - Accent5 3 3 2 2 3 5" xfId="25554" xr:uid="{00000000-0005-0000-0000-000002830000}"/>
    <cellStyle name="40% - Accent5 3 3 2 2 4" xfId="4551" xr:uid="{00000000-0005-0000-0000-000003830000}"/>
    <cellStyle name="40% - Accent5 3 3 2 2 4 2" xfId="10201" xr:uid="{00000000-0005-0000-0000-000004830000}"/>
    <cellStyle name="40% - Accent5 3 3 2 2 4 2 2" xfId="21502" xr:uid="{00000000-0005-0000-0000-000005830000}"/>
    <cellStyle name="40% - Accent5 3 3 2 2 4 2 2 2" xfId="44104" xr:uid="{00000000-0005-0000-0000-000006830000}"/>
    <cellStyle name="40% - Accent5 3 3 2 2 4 2 3" xfId="32803" xr:uid="{00000000-0005-0000-0000-000007830000}"/>
    <cellStyle name="40% - Accent5 3 3 2 2 4 3" xfId="15852" xr:uid="{00000000-0005-0000-0000-000008830000}"/>
    <cellStyle name="40% - Accent5 3 3 2 2 4 3 2" xfId="38454" xr:uid="{00000000-0005-0000-0000-000009830000}"/>
    <cellStyle name="40% - Accent5 3 3 2 2 4 4" xfId="27153" xr:uid="{00000000-0005-0000-0000-00000A830000}"/>
    <cellStyle name="40% - Accent5 3 3 2 2 5" xfId="7347" xr:uid="{00000000-0005-0000-0000-00000B830000}"/>
    <cellStyle name="40% - Accent5 3 3 2 2 5 2" xfId="18648" xr:uid="{00000000-0005-0000-0000-00000C830000}"/>
    <cellStyle name="40% - Accent5 3 3 2 2 5 2 2" xfId="41250" xr:uid="{00000000-0005-0000-0000-00000D830000}"/>
    <cellStyle name="40% - Accent5 3 3 2 2 5 3" xfId="29949" xr:uid="{00000000-0005-0000-0000-00000E830000}"/>
    <cellStyle name="40% - Accent5 3 3 2 2 6" xfId="12998" xr:uid="{00000000-0005-0000-0000-00000F830000}"/>
    <cellStyle name="40% - Accent5 3 3 2 2 6 2" xfId="35600" xr:uid="{00000000-0005-0000-0000-000010830000}"/>
    <cellStyle name="40% - Accent5 3 3 2 2 7" xfId="24299" xr:uid="{00000000-0005-0000-0000-000011830000}"/>
    <cellStyle name="40% - Accent5 3 3 2 3" xfId="1066" xr:uid="{00000000-0005-0000-0000-000012830000}"/>
    <cellStyle name="40% - Accent5 3 3 2 3 2" xfId="3129" xr:uid="{00000000-0005-0000-0000-000013830000}"/>
    <cellStyle name="40% - Accent5 3 3 2 3 2 2" xfId="6101" xr:uid="{00000000-0005-0000-0000-000014830000}"/>
    <cellStyle name="40% - Accent5 3 3 2 3 2 2 2" xfId="11751" xr:uid="{00000000-0005-0000-0000-000015830000}"/>
    <cellStyle name="40% - Accent5 3 3 2 3 2 2 2 2" xfId="23052" xr:uid="{00000000-0005-0000-0000-000016830000}"/>
    <cellStyle name="40% - Accent5 3 3 2 3 2 2 2 2 2" xfId="45654" xr:uid="{00000000-0005-0000-0000-000017830000}"/>
    <cellStyle name="40% - Accent5 3 3 2 3 2 2 2 3" xfId="34353" xr:uid="{00000000-0005-0000-0000-000018830000}"/>
    <cellStyle name="40% - Accent5 3 3 2 3 2 2 3" xfId="17402" xr:uid="{00000000-0005-0000-0000-000019830000}"/>
    <cellStyle name="40% - Accent5 3 3 2 3 2 2 3 2" xfId="40004" xr:uid="{00000000-0005-0000-0000-00001A830000}"/>
    <cellStyle name="40% - Accent5 3 3 2 3 2 2 4" xfId="28703" xr:uid="{00000000-0005-0000-0000-00001B830000}"/>
    <cellStyle name="40% - Accent5 3 3 2 3 2 3" xfId="8919" xr:uid="{00000000-0005-0000-0000-00001C830000}"/>
    <cellStyle name="40% - Accent5 3 3 2 3 2 3 2" xfId="20220" xr:uid="{00000000-0005-0000-0000-00001D830000}"/>
    <cellStyle name="40% - Accent5 3 3 2 3 2 3 2 2" xfId="42822" xr:uid="{00000000-0005-0000-0000-00001E830000}"/>
    <cellStyle name="40% - Accent5 3 3 2 3 2 3 3" xfId="31521" xr:uid="{00000000-0005-0000-0000-00001F830000}"/>
    <cellStyle name="40% - Accent5 3 3 2 3 2 4" xfId="14570" xr:uid="{00000000-0005-0000-0000-000020830000}"/>
    <cellStyle name="40% - Accent5 3 3 2 3 2 4 2" xfId="37172" xr:uid="{00000000-0005-0000-0000-000021830000}"/>
    <cellStyle name="40% - Accent5 3 3 2 3 2 5" xfId="25871" xr:uid="{00000000-0005-0000-0000-000022830000}"/>
    <cellStyle name="40% - Accent5 3 3 2 3 3" xfId="4867" xr:uid="{00000000-0005-0000-0000-000023830000}"/>
    <cellStyle name="40% - Accent5 3 3 2 3 3 2" xfId="10517" xr:uid="{00000000-0005-0000-0000-000024830000}"/>
    <cellStyle name="40% - Accent5 3 3 2 3 3 2 2" xfId="21818" xr:uid="{00000000-0005-0000-0000-000025830000}"/>
    <cellStyle name="40% - Accent5 3 3 2 3 3 2 2 2" xfId="44420" xr:uid="{00000000-0005-0000-0000-000026830000}"/>
    <cellStyle name="40% - Accent5 3 3 2 3 3 2 3" xfId="33119" xr:uid="{00000000-0005-0000-0000-000027830000}"/>
    <cellStyle name="40% - Accent5 3 3 2 3 3 3" xfId="16168" xr:uid="{00000000-0005-0000-0000-000028830000}"/>
    <cellStyle name="40% - Accent5 3 3 2 3 3 3 2" xfId="38770" xr:uid="{00000000-0005-0000-0000-000029830000}"/>
    <cellStyle name="40% - Accent5 3 3 2 3 3 4" xfId="27469" xr:uid="{00000000-0005-0000-0000-00002A830000}"/>
    <cellStyle name="40% - Accent5 3 3 2 3 4" xfId="7054" xr:uid="{00000000-0005-0000-0000-00002B830000}"/>
    <cellStyle name="40% - Accent5 3 3 2 3 4 2" xfId="18355" xr:uid="{00000000-0005-0000-0000-00002C830000}"/>
    <cellStyle name="40% - Accent5 3 3 2 3 4 2 2" xfId="40957" xr:uid="{00000000-0005-0000-0000-00002D830000}"/>
    <cellStyle name="40% - Accent5 3 3 2 3 4 3" xfId="29656" xr:uid="{00000000-0005-0000-0000-00002E830000}"/>
    <cellStyle name="40% - Accent5 3 3 2 3 5" xfId="12705" xr:uid="{00000000-0005-0000-0000-00002F830000}"/>
    <cellStyle name="40% - Accent5 3 3 2 3 5 2" xfId="35307" xr:uid="{00000000-0005-0000-0000-000030830000}"/>
    <cellStyle name="40% - Accent5 3 3 2 3 6" xfId="24006" xr:uid="{00000000-0005-0000-0000-000031830000}"/>
    <cellStyle name="40% - Accent5 3 3 2 4" xfId="1998" xr:uid="{00000000-0005-0000-0000-000032830000}"/>
    <cellStyle name="40% - Accent5 3 3 2 4 2" xfId="3800" xr:uid="{00000000-0005-0000-0000-000033830000}"/>
    <cellStyle name="40% - Accent5 3 3 2 4 2 2" xfId="9510" xr:uid="{00000000-0005-0000-0000-000034830000}"/>
    <cellStyle name="40% - Accent5 3 3 2 4 2 2 2" xfId="20811" xr:uid="{00000000-0005-0000-0000-000035830000}"/>
    <cellStyle name="40% - Accent5 3 3 2 4 2 2 2 2" xfId="43413" xr:uid="{00000000-0005-0000-0000-000036830000}"/>
    <cellStyle name="40% - Accent5 3 3 2 4 2 2 3" xfId="32112" xr:uid="{00000000-0005-0000-0000-000037830000}"/>
    <cellStyle name="40% - Accent5 3 3 2 4 2 3" xfId="15161" xr:uid="{00000000-0005-0000-0000-000038830000}"/>
    <cellStyle name="40% - Accent5 3 3 2 4 2 3 2" xfId="37763" xr:uid="{00000000-0005-0000-0000-000039830000}"/>
    <cellStyle name="40% - Accent5 3 3 2 4 2 4" xfId="26462" xr:uid="{00000000-0005-0000-0000-00003A830000}"/>
    <cellStyle name="40% - Accent5 3 3 2 4 3" xfId="5477" xr:uid="{00000000-0005-0000-0000-00003B830000}"/>
    <cellStyle name="40% - Accent5 3 3 2 4 3 2" xfId="11127" xr:uid="{00000000-0005-0000-0000-00003C830000}"/>
    <cellStyle name="40% - Accent5 3 3 2 4 3 2 2" xfId="22428" xr:uid="{00000000-0005-0000-0000-00003D830000}"/>
    <cellStyle name="40% - Accent5 3 3 2 4 3 2 2 2" xfId="45030" xr:uid="{00000000-0005-0000-0000-00003E830000}"/>
    <cellStyle name="40% - Accent5 3 3 2 4 3 2 3" xfId="33729" xr:uid="{00000000-0005-0000-0000-00003F830000}"/>
    <cellStyle name="40% - Accent5 3 3 2 4 3 3" xfId="16778" xr:uid="{00000000-0005-0000-0000-000040830000}"/>
    <cellStyle name="40% - Accent5 3 3 2 4 3 3 2" xfId="39380" xr:uid="{00000000-0005-0000-0000-000041830000}"/>
    <cellStyle name="40% - Accent5 3 3 2 4 3 4" xfId="28079" xr:uid="{00000000-0005-0000-0000-000042830000}"/>
    <cellStyle name="40% - Accent5 3 3 2 4 4" xfId="7854" xr:uid="{00000000-0005-0000-0000-000043830000}"/>
    <cellStyle name="40% - Accent5 3 3 2 4 4 2" xfId="19155" xr:uid="{00000000-0005-0000-0000-000044830000}"/>
    <cellStyle name="40% - Accent5 3 3 2 4 4 2 2" xfId="41757" xr:uid="{00000000-0005-0000-0000-000045830000}"/>
    <cellStyle name="40% - Accent5 3 3 2 4 4 3" xfId="30456" xr:uid="{00000000-0005-0000-0000-000046830000}"/>
    <cellStyle name="40% - Accent5 3 3 2 4 5" xfId="13505" xr:uid="{00000000-0005-0000-0000-000047830000}"/>
    <cellStyle name="40% - Accent5 3 3 2 4 5 2" xfId="36107" xr:uid="{00000000-0005-0000-0000-000048830000}"/>
    <cellStyle name="40% - Accent5 3 3 2 4 6" xfId="24806" xr:uid="{00000000-0005-0000-0000-000049830000}"/>
    <cellStyle name="40% - Accent5 3 3 2 5" xfId="2458" xr:uid="{00000000-0005-0000-0000-00004A830000}"/>
    <cellStyle name="40% - Accent5 3 3 2 5 2" xfId="8294" xr:uid="{00000000-0005-0000-0000-00004B830000}"/>
    <cellStyle name="40% - Accent5 3 3 2 5 2 2" xfId="19595" xr:uid="{00000000-0005-0000-0000-00004C830000}"/>
    <cellStyle name="40% - Accent5 3 3 2 5 2 2 2" xfId="42197" xr:uid="{00000000-0005-0000-0000-00004D830000}"/>
    <cellStyle name="40% - Accent5 3 3 2 5 2 3" xfId="30896" xr:uid="{00000000-0005-0000-0000-00004E830000}"/>
    <cellStyle name="40% - Accent5 3 3 2 5 3" xfId="13945" xr:uid="{00000000-0005-0000-0000-00004F830000}"/>
    <cellStyle name="40% - Accent5 3 3 2 5 3 2" xfId="36547" xr:uid="{00000000-0005-0000-0000-000050830000}"/>
    <cellStyle name="40% - Accent5 3 3 2 5 4" xfId="25246" xr:uid="{00000000-0005-0000-0000-000051830000}"/>
    <cellStyle name="40% - Accent5 3 3 2 6" xfId="4243" xr:uid="{00000000-0005-0000-0000-000052830000}"/>
    <cellStyle name="40% - Accent5 3 3 2 6 2" xfId="9893" xr:uid="{00000000-0005-0000-0000-000053830000}"/>
    <cellStyle name="40% - Accent5 3 3 2 6 2 2" xfId="21194" xr:uid="{00000000-0005-0000-0000-000054830000}"/>
    <cellStyle name="40% - Accent5 3 3 2 6 2 2 2" xfId="43796" xr:uid="{00000000-0005-0000-0000-000055830000}"/>
    <cellStyle name="40% - Accent5 3 3 2 6 2 3" xfId="32495" xr:uid="{00000000-0005-0000-0000-000056830000}"/>
    <cellStyle name="40% - Accent5 3 3 2 6 3" xfId="15544" xr:uid="{00000000-0005-0000-0000-000057830000}"/>
    <cellStyle name="40% - Accent5 3 3 2 6 3 2" xfId="38146" xr:uid="{00000000-0005-0000-0000-000058830000}"/>
    <cellStyle name="40% - Accent5 3 3 2 6 4" xfId="26845" xr:uid="{00000000-0005-0000-0000-000059830000}"/>
    <cellStyle name="40% - Accent5 3 3 2 7" xfId="6723" xr:uid="{00000000-0005-0000-0000-00005A830000}"/>
    <cellStyle name="40% - Accent5 3 3 2 7 2" xfId="18024" xr:uid="{00000000-0005-0000-0000-00005B830000}"/>
    <cellStyle name="40% - Accent5 3 3 2 7 2 2" xfId="40626" xr:uid="{00000000-0005-0000-0000-00005C830000}"/>
    <cellStyle name="40% - Accent5 3 3 2 7 3" xfId="29325" xr:uid="{00000000-0005-0000-0000-00005D830000}"/>
    <cellStyle name="40% - Accent5 3 3 2 8" xfId="12374" xr:uid="{00000000-0005-0000-0000-00005E830000}"/>
    <cellStyle name="40% - Accent5 3 3 2 8 2" xfId="34976" xr:uid="{00000000-0005-0000-0000-00005F830000}"/>
    <cellStyle name="40% - Accent5 3 3 2 9" xfId="23675" xr:uid="{00000000-0005-0000-0000-000060830000}"/>
    <cellStyle name="40% - Accent5 3 3 3" xfId="1230" xr:uid="{00000000-0005-0000-0000-000061830000}"/>
    <cellStyle name="40% - Accent5 3 3 3 2" xfId="2000" xr:uid="{00000000-0005-0000-0000-000062830000}"/>
    <cellStyle name="40% - Accent5 3 3 3 2 2" xfId="3298" xr:uid="{00000000-0005-0000-0000-000063830000}"/>
    <cellStyle name="40% - Accent5 3 3 3 2 2 2" xfId="6270" xr:uid="{00000000-0005-0000-0000-000064830000}"/>
    <cellStyle name="40% - Accent5 3 3 3 2 2 2 2" xfId="11920" xr:uid="{00000000-0005-0000-0000-000065830000}"/>
    <cellStyle name="40% - Accent5 3 3 3 2 2 2 2 2" xfId="23221" xr:uid="{00000000-0005-0000-0000-000066830000}"/>
    <cellStyle name="40% - Accent5 3 3 3 2 2 2 2 2 2" xfId="45823" xr:uid="{00000000-0005-0000-0000-000067830000}"/>
    <cellStyle name="40% - Accent5 3 3 3 2 2 2 2 3" xfId="34522" xr:uid="{00000000-0005-0000-0000-000068830000}"/>
    <cellStyle name="40% - Accent5 3 3 3 2 2 2 3" xfId="17571" xr:uid="{00000000-0005-0000-0000-000069830000}"/>
    <cellStyle name="40% - Accent5 3 3 3 2 2 2 3 2" xfId="40173" xr:uid="{00000000-0005-0000-0000-00006A830000}"/>
    <cellStyle name="40% - Accent5 3 3 3 2 2 2 4" xfId="28872" xr:uid="{00000000-0005-0000-0000-00006B830000}"/>
    <cellStyle name="40% - Accent5 3 3 3 2 2 3" xfId="9088" xr:uid="{00000000-0005-0000-0000-00006C830000}"/>
    <cellStyle name="40% - Accent5 3 3 3 2 2 3 2" xfId="20389" xr:uid="{00000000-0005-0000-0000-00006D830000}"/>
    <cellStyle name="40% - Accent5 3 3 3 2 2 3 2 2" xfId="42991" xr:uid="{00000000-0005-0000-0000-00006E830000}"/>
    <cellStyle name="40% - Accent5 3 3 3 2 2 3 3" xfId="31690" xr:uid="{00000000-0005-0000-0000-00006F830000}"/>
    <cellStyle name="40% - Accent5 3 3 3 2 2 4" xfId="14739" xr:uid="{00000000-0005-0000-0000-000070830000}"/>
    <cellStyle name="40% - Accent5 3 3 3 2 2 4 2" xfId="37341" xr:uid="{00000000-0005-0000-0000-000071830000}"/>
    <cellStyle name="40% - Accent5 3 3 3 2 2 5" xfId="26040" xr:uid="{00000000-0005-0000-0000-000072830000}"/>
    <cellStyle name="40% - Accent5 3 3 3 2 3" xfId="5036" xr:uid="{00000000-0005-0000-0000-000073830000}"/>
    <cellStyle name="40% - Accent5 3 3 3 2 3 2" xfId="10686" xr:uid="{00000000-0005-0000-0000-000074830000}"/>
    <cellStyle name="40% - Accent5 3 3 3 2 3 2 2" xfId="21987" xr:uid="{00000000-0005-0000-0000-000075830000}"/>
    <cellStyle name="40% - Accent5 3 3 3 2 3 2 2 2" xfId="44589" xr:uid="{00000000-0005-0000-0000-000076830000}"/>
    <cellStyle name="40% - Accent5 3 3 3 2 3 2 3" xfId="33288" xr:uid="{00000000-0005-0000-0000-000077830000}"/>
    <cellStyle name="40% - Accent5 3 3 3 2 3 3" xfId="16337" xr:uid="{00000000-0005-0000-0000-000078830000}"/>
    <cellStyle name="40% - Accent5 3 3 3 2 3 3 2" xfId="38939" xr:uid="{00000000-0005-0000-0000-000079830000}"/>
    <cellStyle name="40% - Accent5 3 3 3 2 3 4" xfId="27638" xr:uid="{00000000-0005-0000-0000-00007A830000}"/>
    <cellStyle name="40% - Accent5 3 3 3 2 4" xfId="7856" xr:uid="{00000000-0005-0000-0000-00007B830000}"/>
    <cellStyle name="40% - Accent5 3 3 3 2 4 2" xfId="19157" xr:uid="{00000000-0005-0000-0000-00007C830000}"/>
    <cellStyle name="40% - Accent5 3 3 3 2 4 2 2" xfId="41759" xr:uid="{00000000-0005-0000-0000-00007D830000}"/>
    <cellStyle name="40% - Accent5 3 3 3 2 4 3" xfId="30458" xr:uid="{00000000-0005-0000-0000-00007E830000}"/>
    <cellStyle name="40% - Accent5 3 3 3 2 5" xfId="13507" xr:uid="{00000000-0005-0000-0000-00007F830000}"/>
    <cellStyle name="40% - Accent5 3 3 3 2 5 2" xfId="36109" xr:uid="{00000000-0005-0000-0000-000080830000}"/>
    <cellStyle name="40% - Accent5 3 3 3 2 6" xfId="24808" xr:uid="{00000000-0005-0000-0000-000081830000}"/>
    <cellStyle name="40% - Accent5 3 3 3 3" xfId="2627" xr:uid="{00000000-0005-0000-0000-000082830000}"/>
    <cellStyle name="40% - Accent5 3 3 3 3 2" xfId="5646" xr:uid="{00000000-0005-0000-0000-000083830000}"/>
    <cellStyle name="40% - Accent5 3 3 3 3 2 2" xfId="11296" xr:uid="{00000000-0005-0000-0000-000084830000}"/>
    <cellStyle name="40% - Accent5 3 3 3 3 2 2 2" xfId="22597" xr:uid="{00000000-0005-0000-0000-000085830000}"/>
    <cellStyle name="40% - Accent5 3 3 3 3 2 2 2 2" xfId="45199" xr:uid="{00000000-0005-0000-0000-000086830000}"/>
    <cellStyle name="40% - Accent5 3 3 3 3 2 2 3" xfId="33898" xr:uid="{00000000-0005-0000-0000-000087830000}"/>
    <cellStyle name="40% - Accent5 3 3 3 3 2 3" xfId="16947" xr:uid="{00000000-0005-0000-0000-000088830000}"/>
    <cellStyle name="40% - Accent5 3 3 3 3 2 3 2" xfId="39549" xr:uid="{00000000-0005-0000-0000-000089830000}"/>
    <cellStyle name="40% - Accent5 3 3 3 3 2 4" xfId="28248" xr:uid="{00000000-0005-0000-0000-00008A830000}"/>
    <cellStyle name="40% - Accent5 3 3 3 3 3" xfId="8463" xr:uid="{00000000-0005-0000-0000-00008B830000}"/>
    <cellStyle name="40% - Accent5 3 3 3 3 3 2" xfId="19764" xr:uid="{00000000-0005-0000-0000-00008C830000}"/>
    <cellStyle name="40% - Accent5 3 3 3 3 3 2 2" xfId="42366" xr:uid="{00000000-0005-0000-0000-00008D830000}"/>
    <cellStyle name="40% - Accent5 3 3 3 3 3 3" xfId="31065" xr:uid="{00000000-0005-0000-0000-00008E830000}"/>
    <cellStyle name="40% - Accent5 3 3 3 3 4" xfId="14114" xr:uid="{00000000-0005-0000-0000-00008F830000}"/>
    <cellStyle name="40% - Accent5 3 3 3 3 4 2" xfId="36716" xr:uid="{00000000-0005-0000-0000-000090830000}"/>
    <cellStyle name="40% - Accent5 3 3 3 3 5" xfId="25415" xr:uid="{00000000-0005-0000-0000-000091830000}"/>
    <cellStyle name="40% - Accent5 3 3 3 4" xfId="4412" xr:uid="{00000000-0005-0000-0000-000092830000}"/>
    <cellStyle name="40% - Accent5 3 3 3 4 2" xfId="10062" xr:uid="{00000000-0005-0000-0000-000093830000}"/>
    <cellStyle name="40% - Accent5 3 3 3 4 2 2" xfId="21363" xr:uid="{00000000-0005-0000-0000-000094830000}"/>
    <cellStyle name="40% - Accent5 3 3 3 4 2 2 2" xfId="43965" xr:uid="{00000000-0005-0000-0000-000095830000}"/>
    <cellStyle name="40% - Accent5 3 3 3 4 2 3" xfId="32664" xr:uid="{00000000-0005-0000-0000-000096830000}"/>
    <cellStyle name="40% - Accent5 3 3 3 4 3" xfId="15713" xr:uid="{00000000-0005-0000-0000-000097830000}"/>
    <cellStyle name="40% - Accent5 3 3 3 4 3 2" xfId="38315" xr:uid="{00000000-0005-0000-0000-000098830000}"/>
    <cellStyle name="40% - Accent5 3 3 3 4 4" xfId="27014" xr:uid="{00000000-0005-0000-0000-000099830000}"/>
    <cellStyle name="40% - Accent5 3 3 3 5" xfId="7209" xr:uid="{00000000-0005-0000-0000-00009A830000}"/>
    <cellStyle name="40% - Accent5 3 3 3 5 2" xfId="18510" xr:uid="{00000000-0005-0000-0000-00009B830000}"/>
    <cellStyle name="40% - Accent5 3 3 3 5 2 2" xfId="41112" xr:uid="{00000000-0005-0000-0000-00009C830000}"/>
    <cellStyle name="40% - Accent5 3 3 3 5 3" xfId="29811" xr:uid="{00000000-0005-0000-0000-00009D830000}"/>
    <cellStyle name="40% - Accent5 3 3 3 6" xfId="12860" xr:uid="{00000000-0005-0000-0000-00009E830000}"/>
    <cellStyle name="40% - Accent5 3 3 3 6 2" xfId="35462" xr:uid="{00000000-0005-0000-0000-00009F830000}"/>
    <cellStyle name="40% - Accent5 3 3 3 7" xfId="24161" xr:uid="{00000000-0005-0000-0000-0000A0830000}"/>
    <cellStyle name="40% - Accent5 3 3 4" xfId="921" xr:uid="{00000000-0005-0000-0000-0000A1830000}"/>
    <cellStyle name="40% - Accent5 3 3 4 2" xfId="2991" xr:uid="{00000000-0005-0000-0000-0000A2830000}"/>
    <cellStyle name="40% - Accent5 3 3 4 2 2" xfId="5963" xr:uid="{00000000-0005-0000-0000-0000A3830000}"/>
    <cellStyle name="40% - Accent5 3 3 4 2 2 2" xfId="11613" xr:uid="{00000000-0005-0000-0000-0000A4830000}"/>
    <cellStyle name="40% - Accent5 3 3 4 2 2 2 2" xfId="22914" xr:uid="{00000000-0005-0000-0000-0000A5830000}"/>
    <cellStyle name="40% - Accent5 3 3 4 2 2 2 2 2" xfId="45516" xr:uid="{00000000-0005-0000-0000-0000A6830000}"/>
    <cellStyle name="40% - Accent5 3 3 4 2 2 2 3" xfId="34215" xr:uid="{00000000-0005-0000-0000-0000A7830000}"/>
    <cellStyle name="40% - Accent5 3 3 4 2 2 3" xfId="17264" xr:uid="{00000000-0005-0000-0000-0000A8830000}"/>
    <cellStyle name="40% - Accent5 3 3 4 2 2 3 2" xfId="39866" xr:uid="{00000000-0005-0000-0000-0000A9830000}"/>
    <cellStyle name="40% - Accent5 3 3 4 2 2 4" xfId="28565" xr:uid="{00000000-0005-0000-0000-0000AA830000}"/>
    <cellStyle name="40% - Accent5 3 3 4 2 3" xfId="8781" xr:uid="{00000000-0005-0000-0000-0000AB830000}"/>
    <cellStyle name="40% - Accent5 3 3 4 2 3 2" xfId="20082" xr:uid="{00000000-0005-0000-0000-0000AC830000}"/>
    <cellStyle name="40% - Accent5 3 3 4 2 3 2 2" xfId="42684" xr:uid="{00000000-0005-0000-0000-0000AD830000}"/>
    <cellStyle name="40% - Accent5 3 3 4 2 3 3" xfId="31383" xr:uid="{00000000-0005-0000-0000-0000AE830000}"/>
    <cellStyle name="40% - Accent5 3 3 4 2 4" xfId="14432" xr:uid="{00000000-0005-0000-0000-0000AF830000}"/>
    <cellStyle name="40% - Accent5 3 3 4 2 4 2" xfId="37034" xr:uid="{00000000-0005-0000-0000-0000B0830000}"/>
    <cellStyle name="40% - Accent5 3 3 4 2 5" xfId="25733" xr:uid="{00000000-0005-0000-0000-0000B1830000}"/>
    <cellStyle name="40% - Accent5 3 3 4 3" xfId="4729" xr:uid="{00000000-0005-0000-0000-0000B2830000}"/>
    <cellStyle name="40% - Accent5 3 3 4 3 2" xfId="10379" xr:uid="{00000000-0005-0000-0000-0000B3830000}"/>
    <cellStyle name="40% - Accent5 3 3 4 3 2 2" xfId="21680" xr:uid="{00000000-0005-0000-0000-0000B4830000}"/>
    <cellStyle name="40% - Accent5 3 3 4 3 2 2 2" xfId="44282" xr:uid="{00000000-0005-0000-0000-0000B5830000}"/>
    <cellStyle name="40% - Accent5 3 3 4 3 2 3" xfId="32981" xr:uid="{00000000-0005-0000-0000-0000B6830000}"/>
    <cellStyle name="40% - Accent5 3 3 4 3 3" xfId="16030" xr:uid="{00000000-0005-0000-0000-0000B7830000}"/>
    <cellStyle name="40% - Accent5 3 3 4 3 3 2" xfId="38632" xr:uid="{00000000-0005-0000-0000-0000B8830000}"/>
    <cellStyle name="40% - Accent5 3 3 4 3 4" xfId="27331" xr:uid="{00000000-0005-0000-0000-0000B9830000}"/>
    <cellStyle name="40% - Accent5 3 3 4 4" xfId="6916" xr:uid="{00000000-0005-0000-0000-0000BA830000}"/>
    <cellStyle name="40% - Accent5 3 3 4 4 2" xfId="18217" xr:uid="{00000000-0005-0000-0000-0000BB830000}"/>
    <cellStyle name="40% - Accent5 3 3 4 4 2 2" xfId="40819" xr:uid="{00000000-0005-0000-0000-0000BC830000}"/>
    <cellStyle name="40% - Accent5 3 3 4 4 3" xfId="29518" xr:uid="{00000000-0005-0000-0000-0000BD830000}"/>
    <cellStyle name="40% - Accent5 3 3 4 5" xfId="12567" xr:uid="{00000000-0005-0000-0000-0000BE830000}"/>
    <cellStyle name="40% - Accent5 3 3 4 5 2" xfId="35169" xr:uid="{00000000-0005-0000-0000-0000BF830000}"/>
    <cellStyle name="40% - Accent5 3 3 4 6" xfId="23868" xr:uid="{00000000-0005-0000-0000-0000C0830000}"/>
    <cellStyle name="40% - Accent5 3 3 5" xfId="1997" xr:uid="{00000000-0005-0000-0000-0000C1830000}"/>
    <cellStyle name="40% - Accent5 3 3 5 2" xfId="3799" xr:uid="{00000000-0005-0000-0000-0000C2830000}"/>
    <cellStyle name="40% - Accent5 3 3 5 2 2" xfId="9509" xr:uid="{00000000-0005-0000-0000-0000C3830000}"/>
    <cellStyle name="40% - Accent5 3 3 5 2 2 2" xfId="20810" xr:uid="{00000000-0005-0000-0000-0000C4830000}"/>
    <cellStyle name="40% - Accent5 3 3 5 2 2 2 2" xfId="43412" xr:uid="{00000000-0005-0000-0000-0000C5830000}"/>
    <cellStyle name="40% - Accent5 3 3 5 2 2 3" xfId="32111" xr:uid="{00000000-0005-0000-0000-0000C6830000}"/>
    <cellStyle name="40% - Accent5 3 3 5 2 3" xfId="15160" xr:uid="{00000000-0005-0000-0000-0000C7830000}"/>
    <cellStyle name="40% - Accent5 3 3 5 2 3 2" xfId="37762" xr:uid="{00000000-0005-0000-0000-0000C8830000}"/>
    <cellStyle name="40% - Accent5 3 3 5 2 4" xfId="26461" xr:uid="{00000000-0005-0000-0000-0000C9830000}"/>
    <cellStyle name="40% - Accent5 3 3 5 3" xfId="5339" xr:uid="{00000000-0005-0000-0000-0000CA830000}"/>
    <cellStyle name="40% - Accent5 3 3 5 3 2" xfId="10989" xr:uid="{00000000-0005-0000-0000-0000CB830000}"/>
    <cellStyle name="40% - Accent5 3 3 5 3 2 2" xfId="22290" xr:uid="{00000000-0005-0000-0000-0000CC830000}"/>
    <cellStyle name="40% - Accent5 3 3 5 3 2 2 2" xfId="44892" xr:uid="{00000000-0005-0000-0000-0000CD830000}"/>
    <cellStyle name="40% - Accent5 3 3 5 3 2 3" xfId="33591" xr:uid="{00000000-0005-0000-0000-0000CE830000}"/>
    <cellStyle name="40% - Accent5 3 3 5 3 3" xfId="16640" xr:uid="{00000000-0005-0000-0000-0000CF830000}"/>
    <cellStyle name="40% - Accent5 3 3 5 3 3 2" xfId="39242" xr:uid="{00000000-0005-0000-0000-0000D0830000}"/>
    <cellStyle name="40% - Accent5 3 3 5 3 4" xfId="27941" xr:uid="{00000000-0005-0000-0000-0000D1830000}"/>
    <cellStyle name="40% - Accent5 3 3 5 4" xfId="7853" xr:uid="{00000000-0005-0000-0000-0000D2830000}"/>
    <cellStyle name="40% - Accent5 3 3 5 4 2" xfId="19154" xr:uid="{00000000-0005-0000-0000-0000D3830000}"/>
    <cellStyle name="40% - Accent5 3 3 5 4 2 2" xfId="41756" xr:uid="{00000000-0005-0000-0000-0000D4830000}"/>
    <cellStyle name="40% - Accent5 3 3 5 4 3" xfId="30455" xr:uid="{00000000-0005-0000-0000-0000D5830000}"/>
    <cellStyle name="40% - Accent5 3 3 5 5" xfId="13504" xr:uid="{00000000-0005-0000-0000-0000D6830000}"/>
    <cellStyle name="40% - Accent5 3 3 5 5 2" xfId="36106" xr:uid="{00000000-0005-0000-0000-0000D7830000}"/>
    <cellStyle name="40% - Accent5 3 3 5 6" xfId="24805" xr:uid="{00000000-0005-0000-0000-0000D8830000}"/>
    <cellStyle name="40% - Accent5 3 3 6" xfId="2318" xr:uid="{00000000-0005-0000-0000-0000D9830000}"/>
    <cellStyle name="40% - Accent5 3 3 6 2" xfId="8154" xr:uid="{00000000-0005-0000-0000-0000DA830000}"/>
    <cellStyle name="40% - Accent5 3 3 6 2 2" xfId="19455" xr:uid="{00000000-0005-0000-0000-0000DB830000}"/>
    <cellStyle name="40% - Accent5 3 3 6 2 2 2" xfId="42057" xr:uid="{00000000-0005-0000-0000-0000DC830000}"/>
    <cellStyle name="40% - Accent5 3 3 6 2 3" xfId="30756" xr:uid="{00000000-0005-0000-0000-0000DD830000}"/>
    <cellStyle name="40% - Accent5 3 3 6 3" xfId="13805" xr:uid="{00000000-0005-0000-0000-0000DE830000}"/>
    <cellStyle name="40% - Accent5 3 3 6 3 2" xfId="36407" xr:uid="{00000000-0005-0000-0000-0000DF830000}"/>
    <cellStyle name="40% - Accent5 3 3 6 4" xfId="25106" xr:uid="{00000000-0005-0000-0000-0000E0830000}"/>
    <cellStyle name="40% - Accent5 3 3 7" xfId="4105" xr:uid="{00000000-0005-0000-0000-0000E1830000}"/>
    <cellStyle name="40% - Accent5 3 3 7 2" xfId="9755" xr:uid="{00000000-0005-0000-0000-0000E2830000}"/>
    <cellStyle name="40% - Accent5 3 3 7 2 2" xfId="21056" xr:uid="{00000000-0005-0000-0000-0000E3830000}"/>
    <cellStyle name="40% - Accent5 3 3 7 2 2 2" xfId="43658" xr:uid="{00000000-0005-0000-0000-0000E4830000}"/>
    <cellStyle name="40% - Accent5 3 3 7 2 3" xfId="32357" xr:uid="{00000000-0005-0000-0000-0000E5830000}"/>
    <cellStyle name="40% - Accent5 3 3 7 3" xfId="15406" xr:uid="{00000000-0005-0000-0000-0000E6830000}"/>
    <cellStyle name="40% - Accent5 3 3 7 3 2" xfId="38008" xr:uid="{00000000-0005-0000-0000-0000E7830000}"/>
    <cellStyle name="40% - Accent5 3 3 7 4" xfId="26707" xr:uid="{00000000-0005-0000-0000-0000E8830000}"/>
    <cellStyle name="40% - Accent5 3 3 8" xfId="6556" xr:uid="{00000000-0005-0000-0000-0000E9830000}"/>
    <cellStyle name="40% - Accent5 3 3 8 2" xfId="17857" xr:uid="{00000000-0005-0000-0000-0000EA830000}"/>
    <cellStyle name="40% - Accent5 3 3 8 2 2" xfId="40459" xr:uid="{00000000-0005-0000-0000-0000EB830000}"/>
    <cellStyle name="40% - Accent5 3 3 8 3" xfId="29158" xr:uid="{00000000-0005-0000-0000-0000EC830000}"/>
    <cellStyle name="40% - Accent5 3 3 9" xfId="12207" xr:uid="{00000000-0005-0000-0000-0000ED830000}"/>
    <cellStyle name="40% - Accent5 3 3 9 2" xfId="34809" xr:uid="{00000000-0005-0000-0000-0000EE830000}"/>
    <cellStyle name="40% - Accent5 3 4" xfId="557" xr:uid="{00000000-0005-0000-0000-0000EF830000}"/>
    <cellStyle name="40% - Accent5 3 4 2" xfId="1134" xr:uid="{00000000-0005-0000-0000-0000F0830000}"/>
    <cellStyle name="40% - Accent5 3 4 2 2" xfId="2002" xr:uid="{00000000-0005-0000-0000-0000F1830000}"/>
    <cellStyle name="40% - Accent5 3 4 2 2 2" xfId="3201" xr:uid="{00000000-0005-0000-0000-0000F2830000}"/>
    <cellStyle name="40% - Accent5 3 4 2 2 2 2" xfId="6173" xr:uid="{00000000-0005-0000-0000-0000F3830000}"/>
    <cellStyle name="40% - Accent5 3 4 2 2 2 2 2" xfId="11823" xr:uid="{00000000-0005-0000-0000-0000F4830000}"/>
    <cellStyle name="40% - Accent5 3 4 2 2 2 2 2 2" xfId="23124" xr:uid="{00000000-0005-0000-0000-0000F5830000}"/>
    <cellStyle name="40% - Accent5 3 4 2 2 2 2 2 2 2" xfId="45726" xr:uid="{00000000-0005-0000-0000-0000F6830000}"/>
    <cellStyle name="40% - Accent5 3 4 2 2 2 2 2 3" xfId="34425" xr:uid="{00000000-0005-0000-0000-0000F7830000}"/>
    <cellStyle name="40% - Accent5 3 4 2 2 2 2 3" xfId="17474" xr:uid="{00000000-0005-0000-0000-0000F8830000}"/>
    <cellStyle name="40% - Accent5 3 4 2 2 2 2 3 2" xfId="40076" xr:uid="{00000000-0005-0000-0000-0000F9830000}"/>
    <cellStyle name="40% - Accent5 3 4 2 2 2 2 4" xfId="28775" xr:uid="{00000000-0005-0000-0000-0000FA830000}"/>
    <cellStyle name="40% - Accent5 3 4 2 2 2 3" xfId="8991" xr:uid="{00000000-0005-0000-0000-0000FB830000}"/>
    <cellStyle name="40% - Accent5 3 4 2 2 2 3 2" xfId="20292" xr:uid="{00000000-0005-0000-0000-0000FC830000}"/>
    <cellStyle name="40% - Accent5 3 4 2 2 2 3 2 2" xfId="42894" xr:uid="{00000000-0005-0000-0000-0000FD830000}"/>
    <cellStyle name="40% - Accent5 3 4 2 2 2 3 3" xfId="31593" xr:uid="{00000000-0005-0000-0000-0000FE830000}"/>
    <cellStyle name="40% - Accent5 3 4 2 2 2 4" xfId="14642" xr:uid="{00000000-0005-0000-0000-0000FF830000}"/>
    <cellStyle name="40% - Accent5 3 4 2 2 2 4 2" xfId="37244" xr:uid="{00000000-0005-0000-0000-000000840000}"/>
    <cellStyle name="40% - Accent5 3 4 2 2 2 5" xfId="25943" xr:uid="{00000000-0005-0000-0000-000001840000}"/>
    <cellStyle name="40% - Accent5 3 4 2 2 3" xfId="4939" xr:uid="{00000000-0005-0000-0000-000002840000}"/>
    <cellStyle name="40% - Accent5 3 4 2 2 3 2" xfId="10589" xr:uid="{00000000-0005-0000-0000-000003840000}"/>
    <cellStyle name="40% - Accent5 3 4 2 2 3 2 2" xfId="21890" xr:uid="{00000000-0005-0000-0000-000004840000}"/>
    <cellStyle name="40% - Accent5 3 4 2 2 3 2 2 2" xfId="44492" xr:uid="{00000000-0005-0000-0000-000005840000}"/>
    <cellStyle name="40% - Accent5 3 4 2 2 3 2 3" xfId="33191" xr:uid="{00000000-0005-0000-0000-000006840000}"/>
    <cellStyle name="40% - Accent5 3 4 2 2 3 3" xfId="16240" xr:uid="{00000000-0005-0000-0000-000007840000}"/>
    <cellStyle name="40% - Accent5 3 4 2 2 3 3 2" xfId="38842" xr:uid="{00000000-0005-0000-0000-000008840000}"/>
    <cellStyle name="40% - Accent5 3 4 2 2 3 4" xfId="27541" xr:uid="{00000000-0005-0000-0000-000009840000}"/>
    <cellStyle name="40% - Accent5 3 4 2 2 4" xfId="7858" xr:uid="{00000000-0005-0000-0000-00000A840000}"/>
    <cellStyle name="40% - Accent5 3 4 2 2 4 2" xfId="19159" xr:uid="{00000000-0005-0000-0000-00000B840000}"/>
    <cellStyle name="40% - Accent5 3 4 2 2 4 2 2" xfId="41761" xr:uid="{00000000-0005-0000-0000-00000C840000}"/>
    <cellStyle name="40% - Accent5 3 4 2 2 4 3" xfId="30460" xr:uid="{00000000-0005-0000-0000-00000D840000}"/>
    <cellStyle name="40% - Accent5 3 4 2 2 5" xfId="13509" xr:uid="{00000000-0005-0000-0000-00000E840000}"/>
    <cellStyle name="40% - Accent5 3 4 2 2 5 2" xfId="36111" xr:uid="{00000000-0005-0000-0000-00000F840000}"/>
    <cellStyle name="40% - Accent5 3 4 2 2 6" xfId="24810" xr:uid="{00000000-0005-0000-0000-000010840000}"/>
    <cellStyle name="40% - Accent5 3 4 2 3" xfId="2530" xr:uid="{00000000-0005-0000-0000-000011840000}"/>
    <cellStyle name="40% - Accent5 3 4 2 3 2" xfId="5549" xr:uid="{00000000-0005-0000-0000-000012840000}"/>
    <cellStyle name="40% - Accent5 3 4 2 3 2 2" xfId="11199" xr:uid="{00000000-0005-0000-0000-000013840000}"/>
    <cellStyle name="40% - Accent5 3 4 2 3 2 2 2" xfId="22500" xr:uid="{00000000-0005-0000-0000-000014840000}"/>
    <cellStyle name="40% - Accent5 3 4 2 3 2 2 2 2" xfId="45102" xr:uid="{00000000-0005-0000-0000-000015840000}"/>
    <cellStyle name="40% - Accent5 3 4 2 3 2 2 3" xfId="33801" xr:uid="{00000000-0005-0000-0000-000016840000}"/>
    <cellStyle name="40% - Accent5 3 4 2 3 2 3" xfId="16850" xr:uid="{00000000-0005-0000-0000-000017840000}"/>
    <cellStyle name="40% - Accent5 3 4 2 3 2 3 2" xfId="39452" xr:uid="{00000000-0005-0000-0000-000018840000}"/>
    <cellStyle name="40% - Accent5 3 4 2 3 2 4" xfId="28151" xr:uid="{00000000-0005-0000-0000-000019840000}"/>
    <cellStyle name="40% - Accent5 3 4 2 3 3" xfId="8366" xr:uid="{00000000-0005-0000-0000-00001A840000}"/>
    <cellStyle name="40% - Accent5 3 4 2 3 3 2" xfId="19667" xr:uid="{00000000-0005-0000-0000-00001B840000}"/>
    <cellStyle name="40% - Accent5 3 4 2 3 3 2 2" xfId="42269" xr:uid="{00000000-0005-0000-0000-00001C840000}"/>
    <cellStyle name="40% - Accent5 3 4 2 3 3 3" xfId="30968" xr:uid="{00000000-0005-0000-0000-00001D840000}"/>
    <cellStyle name="40% - Accent5 3 4 2 3 4" xfId="14017" xr:uid="{00000000-0005-0000-0000-00001E840000}"/>
    <cellStyle name="40% - Accent5 3 4 2 3 4 2" xfId="36619" xr:uid="{00000000-0005-0000-0000-00001F840000}"/>
    <cellStyle name="40% - Accent5 3 4 2 3 5" xfId="25318" xr:uid="{00000000-0005-0000-0000-000020840000}"/>
    <cellStyle name="40% - Accent5 3 4 2 4" xfId="4315" xr:uid="{00000000-0005-0000-0000-000021840000}"/>
    <cellStyle name="40% - Accent5 3 4 2 4 2" xfId="9965" xr:uid="{00000000-0005-0000-0000-000022840000}"/>
    <cellStyle name="40% - Accent5 3 4 2 4 2 2" xfId="21266" xr:uid="{00000000-0005-0000-0000-000023840000}"/>
    <cellStyle name="40% - Accent5 3 4 2 4 2 2 2" xfId="43868" xr:uid="{00000000-0005-0000-0000-000024840000}"/>
    <cellStyle name="40% - Accent5 3 4 2 4 2 3" xfId="32567" xr:uid="{00000000-0005-0000-0000-000025840000}"/>
    <cellStyle name="40% - Accent5 3 4 2 4 3" xfId="15616" xr:uid="{00000000-0005-0000-0000-000026840000}"/>
    <cellStyle name="40% - Accent5 3 4 2 4 3 2" xfId="38218" xr:uid="{00000000-0005-0000-0000-000027840000}"/>
    <cellStyle name="40% - Accent5 3 4 2 4 4" xfId="26917" xr:uid="{00000000-0005-0000-0000-000028840000}"/>
    <cellStyle name="40% - Accent5 3 4 2 5" xfId="7113" xr:uid="{00000000-0005-0000-0000-000029840000}"/>
    <cellStyle name="40% - Accent5 3 4 2 5 2" xfId="18414" xr:uid="{00000000-0005-0000-0000-00002A840000}"/>
    <cellStyle name="40% - Accent5 3 4 2 5 2 2" xfId="41016" xr:uid="{00000000-0005-0000-0000-00002B840000}"/>
    <cellStyle name="40% - Accent5 3 4 2 5 3" xfId="29715" xr:uid="{00000000-0005-0000-0000-00002C840000}"/>
    <cellStyle name="40% - Accent5 3 4 2 6" xfId="12764" xr:uid="{00000000-0005-0000-0000-00002D840000}"/>
    <cellStyle name="40% - Accent5 3 4 2 6 2" xfId="35366" xr:uid="{00000000-0005-0000-0000-00002E840000}"/>
    <cellStyle name="40% - Accent5 3 4 2 7" xfId="24065" xr:uid="{00000000-0005-0000-0000-00002F840000}"/>
    <cellStyle name="40% - Accent5 3 4 3" xfId="807" xr:uid="{00000000-0005-0000-0000-000030840000}"/>
    <cellStyle name="40% - Accent5 3 4 3 2" xfId="2895" xr:uid="{00000000-0005-0000-0000-000031840000}"/>
    <cellStyle name="40% - Accent5 3 4 3 2 2" xfId="5867" xr:uid="{00000000-0005-0000-0000-000032840000}"/>
    <cellStyle name="40% - Accent5 3 4 3 2 2 2" xfId="11517" xr:uid="{00000000-0005-0000-0000-000033840000}"/>
    <cellStyle name="40% - Accent5 3 4 3 2 2 2 2" xfId="22818" xr:uid="{00000000-0005-0000-0000-000034840000}"/>
    <cellStyle name="40% - Accent5 3 4 3 2 2 2 2 2" xfId="45420" xr:uid="{00000000-0005-0000-0000-000035840000}"/>
    <cellStyle name="40% - Accent5 3 4 3 2 2 2 3" xfId="34119" xr:uid="{00000000-0005-0000-0000-000036840000}"/>
    <cellStyle name="40% - Accent5 3 4 3 2 2 3" xfId="17168" xr:uid="{00000000-0005-0000-0000-000037840000}"/>
    <cellStyle name="40% - Accent5 3 4 3 2 2 3 2" xfId="39770" xr:uid="{00000000-0005-0000-0000-000038840000}"/>
    <cellStyle name="40% - Accent5 3 4 3 2 2 4" xfId="28469" xr:uid="{00000000-0005-0000-0000-000039840000}"/>
    <cellStyle name="40% - Accent5 3 4 3 2 3" xfId="8685" xr:uid="{00000000-0005-0000-0000-00003A840000}"/>
    <cellStyle name="40% - Accent5 3 4 3 2 3 2" xfId="19986" xr:uid="{00000000-0005-0000-0000-00003B840000}"/>
    <cellStyle name="40% - Accent5 3 4 3 2 3 2 2" xfId="42588" xr:uid="{00000000-0005-0000-0000-00003C840000}"/>
    <cellStyle name="40% - Accent5 3 4 3 2 3 3" xfId="31287" xr:uid="{00000000-0005-0000-0000-00003D840000}"/>
    <cellStyle name="40% - Accent5 3 4 3 2 4" xfId="14336" xr:uid="{00000000-0005-0000-0000-00003E840000}"/>
    <cellStyle name="40% - Accent5 3 4 3 2 4 2" xfId="36938" xr:uid="{00000000-0005-0000-0000-00003F840000}"/>
    <cellStyle name="40% - Accent5 3 4 3 2 5" xfId="25637" xr:uid="{00000000-0005-0000-0000-000040840000}"/>
    <cellStyle name="40% - Accent5 3 4 3 3" xfId="4633" xr:uid="{00000000-0005-0000-0000-000041840000}"/>
    <cellStyle name="40% - Accent5 3 4 3 3 2" xfId="10283" xr:uid="{00000000-0005-0000-0000-000042840000}"/>
    <cellStyle name="40% - Accent5 3 4 3 3 2 2" xfId="21584" xr:uid="{00000000-0005-0000-0000-000043840000}"/>
    <cellStyle name="40% - Accent5 3 4 3 3 2 2 2" xfId="44186" xr:uid="{00000000-0005-0000-0000-000044840000}"/>
    <cellStyle name="40% - Accent5 3 4 3 3 2 3" xfId="32885" xr:uid="{00000000-0005-0000-0000-000045840000}"/>
    <cellStyle name="40% - Accent5 3 4 3 3 3" xfId="15934" xr:uid="{00000000-0005-0000-0000-000046840000}"/>
    <cellStyle name="40% - Accent5 3 4 3 3 3 2" xfId="38536" xr:uid="{00000000-0005-0000-0000-000047840000}"/>
    <cellStyle name="40% - Accent5 3 4 3 3 4" xfId="27235" xr:uid="{00000000-0005-0000-0000-000048840000}"/>
    <cellStyle name="40% - Accent5 3 4 3 4" xfId="6816" xr:uid="{00000000-0005-0000-0000-000049840000}"/>
    <cellStyle name="40% - Accent5 3 4 3 4 2" xfId="18117" xr:uid="{00000000-0005-0000-0000-00004A840000}"/>
    <cellStyle name="40% - Accent5 3 4 3 4 2 2" xfId="40719" xr:uid="{00000000-0005-0000-0000-00004B840000}"/>
    <cellStyle name="40% - Accent5 3 4 3 4 3" xfId="29418" xr:uid="{00000000-0005-0000-0000-00004C840000}"/>
    <cellStyle name="40% - Accent5 3 4 3 5" xfId="12467" xr:uid="{00000000-0005-0000-0000-00004D840000}"/>
    <cellStyle name="40% - Accent5 3 4 3 5 2" xfId="35069" xr:uid="{00000000-0005-0000-0000-00004E840000}"/>
    <cellStyle name="40% - Accent5 3 4 3 6" xfId="23768" xr:uid="{00000000-0005-0000-0000-00004F840000}"/>
    <cellStyle name="40% - Accent5 3 4 4" xfId="2001" xr:uid="{00000000-0005-0000-0000-000050840000}"/>
    <cellStyle name="40% - Accent5 3 4 4 2" xfId="3801" xr:uid="{00000000-0005-0000-0000-000051840000}"/>
    <cellStyle name="40% - Accent5 3 4 4 2 2" xfId="9511" xr:uid="{00000000-0005-0000-0000-000052840000}"/>
    <cellStyle name="40% - Accent5 3 4 4 2 2 2" xfId="20812" xr:uid="{00000000-0005-0000-0000-000053840000}"/>
    <cellStyle name="40% - Accent5 3 4 4 2 2 2 2" xfId="43414" xr:uid="{00000000-0005-0000-0000-000054840000}"/>
    <cellStyle name="40% - Accent5 3 4 4 2 2 3" xfId="32113" xr:uid="{00000000-0005-0000-0000-000055840000}"/>
    <cellStyle name="40% - Accent5 3 4 4 2 3" xfId="15162" xr:uid="{00000000-0005-0000-0000-000056840000}"/>
    <cellStyle name="40% - Accent5 3 4 4 2 3 2" xfId="37764" xr:uid="{00000000-0005-0000-0000-000057840000}"/>
    <cellStyle name="40% - Accent5 3 4 4 2 4" xfId="26463" xr:uid="{00000000-0005-0000-0000-000058840000}"/>
    <cellStyle name="40% - Accent5 3 4 4 3" xfId="5243" xr:uid="{00000000-0005-0000-0000-000059840000}"/>
    <cellStyle name="40% - Accent5 3 4 4 3 2" xfId="10893" xr:uid="{00000000-0005-0000-0000-00005A840000}"/>
    <cellStyle name="40% - Accent5 3 4 4 3 2 2" xfId="22194" xr:uid="{00000000-0005-0000-0000-00005B840000}"/>
    <cellStyle name="40% - Accent5 3 4 4 3 2 2 2" xfId="44796" xr:uid="{00000000-0005-0000-0000-00005C840000}"/>
    <cellStyle name="40% - Accent5 3 4 4 3 2 3" xfId="33495" xr:uid="{00000000-0005-0000-0000-00005D840000}"/>
    <cellStyle name="40% - Accent5 3 4 4 3 3" xfId="16544" xr:uid="{00000000-0005-0000-0000-00005E840000}"/>
    <cellStyle name="40% - Accent5 3 4 4 3 3 2" xfId="39146" xr:uid="{00000000-0005-0000-0000-00005F840000}"/>
    <cellStyle name="40% - Accent5 3 4 4 3 4" xfId="27845" xr:uid="{00000000-0005-0000-0000-000060840000}"/>
    <cellStyle name="40% - Accent5 3 4 4 4" xfId="7857" xr:uid="{00000000-0005-0000-0000-000061840000}"/>
    <cellStyle name="40% - Accent5 3 4 4 4 2" xfId="19158" xr:uid="{00000000-0005-0000-0000-000062840000}"/>
    <cellStyle name="40% - Accent5 3 4 4 4 2 2" xfId="41760" xr:uid="{00000000-0005-0000-0000-000063840000}"/>
    <cellStyle name="40% - Accent5 3 4 4 4 3" xfId="30459" xr:uid="{00000000-0005-0000-0000-000064840000}"/>
    <cellStyle name="40% - Accent5 3 4 4 5" xfId="13508" xr:uid="{00000000-0005-0000-0000-000065840000}"/>
    <cellStyle name="40% - Accent5 3 4 4 5 2" xfId="36110" xr:uid="{00000000-0005-0000-0000-000066840000}"/>
    <cellStyle name="40% - Accent5 3 4 4 6" xfId="24809" xr:uid="{00000000-0005-0000-0000-000067840000}"/>
    <cellStyle name="40% - Accent5 3 4 5" xfId="2215" xr:uid="{00000000-0005-0000-0000-000068840000}"/>
    <cellStyle name="40% - Accent5 3 4 5 2" xfId="8057" xr:uid="{00000000-0005-0000-0000-000069840000}"/>
    <cellStyle name="40% - Accent5 3 4 5 2 2" xfId="19358" xr:uid="{00000000-0005-0000-0000-00006A840000}"/>
    <cellStyle name="40% - Accent5 3 4 5 2 2 2" xfId="41960" xr:uid="{00000000-0005-0000-0000-00006B840000}"/>
    <cellStyle name="40% - Accent5 3 4 5 2 3" xfId="30659" xr:uid="{00000000-0005-0000-0000-00006C840000}"/>
    <cellStyle name="40% - Accent5 3 4 5 3" xfId="13708" xr:uid="{00000000-0005-0000-0000-00006D840000}"/>
    <cellStyle name="40% - Accent5 3 4 5 3 2" xfId="36310" xr:uid="{00000000-0005-0000-0000-00006E840000}"/>
    <cellStyle name="40% - Accent5 3 4 5 4" xfId="25009" xr:uid="{00000000-0005-0000-0000-00006F840000}"/>
    <cellStyle name="40% - Accent5 3 4 6" xfId="4009" xr:uid="{00000000-0005-0000-0000-000070840000}"/>
    <cellStyle name="40% - Accent5 3 4 6 2" xfId="9659" xr:uid="{00000000-0005-0000-0000-000071840000}"/>
    <cellStyle name="40% - Accent5 3 4 6 2 2" xfId="20960" xr:uid="{00000000-0005-0000-0000-000072840000}"/>
    <cellStyle name="40% - Accent5 3 4 6 2 2 2" xfId="43562" xr:uid="{00000000-0005-0000-0000-000073840000}"/>
    <cellStyle name="40% - Accent5 3 4 6 2 3" xfId="32261" xr:uid="{00000000-0005-0000-0000-000074840000}"/>
    <cellStyle name="40% - Accent5 3 4 6 3" xfId="15310" xr:uid="{00000000-0005-0000-0000-000075840000}"/>
    <cellStyle name="40% - Accent5 3 4 6 3 2" xfId="37912" xr:uid="{00000000-0005-0000-0000-000076840000}"/>
    <cellStyle name="40% - Accent5 3 4 6 4" xfId="26611" xr:uid="{00000000-0005-0000-0000-000077840000}"/>
    <cellStyle name="40% - Accent5 3 4 7" xfId="6627" xr:uid="{00000000-0005-0000-0000-000078840000}"/>
    <cellStyle name="40% - Accent5 3 4 7 2" xfId="17928" xr:uid="{00000000-0005-0000-0000-000079840000}"/>
    <cellStyle name="40% - Accent5 3 4 7 2 2" xfId="40530" xr:uid="{00000000-0005-0000-0000-00007A840000}"/>
    <cellStyle name="40% - Accent5 3 4 7 3" xfId="29229" xr:uid="{00000000-0005-0000-0000-00007B840000}"/>
    <cellStyle name="40% - Accent5 3 4 8" xfId="12278" xr:uid="{00000000-0005-0000-0000-00007C840000}"/>
    <cellStyle name="40% - Accent5 3 4 8 2" xfId="34880" xr:uid="{00000000-0005-0000-0000-00007D840000}"/>
    <cellStyle name="40% - Accent5 3 4 9" xfId="23579" xr:uid="{00000000-0005-0000-0000-00007E840000}"/>
    <cellStyle name="40% - Accent5 3 5" xfId="456" xr:uid="{00000000-0005-0000-0000-00007F840000}"/>
    <cellStyle name="40% - Accent5 3 6" xfId="1415" xr:uid="{00000000-0005-0000-0000-000080840000}"/>
    <cellStyle name="40% - Accent5 3 7" xfId="6460" xr:uid="{00000000-0005-0000-0000-000081840000}"/>
    <cellStyle name="40% - Accent5 3 7 2" xfId="17761" xr:uid="{00000000-0005-0000-0000-000082840000}"/>
    <cellStyle name="40% - Accent5 3 7 2 2" xfId="40363" xr:uid="{00000000-0005-0000-0000-000083840000}"/>
    <cellStyle name="40% - Accent5 3 7 3" xfId="29062" xr:uid="{00000000-0005-0000-0000-000084840000}"/>
    <cellStyle name="40% - Accent5 3 8" xfId="12111" xr:uid="{00000000-0005-0000-0000-000085840000}"/>
    <cellStyle name="40% - Accent5 3 8 2" xfId="34713" xr:uid="{00000000-0005-0000-0000-000086840000}"/>
    <cellStyle name="40% - Accent5 3 9" xfId="23412" xr:uid="{00000000-0005-0000-0000-000087840000}"/>
    <cellStyle name="40% - Accent5 4" xfId="242" xr:uid="{00000000-0005-0000-0000-000088840000}"/>
    <cellStyle name="40% - Accent5 4 10" xfId="3995" xr:uid="{00000000-0005-0000-0000-000089840000}"/>
    <cellStyle name="40% - Accent5 4 10 2" xfId="9645" xr:uid="{00000000-0005-0000-0000-00008A840000}"/>
    <cellStyle name="40% - Accent5 4 10 2 2" xfId="20946" xr:uid="{00000000-0005-0000-0000-00008B840000}"/>
    <cellStyle name="40% - Accent5 4 10 2 2 2" xfId="43548" xr:uid="{00000000-0005-0000-0000-00008C840000}"/>
    <cellStyle name="40% - Accent5 4 10 2 3" xfId="32247" xr:uid="{00000000-0005-0000-0000-00008D840000}"/>
    <cellStyle name="40% - Accent5 4 10 3" xfId="15296" xr:uid="{00000000-0005-0000-0000-00008E840000}"/>
    <cellStyle name="40% - Accent5 4 10 3 2" xfId="37898" xr:uid="{00000000-0005-0000-0000-00008F840000}"/>
    <cellStyle name="40% - Accent5 4 10 4" xfId="26597" xr:uid="{00000000-0005-0000-0000-000090840000}"/>
    <cellStyle name="40% - Accent5 4 11" xfId="6474" xr:uid="{00000000-0005-0000-0000-000091840000}"/>
    <cellStyle name="40% - Accent5 4 11 2" xfId="17775" xr:uid="{00000000-0005-0000-0000-000092840000}"/>
    <cellStyle name="40% - Accent5 4 11 2 2" xfId="40377" xr:uid="{00000000-0005-0000-0000-000093840000}"/>
    <cellStyle name="40% - Accent5 4 11 3" xfId="29076" xr:uid="{00000000-0005-0000-0000-000094840000}"/>
    <cellStyle name="40% - Accent5 4 12" xfId="12125" xr:uid="{00000000-0005-0000-0000-000095840000}"/>
    <cellStyle name="40% - Accent5 4 12 2" xfId="34727" xr:uid="{00000000-0005-0000-0000-000096840000}"/>
    <cellStyle name="40% - Accent5 4 13" xfId="23426" xr:uid="{00000000-0005-0000-0000-000097840000}"/>
    <cellStyle name="40% - Accent5 4 2" xfId="365" xr:uid="{00000000-0005-0000-0000-000098840000}"/>
    <cellStyle name="40% - Accent5 4 2 10" xfId="23473" xr:uid="{00000000-0005-0000-0000-000099840000}"/>
    <cellStyle name="40% - Accent5 4 2 2" xfId="623" xr:uid="{00000000-0005-0000-0000-00009A840000}"/>
    <cellStyle name="40% - Accent5 4 2 2 2" xfId="1333" xr:uid="{00000000-0005-0000-0000-00009B840000}"/>
    <cellStyle name="40% - Accent5 4 2 2 2 2" xfId="2006" xr:uid="{00000000-0005-0000-0000-00009C840000}"/>
    <cellStyle name="40% - Accent5 4 2 2 2 2 2" xfId="3402" xr:uid="{00000000-0005-0000-0000-00009D840000}"/>
    <cellStyle name="40% - Accent5 4 2 2 2 2 2 2" xfId="6374" xr:uid="{00000000-0005-0000-0000-00009E840000}"/>
    <cellStyle name="40% - Accent5 4 2 2 2 2 2 2 2" xfId="12024" xr:uid="{00000000-0005-0000-0000-00009F840000}"/>
    <cellStyle name="40% - Accent5 4 2 2 2 2 2 2 2 2" xfId="23325" xr:uid="{00000000-0005-0000-0000-0000A0840000}"/>
    <cellStyle name="40% - Accent5 4 2 2 2 2 2 2 2 2 2" xfId="45927" xr:uid="{00000000-0005-0000-0000-0000A1840000}"/>
    <cellStyle name="40% - Accent5 4 2 2 2 2 2 2 2 3" xfId="34626" xr:uid="{00000000-0005-0000-0000-0000A2840000}"/>
    <cellStyle name="40% - Accent5 4 2 2 2 2 2 2 3" xfId="17675" xr:uid="{00000000-0005-0000-0000-0000A3840000}"/>
    <cellStyle name="40% - Accent5 4 2 2 2 2 2 2 3 2" xfId="40277" xr:uid="{00000000-0005-0000-0000-0000A4840000}"/>
    <cellStyle name="40% - Accent5 4 2 2 2 2 2 2 4" xfId="28976" xr:uid="{00000000-0005-0000-0000-0000A5840000}"/>
    <cellStyle name="40% - Accent5 4 2 2 2 2 2 3" xfId="9192" xr:uid="{00000000-0005-0000-0000-0000A6840000}"/>
    <cellStyle name="40% - Accent5 4 2 2 2 2 2 3 2" xfId="20493" xr:uid="{00000000-0005-0000-0000-0000A7840000}"/>
    <cellStyle name="40% - Accent5 4 2 2 2 2 2 3 2 2" xfId="43095" xr:uid="{00000000-0005-0000-0000-0000A8840000}"/>
    <cellStyle name="40% - Accent5 4 2 2 2 2 2 3 3" xfId="31794" xr:uid="{00000000-0005-0000-0000-0000A9840000}"/>
    <cellStyle name="40% - Accent5 4 2 2 2 2 2 4" xfId="14843" xr:uid="{00000000-0005-0000-0000-0000AA840000}"/>
    <cellStyle name="40% - Accent5 4 2 2 2 2 2 4 2" xfId="37445" xr:uid="{00000000-0005-0000-0000-0000AB840000}"/>
    <cellStyle name="40% - Accent5 4 2 2 2 2 2 5" xfId="26144" xr:uid="{00000000-0005-0000-0000-0000AC840000}"/>
    <cellStyle name="40% - Accent5 4 2 2 2 2 3" xfId="5140" xr:uid="{00000000-0005-0000-0000-0000AD840000}"/>
    <cellStyle name="40% - Accent5 4 2 2 2 2 3 2" xfId="10790" xr:uid="{00000000-0005-0000-0000-0000AE840000}"/>
    <cellStyle name="40% - Accent5 4 2 2 2 2 3 2 2" xfId="22091" xr:uid="{00000000-0005-0000-0000-0000AF840000}"/>
    <cellStyle name="40% - Accent5 4 2 2 2 2 3 2 2 2" xfId="44693" xr:uid="{00000000-0005-0000-0000-0000B0840000}"/>
    <cellStyle name="40% - Accent5 4 2 2 2 2 3 2 3" xfId="33392" xr:uid="{00000000-0005-0000-0000-0000B1840000}"/>
    <cellStyle name="40% - Accent5 4 2 2 2 2 3 3" xfId="16441" xr:uid="{00000000-0005-0000-0000-0000B2840000}"/>
    <cellStyle name="40% - Accent5 4 2 2 2 2 3 3 2" xfId="39043" xr:uid="{00000000-0005-0000-0000-0000B3840000}"/>
    <cellStyle name="40% - Accent5 4 2 2 2 2 3 4" xfId="27742" xr:uid="{00000000-0005-0000-0000-0000B4840000}"/>
    <cellStyle name="40% - Accent5 4 2 2 2 2 4" xfId="7862" xr:uid="{00000000-0005-0000-0000-0000B5840000}"/>
    <cellStyle name="40% - Accent5 4 2 2 2 2 4 2" xfId="19163" xr:uid="{00000000-0005-0000-0000-0000B6840000}"/>
    <cellStyle name="40% - Accent5 4 2 2 2 2 4 2 2" xfId="41765" xr:uid="{00000000-0005-0000-0000-0000B7840000}"/>
    <cellStyle name="40% - Accent5 4 2 2 2 2 4 3" xfId="30464" xr:uid="{00000000-0005-0000-0000-0000B8840000}"/>
    <cellStyle name="40% - Accent5 4 2 2 2 2 5" xfId="13513" xr:uid="{00000000-0005-0000-0000-0000B9840000}"/>
    <cellStyle name="40% - Accent5 4 2 2 2 2 5 2" xfId="36115" xr:uid="{00000000-0005-0000-0000-0000BA840000}"/>
    <cellStyle name="40% - Accent5 4 2 2 2 2 6" xfId="24814" xr:uid="{00000000-0005-0000-0000-0000BB840000}"/>
    <cellStyle name="40% - Accent5 4 2 2 2 3" xfId="2731" xr:uid="{00000000-0005-0000-0000-0000BC840000}"/>
    <cellStyle name="40% - Accent5 4 2 2 2 3 2" xfId="5750" xr:uid="{00000000-0005-0000-0000-0000BD840000}"/>
    <cellStyle name="40% - Accent5 4 2 2 2 3 2 2" xfId="11400" xr:uid="{00000000-0005-0000-0000-0000BE840000}"/>
    <cellStyle name="40% - Accent5 4 2 2 2 3 2 2 2" xfId="22701" xr:uid="{00000000-0005-0000-0000-0000BF840000}"/>
    <cellStyle name="40% - Accent5 4 2 2 2 3 2 2 2 2" xfId="45303" xr:uid="{00000000-0005-0000-0000-0000C0840000}"/>
    <cellStyle name="40% - Accent5 4 2 2 2 3 2 2 3" xfId="34002" xr:uid="{00000000-0005-0000-0000-0000C1840000}"/>
    <cellStyle name="40% - Accent5 4 2 2 2 3 2 3" xfId="17051" xr:uid="{00000000-0005-0000-0000-0000C2840000}"/>
    <cellStyle name="40% - Accent5 4 2 2 2 3 2 3 2" xfId="39653" xr:uid="{00000000-0005-0000-0000-0000C3840000}"/>
    <cellStyle name="40% - Accent5 4 2 2 2 3 2 4" xfId="28352" xr:uid="{00000000-0005-0000-0000-0000C4840000}"/>
    <cellStyle name="40% - Accent5 4 2 2 2 3 3" xfId="8567" xr:uid="{00000000-0005-0000-0000-0000C5840000}"/>
    <cellStyle name="40% - Accent5 4 2 2 2 3 3 2" xfId="19868" xr:uid="{00000000-0005-0000-0000-0000C6840000}"/>
    <cellStyle name="40% - Accent5 4 2 2 2 3 3 2 2" xfId="42470" xr:uid="{00000000-0005-0000-0000-0000C7840000}"/>
    <cellStyle name="40% - Accent5 4 2 2 2 3 3 3" xfId="31169" xr:uid="{00000000-0005-0000-0000-0000C8840000}"/>
    <cellStyle name="40% - Accent5 4 2 2 2 3 4" xfId="14218" xr:uid="{00000000-0005-0000-0000-0000C9840000}"/>
    <cellStyle name="40% - Accent5 4 2 2 2 3 4 2" xfId="36820" xr:uid="{00000000-0005-0000-0000-0000CA840000}"/>
    <cellStyle name="40% - Accent5 4 2 2 2 3 5" xfId="25519" xr:uid="{00000000-0005-0000-0000-0000CB840000}"/>
    <cellStyle name="40% - Accent5 4 2 2 2 4" xfId="4516" xr:uid="{00000000-0005-0000-0000-0000CC840000}"/>
    <cellStyle name="40% - Accent5 4 2 2 2 4 2" xfId="10166" xr:uid="{00000000-0005-0000-0000-0000CD840000}"/>
    <cellStyle name="40% - Accent5 4 2 2 2 4 2 2" xfId="21467" xr:uid="{00000000-0005-0000-0000-0000CE840000}"/>
    <cellStyle name="40% - Accent5 4 2 2 2 4 2 2 2" xfId="44069" xr:uid="{00000000-0005-0000-0000-0000CF840000}"/>
    <cellStyle name="40% - Accent5 4 2 2 2 4 2 3" xfId="32768" xr:uid="{00000000-0005-0000-0000-0000D0840000}"/>
    <cellStyle name="40% - Accent5 4 2 2 2 4 3" xfId="15817" xr:uid="{00000000-0005-0000-0000-0000D1840000}"/>
    <cellStyle name="40% - Accent5 4 2 2 2 4 3 2" xfId="38419" xr:uid="{00000000-0005-0000-0000-0000D2840000}"/>
    <cellStyle name="40% - Accent5 4 2 2 2 4 4" xfId="27118" xr:uid="{00000000-0005-0000-0000-0000D3840000}"/>
    <cellStyle name="40% - Accent5 4 2 2 2 5" xfId="7312" xr:uid="{00000000-0005-0000-0000-0000D4840000}"/>
    <cellStyle name="40% - Accent5 4 2 2 2 5 2" xfId="18613" xr:uid="{00000000-0005-0000-0000-0000D5840000}"/>
    <cellStyle name="40% - Accent5 4 2 2 2 5 2 2" xfId="41215" xr:uid="{00000000-0005-0000-0000-0000D6840000}"/>
    <cellStyle name="40% - Accent5 4 2 2 2 5 3" xfId="29914" xr:uid="{00000000-0005-0000-0000-0000D7840000}"/>
    <cellStyle name="40% - Accent5 4 2 2 2 6" xfId="12963" xr:uid="{00000000-0005-0000-0000-0000D8840000}"/>
    <cellStyle name="40% - Accent5 4 2 2 2 6 2" xfId="35565" xr:uid="{00000000-0005-0000-0000-0000D9840000}"/>
    <cellStyle name="40% - Accent5 4 2 2 2 7" xfId="24264" xr:uid="{00000000-0005-0000-0000-0000DA840000}"/>
    <cellStyle name="40% - Accent5 4 2 2 3" xfId="1031" xr:uid="{00000000-0005-0000-0000-0000DB840000}"/>
    <cellStyle name="40% - Accent5 4 2 2 3 2" xfId="3094" xr:uid="{00000000-0005-0000-0000-0000DC840000}"/>
    <cellStyle name="40% - Accent5 4 2 2 3 2 2" xfId="6066" xr:uid="{00000000-0005-0000-0000-0000DD840000}"/>
    <cellStyle name="40% - Accent5 4 2 2 3 2 2 2" xfId="11716" xr:uid="{00000000-0005-0000-0000-0000DE840000}"/>
    <cellStyle name="40% - Accent5 4 2 2 3 2 2 2 2" xfId="23017" xr:uid="{00000000-0005-0000-0000-0000DF840000}"/>
    <cellStyle name="40% - Accent5 4 2 2 3 2 2 2 2 2" xfId="45619" xr:uid="{00000000-0005-0000-0000-0000E0840000}"/>
    <cellStyle name="40% - Accent5 4 2 2 3 2 2 2 3" xfId="34318" xr:uid="{00000000-0005-0000-0000-0000E1840000}"/>
    <cellStyle name="40% - Accent5 4 2 2 3 2 2 3" xfId="17367" xr:uid="{00000000-0005-0000-0000-0000E2840000}"/>
    <cellStyle name="40% - Accent5 4 2 2 3 2 2 3 2" xfId="39969" xr:uid="{00000000-0005-0000-0000-0000E3840000}"/>
    <cellStyle name="40% - Accent5 4 2 2 3 2 2 4" xfId="28668" xr:uid="{00000000-0005-0000-0000-0000E4840000}"/>
    <cellStyle name="40% - Accent5 4 2 2 3 2 3" xfId="8884" xr:uid="{00000000-0005-0000-0000-0000E5840000}"/>
    <cellStyle name="40% - Accent5 4 2 2 3 2 3 2" xfId="20185" xr:uid="{00000000-0005-0000-0000-0000E6840000}"/>
    <cellStyle name="40% - Accent5 4 2 2 3 2 3 2 2" xfId="42787" xr:uid="{00000000-0005-0000-0000-0000E7840000}"/>
    <cellStyle name="40% - Accent5 4 2 2 3 2 3 3" xfId="31486" xr:uid="{00000000-0005-0000-0000-0000E8840000}"/>
    <cellStyle name="40% - Accent5 4 2 2 3 2 4" xfId="14535" xr:uid="{00000000-0005-0000-0000-0000E9840000}"/>
    <cellStyle name="40% - Accent5 4 2 2 3 2 4 2" xfId="37137" xr:uid="{00000000-0005-0000-0000-0000EA840000}"/>
    <cellStyle name="40% - Accent5 4 2 2 3 2 5" xfId="25836" xr:uid="{00000000-0005-0000-0000-0000EB840000}"/>
    <cellStyle name="40% - Accent5 4 2 2 3 3" xfId="4832" xr:uid="{00000000-0005-0000-0000-0000EC840000}"/>
    <cellStyle name="40% - Accent5 4 2 2 3 3 2" xfId="10482" xr:uid="{00000000-0005-0000-0000-0000ED840000}"/>
    <cellStyle name="40% - Accent5 4 2 2 3 3 2 2" xfId="21783" xr:uid="{00000000-0005-0000-0000-0000EE840000}"/>
    <cellStyle name="40% - Accent5 4 2 2 3 3 2 2 2" xfId="44385" xr:uid="{00000000-0005-0000-0000-0000EF840000}"/>
    <cellStyle name="40% - Accent5 4 2 2 3 3 2 3" xfId="33084" xr:uid="{00000000-0005-0000-0000-0000F0840000}"/>
    <cellStyle name="40% - Accent5 4 2 2 3 3 3" xfId="16133" xr:uid="{00000000-0005-0000-0000-0000F1840000}"/>
    <cellStyle name="40% - Accent5 4 2 2 3 3 3 2" xfId="38735" xr:uid="{00000000-0005-0000-0000-0000F2840000}"/>
    <cellStyle name="40% - Accent5 4 2 2 3 3 4" xfId="27434" xr:uid="{00000000-0005-0000-0000-0000F3840000}"/>
    <cellStyle name="40% - Accent5 4 2 2 3 4" xfId="7019" xr:uid="{00000000-0005-0000-0000-0000F4840000}"/>
    <cellStyle name="40% - Accent5 4 2 2 3 4 2" xfId="18320" xr:uid="{00000000-0005-0000-0000-0000F5840000}"/>
    <cellStyle name="40% - Accent5 4 2 2 3 4 2 2" xfId="40922" xr:uid="{00000000-0005-0000-0000-0000F6840000}"/>
    <cellStyle name="40% - Accent5 4 2 2 3 4 3" xfId="29621" xr:uid="{00000000-0005-0000-0000-0000F7840000}"/>
    <cellStyle name="40% - Accent5 4 2 2 3 5" xfId="12670" xr:uid="{00000000-0005-0000-0000-0000F8840000}"/>
    <cellStyle name="40% - Accent5 4 2 2 3 5 2" xfId="35272" xr:uid="{00000000-0005-0000-0000-0000F9840000}"/>
    <cellStyle name="40% - Accent5 4 2 2 3 6" xfId="23971" xr:uid="{00000000-0005-0000-0000-0000FA840000}"/>
    <cellStyle name="40% - Accent5 4 2 2 4" xfId="2005" xr:uid="{00000000-0005-0000-0000-0000FB840000}"/>
    <cellStyle name="40% - Accent5 4 2 2 4 2" xfId="3804" xr:uid="{00000000-0005-0000-0000-0000FC840000}"/>
    <cellStyle name="40% - Accent5 4 2 2 4 2 2" xfId="9514" xr:uid="{00000000-0005-0000-0000-0000FD840000}"/>
    <cellStyle name="40% - Accent5 4 2 2 4 2 2 2" xfId="20815" xr:uid="{00000000-0005-0000-0000-0000FE840000}"/>
    <cellStyle name="40% - Accent5 4 2 2 4 2 2 2 2" xfId="43417" xr:uid="{00000000-0005-0000-0000-0000FF840000}"/>
    <cellStyle name="40% - Accent5 4 2 2 4 2 2 3" xfId="32116" xr:uid="{00000000-0005-0000-0000-000000850000}"/>
    <cellStyle name="40% - Accent5 4 2 2 4 2 3" xfId="15165" xr:uid="{00000000-0005-0000-0000-000001850000}"/>
    <cellStyle name="40% - Accent5 4 2 2 4 2 3 2" xfId="37767" xr:uid="{00000000-0005-0000-0000-000002850000}"/>
    <cellStyle name="40% - Accent5 4 2 2 4 2 4" xfId="26466" xr:uid="{00000000-0005-0000-0000-000003850000}"/>
    <cellStyle name="40% - Accent5 4 2 2 4 3" xfId="5442" xr:uid="{00000000-0005-0000-0000-000004850000}"/>
    <cellStyle name="40% - Accent5 4 2 2 4 3 2" xfId="11092" xr:uid="{00000000-0005-0000-0000-000005850000}"/>
    <cellStyle name="40% - Accent5 4 2 2 4 3 2 2" xfId="22393" xr:uid="{00000000-0005-0000-0000-000006850000}"/>
    <cellStyle name="40% - Accent5 4 2 2 4 3 2 2 2" xfId="44995" xr:uid="{00000000-0005-0000-0000-000007850000}"/>
    <cellStyle name="40% - Accent5 4 2 2 4 3 2 3" xfId="33694" xr:uid="{00000000-0005-0000-0000-000008850000}"/>
    <cellStyle name="40% - Accent5 4 2 2 4 3 3" xfId="16743" xr:uid="{00000000-0005-0000-0000-000009850000}"/>
    <cellStyle name="40% - Accent5 4 2 2 4 3 3 2" xfId="39345" xr:uid="{00000000-0005-0000-0000-00000A850000}"/>
    <cellStyle name="40% - Accent5 4 2 2 4 3 4" xfId="28044" xr:uid="{00000000-0005-0000-0000-00000B850000}"/>
    <cellStyle name="40% - Accent5 4 2 2 4 4" xfId="7861" xr:uid="{00000000-0005-0000-0000-00000C850000}"/>
    <cellStyle name="40% - Accent5 4 2 2 4 4 2" xfId="19162" xr:uid="{00000000-0005-0000-0000-00000D850000}"/>
    <cellStyle name="40% - Accent5 4 2 2 4 4 2 2" xfId="41764" xr:uid="{00000000-0005-0000-0000-00000E850000}"/>
    <cellStyle name="40% - Accent5 4 2 2 4 4 3" xfId="30463" xr:uid="{00000000-0005-0000-0000-00000F850000}"/>
    <cellStyle name="40% - Accent5 4 2 2 4 5" xfId="13512" xr:uid="{00000000-0005-0000-0000-000010850000}"/>
    <cellStyle name="40% - Accent5 4 2 2 4 5 2" xfId="36114" xr:uid="{00000000-0005-0000-0000-000011850000}"/>
    <cellStyle name="40% - Accent5 4 2 2 4 6" xfId="24813" xr:uid="{00000000-0005-0000-0000-000012850000}"/>
    <cellStyle name="40% - Accent5 4 2 2 5" xfId="2423" xr:uid="{00000000-0005-0000-0000-000013850000}"/>
    <cellStyle name="40% - Accent5 4 2 2 5 2" xfId="8259" xr:uid="{00000000-0005-0000-0000-000014850000}"/>
    <cellStyle name="40% - Accent5 4 2 2 5 2 2" xfId="19560" xr:uid="{00000000-0005-0000-0000-000015850000}"/>
    <cellStyle name="40% - Accent5 4 2 2 5 2 2 2" xfId="42162" xr:uid="{00000000-0005-0000-0000-000016850000}"/>
    <cellStyle name="40% - Accent5 4 2 2 5 2 3" xfId="30861" xr:uid="{00000000-0005-0000-0000-000017850000}"/>
    <cellStyle name="40% - Accent5 4 2 2 5 3" xfId="13910" xr:uid="{00000000-0005-0000-0000-000018850000}"/>
    <cellStyle name="40% - Accent5 4 2 2 5 3 2" xfId="36512" xr:uid="{00000000-0005-0000-0000-000019850000}"/>
    <cellStyle name="40% - Accent5 4 2 2 5 4" xfId="25211" xr:uid="{00000000-0005-0000-0000-00001A850000}"/>
    <cellStyle name="40% - Accent5 4 2 2 6" xfId="4208" xr:uid="{00000000-0005-0000-0000-00001B850000}"/>
    <cellStyle name="40% - Accent5 4 2 2 6 2" xfId="9858" xr:uid="{00000000-0005-0000-0000-00001C850000}"/>
    <cellStyle name="40% - Accent5 4 2 2 6 2 2" xfId="21159" xr:uid="{00000000-0005-0000-0000-00001D850000}"/>
    <cellStyle name="40% - Accent5 4 2 2 6 2 2 2" xfId="43761" xr:uid="{00000000-0005-0000-0000-00001E850000}"/>
    <cellStyle name="40% - Accent5 4 2 2 6 2 3" xfId="32460" xr:uid="{00000000-0005-0000-0000-00001F850000}"/>
    <cellStyle name="40% - Accent5 4 2 2 6 3" xfId="15509" xr:uid="{00000000-0005-0000-0000-000020850000}"/>
    <cellStyle name="40% - Accent5 4 2 2 6 3 2" xfId="38111" xr:uid="{00000000-0005-0000-0000-000021850000}"/>
    <cellStyle name="40% - Accent5 4 2 2 6 4" xfId="26810" xr:uid="{00000000-0005-0000-0000-000022850000}"/>
    <cellStyle name="40% - Accent5 4 2 2 7" xfId="6688" xr:uid="{00000000-0005-0000-0000-000023850000}"/>
    <cellStyle name="40% - Accent5 4 2 2 7 2" xfId="17989" xr:uid="{00000000-0005-0000-0000-000024850000}"/>
    <cellStyle name="40% - Accent5 4 2 2 7 2 2" xfId="40591" xr:uid="{00000000-0005-0000-0000-000025850000}"/>
    <cellStyle name="40% - Accent5 4 2 2 7 3" xfId="29290" xr:uid="{00000000-0005-0000-0000-000026850000}"/>
    <cellStyle name="40% - Accent5 4 2 2 8" xfId="12339" xr:uid="{00000000-0005-0000-0000-000027850000}"/>
    <cellStyle name="40% - Accent5 4 2 2 8 2" xfId="34941" xr:uid="{00000000-0005-0000-0000-000028850000}"/>
    <cellStyle name="40% - Accent5 4 2 2 9" xfId="23640" xr:uid="{00000000-0005-0000-0000-000029850000}"/>
    <cellStyle name="40% - Accent5 4 2 3" xfId="1195" xr:uid="{00000000-0005-0000-0000-00002A850000}"/>
    <cellStyle name="40% - Accent5 4 2 3 2" xfId="2007" xr:uid="{00000000-0005-0000-0000-00002B850000}"/>
    <cellStyle name="40% - Accent5 4 2 3 2 2" xfId="3263" xr:uid="{00000000-0005-0000-0000-00002C850000}"/>
    <cellStyle name="40% - Accent5 4 2 3 2 2 2" xfId="6235" xr:uid="{00000000-0005-0000-0000-00002D850000}"/>
    <cellStyle name="40% - Accent5 4 2 3 2 2 2 2" xfId="11885" xr:uid="{00000000-0005-0000-0000-00002E850000}"/>
    <cellStyle name="40% - Accent5 4 2 3 2 2 2 2 2" xfId="23186" xr:uid="{00000000-0005-0000-0000-00002F850000}"/>
    <cellStyle name="40% - Accent5 4 2 3 2 2 2 2 2 2" xfId="45788" xr:uid="{00000000-0005-0000-0000-000030850000}"/>
    <cellStyle name="40% - Accent5 4 2 3 2 2 2 2 3" xfId="34487" xr:uid="{00000000-0005-0000-0000-000031850000}"/>
    <cellStyle name="40% - Accent5 4 2 3 2 2 2 3" xfId="17536" xr:uid="{00000000-0005-0000-0000-000032850000}"/>
    <cellStyle name="40% - Accent5 4 2 3 2 2 2 3 2" xfId="40138" xr:uid="{00000000-0005-0000-0000-000033850000}"/>
    <cellStyle name="40% - Accent5 4 2 3 2 2 2 4" xfId="28837" xr:uid="{00000000-0005-0000-0000-000034850000}"/>
    <cellStyle name="40% - Accent5 4 2 3 2 2 3" xfId="9053" xr:uid="{00000000-0005-0000-0000-000035850000}"/>
    <cellStyle name="40% - Accent5 4 2 3 2 2 3 2" xfId="20354" xr:uid="{00000000-0005-0000-0000-000036850000}"/>
    <cellStyle name="40% - Accent5 4 2 3 2 2 3 2 2" xfId="42956" xr:uid="{00000000-0005-0000-0000-000037850000}"/>
    <cellStyle name="40% - Accent5 4 2 3 2 2 3 3" xfId="31655" xr:uid="{00000000-0005-0000-0000-000038850000}"/>
    <cellStyle name="40% - Accent5 4 2 3 2 2 4" xfId="14704" xr:uid="{00000000-0005-0000-0000-000039850000}"/>
    <cellStyle name="40% - Accent5 4 2 3 2 2 4 2" xfId="37306" xr:uid="{00000000-0005-0000-0000-00003A850000}"/>
    <cellStyle name="40% - Accent5 4 2 3 2 2 5" xfId="26005" xr:uid="{00000000-0005-0000-0000-00003B850000}"/>
    <cellStyle name="40% - Accent5 4 2 3 2 3" xfId="5001" xr:uid="{00000000-0005-0000-0000-00003C850000}"/>
    <cellStyle name="40% - Accent5 4 2 3 2 3 2" xfId="10651" xr:uid="{00000000-0005-0000-0000-00003D850000}"/>
    <cellStyle name="40% - Accent5 4 2 3 2 3 2 2" xfId="21952" xr:uid="{00000000-0005-0000-0000-00003E850000}"/>
    <cellStyle name="40% - Accent5 4 2 3 2 3 2 2 2" xfId="44554" xr:uid="{00000000-0005-0000-0000-00003F850000}"/>
    <cellStyle name="40% - Accent5 4 2 3 2 3 2 3" xfId="33253" xr:uid="{00000000-0005-0000-0000-000040850000}"/>
    <cellStyle name="40% - Accent5 4 2 3 2 3 3" xfId="16302" xr:uid="{00000000-0005-0000-0000-000041850000}"/>
    <cellStyle name="40% - Accent5 4 2 3 2 3 3 2" xfId="38904" xr:uid="{00000000-0005-0000-0000-000042850000}"/>
    <cellStyle name="40% - Accent5 4 2 3 2 3 4" xfId="27603" xr:uid="{00000000-0005-0000-0000-000043850000}"/>
    <cellStyle name="40% - Accent5 4 2 3 2 4" xfId="7863" xr:uid="{00000000-0005-0000-0000-000044850000}"/>
    <cellStyle name="40% - Accent5 4 2 3 2 4 2" xfId="19164" xr:uid="{00000000-0005-0000-0000-000045850000}"/>
    <cellStyle name="40% - Accent5 4 2 3 2 4 2 2" xfId="41766" xr:uid="{00000000-0005-0000-0000-000046850000}"/>
    <cellStyle name="40% - Accent5 4 2 3 2 4 3" xfId="30465" xr:uid="{00000000-0005-0000-0000-000047850000}"/>
    <cellStyle name="40% - Accent5 4 2 3 2 5" xfId="13514" xr:uid="{00000000-0005-0000-0000-000048850000}"/>
    <cellStyle name="40% - Accent5 4 2 3 2 5 2" xfId="36116" xr:uid="{00000000-0005-0000-0000-000049850000}"/>
    <cellStyle name="40% - Accent5 4 2 3 2 6" xfId="24815" xr:uid="{00000000-0005-0000-0000-00004A850000}"/>
    <cellStyle name="40% - Accent5 4 2 3 3" xfId="2592" xr:uid="{00000000-0005-0000-0000-00004B850000}"/>
    <cellStyle name="40% - Accent5 4 2 3 3 2" xfId="5611" xr:uid="{00000000-0005-0000-0000-00004C850000}"/>
    <cellStyle name="40% - Accent5 4 2 3 3 2 2" xfId="11261" xr:uid="{00000000-0005-0000-0000-00004D850000}"/>
    <cellStyle name="40% - Accent5 4 2 3 3 2 2 2" xfId="22562" xr:uid="{00000000-0005-0000-0000-00004E850000}"/>
    <cellStyle name="40% - Accent5 4 2 3 3 2 2 2 2" xfId="45164" xr:uid="{00000000-0005-0000-0000-00004F850000}"/>
    <cellStyle name="40% - Accent5 4 2 3 3 2 2 3" xfId="33863" xr:uid="{00000000-0005-0000-0000-000050850000}"/>
    <cellStyle name="40% - Accent5 4 2 3 3 2 3" xfId="16912" xr:uid="{00000000-0005-0000-0000-000051850000}"/>
    <cellStyle name="40% - Accent5 4 2 3 3 2 3 2" xfId="39514" xr:uid="{00000000-0005-0000-0000-000052850000}"/>
    <cellStyle name="40% - Accent5 4 2 3 3 2 4" xfId="28213" xr:uid="{00000000-0005-0000-0000-000053850000}"/>
    <cellStyle name="40% - Accent5 4 2 3 3 3" xfId="8428" xr:uid="{00000000-0005-0000-0000-000054850000}"/>
    <cellStyle name="40% - Accent5 4 2 3 3 3 2" xfId="19729" xr:uid="{00000000-0005-0000-0000-000055850000}"/>
    <cellStyle name="40% - Accent5 4 2 3 3 3 2 2" xfId="42331" xr:uid="{00000000-0005-0000-0000-000056850000}"/>
    <cellStyle name="40% - Accent5 4 2 3 3 3 3" xfId="31030" xr:uid="{00000000-0005-0000-0000-000057850000}"/>
    <cellStyle name="40% - Accent5 4 2 3 3 4" xfId="14079" xr:uid="{00000000-0005-0000-0000-000058850000}"/>
    <cellStyle name="40% - Accent5 4 2 3 3 4 2" xfId="36681" xr:uid="{00000000-0005-0000-0000-000059850000}"/>
    <cellStyle name="40% - Accent5 4 2 3 3 5" xfId="25380" xr:uid="{00000000-0005-0000-0000-00005A850000}"/>
    <cellStyle name="40% - Accent5 4 2 3 4" xfId="4377" xr:uid="{00000000-0005-0000-0000-00005B850000}"/>
    <cellStyle name="40% - Accent5 4 2 3 4 2" xfId="10027" xr:uid="{00000000-0005-0000-0000-00005C850000}"/>
    <cellStyle name="40% - Accent5 4 2 3 4 2 2" xfId="21328" xr:uid="{00000000-0005-0000-0000-00005D850000}"/>
    <cellStyle name="40% - Accent5 4 2 3 4 2 2 2" xfId="43930" xr:uid="{00000000-0005-0000-0000-00005E850000}"/>
    <cellStyle name="40% - Accent5 4 2 3 4 2 3" xfId="32629" xr:uid="{00000000-0005-0000-0000-00005F850000}"/>
    <cellStyle name="40% - Accent5 4 2 3 4 3" xfId="15678" xr:uid="{00000000-0005-0000-0000-000060850000}"/>
    <cellStyle name="40% - Accent5 4 2 3 4 3 2" xfId="38280" xr:uid="{00000000-0005-0000-0000-000061850000}"/>
    <cellStyle name="40% - Accent5 4 2 3 4 4" xfId="26979" xr:uid="{00000000-0005-0000-0000-000062850000}"/>
    <cellStyle name="40% - Accent5 4 2 3 5" xfId="7174" xr:uid="{00000000-0005-0000-0000-000063850000}"/>
    <cellStyle name="40% - Accent5 4 2 3 5 2" xfId="18475" xr:uid="{00000000-0005-0000-0000-000064850000}"/>
    <cellStyle name="40% - Accent5 4 2 3 5 2 2" xfId="41077" xr:uid="{00000000-0005-0000-0000-000065850000}"/>
    <cellStyle name="40% - Accent5 4 2 3 5 3" xfId="29776" xr:uid="{00000000-0005-0000-0000-000066850000}"/>
    <cellStyle name="40% - Accent5 4 2 3 6" xfId="12825" xr:uid="{00000000-0005-0000-0000-000067850000}"/>
    <cellStyle name="40% - Accent5 4 2 3 6 2" xfId="35427" xr:uid="{00000000-0005-0000-0000-000068850000}"/>
    <cellStyle name="40% - Accent5 4 2 3 7" xfId="24126" xr:uid="{00000000-0005-0000-0000-000069850000}"/>
    <cellStyle name="40% - Accent5 4 2 4" xfId="885" xr:uid="{00000000-0005-0000-0000-00006A850000}"/>
    <cellStyle name="40% - Accent5 4 2 4 2" xfId="2956" xr:uid="{00000000-0005-0000-0000-00006B850000}"/>
    <cellStyle name="40% - Accent5 4 2 4 2 2" xfId="5928" xr:uid="{00000000-0005-0000-0000-00006C850000}"/>
    <cellStyle name="40% - Accent5 4 2 4 2 2 2" xfId="11578" xr:uid="{00000000-0005-0000-0000-00006D850000}"/>
    <cellStyle name="40% - Accent5 4 2 4 2 2 2 2" xfId="22879" xr:uid="{00000000-0005-0000-0000-00006E850000}"/>
    <cellStyle name="40% - Accent5 4 2 4 2 2 2 2 2" xfId="45481" xr:uid="{00000000-0005-0000-0000-00006F850000}"/>
    <cellStyle name="40% - Accent5 4 2 4 2 2 2 3" xfId="34180" xr:uid="{00000000-0005-0000-0000-000070850000}"/>
    <cellStyle name="40% - Accent5 4 2 4 2 2 3" xfId="17229" xr:uid="{00000000-0005-0000-0000-000071850000}"/>
    <cellStyle name="40% - Accent5 4 2 4 2 2 3 2" xfId="39831" xr:uid="{00000000-0005-0000-0000-000072850000}"/>
    <cellStyle name="40% - Accent5 4 2 4 2 2 4" xfId="28530" xr:uid="{00000000-0005-0000-0000-000073850000}"/>
    <cellStyle name="40% - Accent5 4 2 4 2 3" xfId="8746" xr:uid="{00000000-0005-0000-0000-000074850000}"/>
    <cellStyle name="40% - Accent5 4 2 4 2 3 2" xfId="20047" xr:uid="{00000000-0005-0000-0000-000075850000}"/>
    <cellStyle name="40% - Accent5 4 2 4 2 3 2 2" xfId="42649" xr:uid="{00000000-0005-0000-0000-000076850000}"/>
    <cellStyle name="40% - Accent5 4 2 4 2 3 3" xfId="31348" xr:uid="{00000000-0005-0000-0000-000077850000}"/>
    <cellStyle name="40% - Accent5 4 2 4 2 4" xfId="14397" xr:uid="{00000000-0005-0000-0000-000078850000}"/>
    <cellStyle name="40% - Accent5 4 2 4 2 4 2" xfId="36999" xr:uid="{00000000-0005-0000-0000-000079850000}"/>
    <cellStyle name="40% - Accent5 4 2 4 2 5" xfId="25698" xr:uid="{00000000-0005-0000-0000-00007A850000}"/>
    <cellStyle name="40% - Accent5 4 2 4 3" xfId="4694" xr:uid="{00000000-0005-0000-0000-00007B850000}"/>
    <cellStyle name="40% - Accent5 4 2 4 3 2" xfId="10344" xr:uid="{00000000-0005-0000-0000-00007C850000}"/>
    <cellStyle name="40% - Accent5 4 2 4 3 2 2" xfId="21645" xr:uid="{00000000-0005-0000-0000-00007D850000}"/>
    <cellStyle name="40% - Accent5 4 2 4 3 2 2 2" xfId="44247" xr:uid="{00000000-0005-0000-0000-00007E850000}"/>
    <cellStyle name="40% - Accent5 4 2 4 3 2 3" xfId="32946" xr:uid="{00000000-0005-0000-0000-00007F850000}"/>
    <cellStyle name="40% - Accent5 4 2 4 3 3" xfId="15995" xr:uid="{00000000-0005-0000-0000-000080850000}"/>
    <cellStyle name="40% - Accent5 4 2 4 3 3 2" xfId="38597" xr:uid="{00000000-0005-0000-0000-000081850000}"/>
    <cellStyle name="40% - Accent5 4 2 4 3 4" xfId="27296" xr:uid="{00000000-0005-0000-0000-000082850000}"/>
    <cellStyle name="40% - Accent5 4 2 4 4" xfId="6881" xr:uid="{00000000-0005-0000-0000-000083850000}"/>
    <cellStyle name="40% - Accent5 4 2 4 4 2" xfId="18182" xr:uid="{00000000-0005-0000-0000-000084850000}"/>
    <cellStyle name="40% - Accent5 4 2 4 4 2 2" xfId="40784" xr:uid="{00000000-0005-0000-0000-000085850000}"/>
    <cellStyle name="40% - Accent5 4 2 4 4 3" xfId="29483" xr:uid="{00000000-0005-0000-0000-000086850000}"/>
    <cellStyle name="40% - Accent5 4 2 4 5" xfId="12532" xr:uid="{00000000-0005-0000-0000-000087850000}"/>
    <cellStyle name="40% - Accent5 4 2 4 5 2" xfId="35134" xr:uid="{00000000-0005-0000-0000-000088850000}"/>
    <cellStyle name="40% - Accent5 4 2 4 6" xfId="23833" xr:uid="{00000000-0005-0000-0000-000089850000}"/>
    <cellStyle name="40% - Accent5 4 2 5" xfId="2004" xr:uid="{00000000-0005-0000-0000-00008A850000}"/>
    <cellStyle name="40% - Accent5 4 2 5 2" xfId="3803" xr:uid="{00000000-0005-0000-0000-00008B850000}"/>
    <cellStyle name="40% - Accent5 4 2 5 2 2" xfId="9513" xr:uid="{00000000-0005-0000-0000-00008C850000}"/>
    <cellStyle name="40% - Accent5 4 2 5 2 2 2" xfId="20814" xr:uid="{00000000-0005-0000-0000-00008D850000}"/>
    <cellStyle name="40% - Accent5 4 2 5 2 2 2 2" xfId="43416" xr:uid="{00000000-0005-0000-0000-00008E850000}"/>
    <cellStyle name="40% - Accent5 4 2 5 2 2 3" xfId="32115" xr:uid="{00000000-0005-0000-0000-00008F850000}"/>
    <cellStyle name="40% - Accent5 4 2 5 2 3" xfId="15164" xr:uid="{00000000-0005-0000-0000-000090850000}"/>
    <cellStyle name="40% - Accent5 4 2 5 2 3 2" xfId="37766" xr:uid="{00000000-0005-0000-0000-000091850000}"/>
    <cellStyle name="40% - Accent5 4 2 5 2 4" xfId="26465" xr:uid="{00000000-0005-0000-0000-000092850000}"/>
    <cellStyle name="40% - Accent5 4 2 5 3" xfId="5304" xr:uid="{00000000-0005-0000-0000-000093850000}"/>
    <cellStyle name="40% - Accent5 4 2 5 3 2" xfId="10954" xr:uid="{00000000-0005-0000-0000-000094850000}"/>
    <cellStyle name="40% - Accent5 4 2 5 3 2 2" xfId="22255" xr:uid="{00000000-0005-0000-0000-000095850000}"/>
    <cellStyle name="40% - Accent5 4 2 5 3 2 2 2" xfId="44857" xr:uid="{00000000-0005-0000-0000-000096850000}"/>
    <cellStyle name="40% - Accent5 4 2 5 3 2 3" xfId="33556" xr:uid="{00000000-0005-0000-0000-000097850000}"/>
    <cellStyle name="40% - Accent5 4 2 5 3 3" xfId="16605" xr:uid="{00000000-0005-0000-0000-000098850000}"/>
    <cellStyle name="40% - Accent5 4 2 5 3 3 2" xfId="39207" xr:uid="{00000000-0005-0000-0000-000099850000}"/>
    <cellStyle name="40% - Accent5 4 2 5 3 4" xfId="27906" xr:uid="{00000000-0005-0000-0000-00009A850000}"/>
    <cellStyle name="40% - Accent5 4 2 5 4" xfId="7860" xr:uid="{00000000-0005-0000-0000-00009B850000}"/>
    <cellStyle name="40% - Accent5 4 2 5 4 2" xfId="19161" xr:uid="{00000000-0005-0000-0000-00009C850000}"/>
    <cellStyle name="40% - Accent5 4 2 5 4 2 2" xfId="41763" xr:uid="{00000000-0005-0000-0000-00009D850000}"/>
    <cellStyle name="40% - Accent5 4 2 5 4 3" xfId="30462" xr:uid="{00000000-0005-0000-0000-00009E850000}"/>
    <cellStyle name="40% - Accent5 4 2 5 5" xfId="13511" xr:uid="{00000000-0005-0000-0000-00009F850000}"/>
    <cellStyle name="40% - Accent5 4 2 5 5 2" xfId="36113" xr:uid="{00000000-0005-0000-0000-0000A0850000}"/>
    <cellStyle name="40% - Accent5 4 2 5 6" xfId="24812" xr:uid="{00000000-0005-0000-0000-0000A1850000}"/>
    <cellStyle name="40% - Accent5 4 2 6" xfId="2283" xr:uid="{00000000-0005-0000-0000-0000A2850000}"/>
    <cellStyle name="40% - Accent5 4 2 6 2" xfId="8119" xr:uid="{00000000-0005-0000-0000-0000A3850000}"/>
    <cellStyle name="40% - Accent5 4 2 6 2 2" xfId="19420" xr:uid="{00000000-0005-0000-0000-0000A4850000}"/>
    <cellStyle name="40% - Accent5 4 2 6 2 2 2" xfId="42022" xr:uid="{00000000-0005-0000-0000-0000A5850000}"/>
    <cellStyle name="40% - Accent5 4 2 6 2 3" xfId="30721" xr:uid="{00000000-0005-0000-0000-0000A6850000}"/>
    <cellStyle name="40% - Accent5 4 2 6 3" xfId="13770" xr:uid="{00000000-0005-0000-0000-0000A7850000}"/>
    <cellStyle name="40% - Accent5 4 2 6 3 2" xfId="36372" xr:uid="{00000000-0005-0000-0000-0000A8850000}"/>
    <cellStyle name="40% - Accent5 4 2 6 4" xfId="25071" xr:uid="{00000000-0005-0000-0000-0000A9850000}"/>
    <cellStyle name="40% - Accent5 4 2 7" xfId="4070" xr:uid="{00000000-0005-0000-0000-0000AA850000}"/>
    <cellStyle name="40% - Accent5 4 2 7 2" xfId="9720" xr:uid="{00000000-0005-0000-0000-0000AB850000}"/>
    <cellStyle name="40% - Accent5 4 2 7 2 2" xfId="21021" xr:uid="{00000000-0005-0000-0000-0000AC850000}"/>
    <cellStyle name="40% - Accent5 4 2 7 2 2 2" xfId="43623" xr:uid="{00000000-0005-0000-0000-0000AD850000}"/>
    <cellStyle name="40% - Accent5 4 2 7 2 3" xfId="32322" xr:uid="{00000000-0005-0000-0000-0000AE850000}"/>
    <cellStyle name="40% - Accent5 4 2 7 3" xfId="15371" xr:uid="{00000000-0005-0000-0000-0000AF850000}"/>
    <cellStyle name="40% - Accent5 4 2 7 3 2" xfId="37973" xr:uid="{00000000-0005-0000-0000-0000B0850000}"/>
    <cellStyle name="40% - Accent5 4 2 7 4" xfId="26672" xr:uid="{00000000-0005-0000-0000-0000B1850000}"/>
    <cellStyle name="40% - Accent5 4 2 8" xfId="6521" xr:uid="{00000000-0005-0000-0000-0000B2850000}"/>
    <cellStyle name="40% - Accent5 4 2 8 2" xfId="17822" xr:uid="{00000000-0005-0000-0000-0000B3850000}"/>
    <cellStyle name="40% - Accent5 4 2 8 2 2" xfId="40424" xr:uid="{00000000-0005-0000-0000-0000B4850000}"/>
    <cellStyle name="40% - Accent5 4 2 8 3" xfId="29123" xr:uid="{00000000-0005-0000-0000-0000B5850000}"/>
    <cellStyle name="40% - Accent5 4 2 9" xfId="12172" xr:uid="{00000000-0005-0000-0000-0000B6850000}"/>
    <cellStyle name="40% - Accent5 4 2 9 2" xfId="34774" xr:uid="{00000000-0005-0000-0000-0000B7850000}"/>
    <cellStyle name="40% - Accent5 4 3" xfId="427" xr:uid="{00000000-0005-0000-0000-0000B8850000}"/>
    <cellStyle name="40% - Accent5 4 3 10" xfId="23522" xr:uid="{00000000-0005-0000-0000-0000B9850000}"/>
    <cellStyle name="40% - Accent5 4 3 2" xfId="672" xr:uid="{00000000-0005-0000-0000-0000BA850000}"/>
    <cellStyle name="40% - Accent5 4 3 2 2" xfId="1382" xr:uid="{00000000-0005-0000-0000-0000BB850000}"/>
    <cellStyle name="40% - Accent5 4 3 2 2 2" xfId="2010" xr:uid="{00000000-0005-0000-0000-0000BC850000}"/>
    <cellStyle name="40% - Accent5 4 3 2 2 2 2" xfId="3451" xr:uid="{00000000-0005-0000-0000-0000BD850000}"/>
    <cellStyle name="40% - Accent5 4 3 2 2 2 2 2" xfId="6423" xr:uid="{00000000-0005-0000-0000-0000BE850000}"/>
    <cellStyle name="40% - Accent5 4 3 2 2 2 2 2 2" xfId="12073" xr:uid="{00000000-0005-0000-0000-0000BF850000}"/>
    <cellStyle name="40% - Accent5 4 3 2 2 2 2 2 2 2" xfId="23374" xr:uid="{00000000-0005-0000-0000-0000C0850000}"/>
    <cellStyle name="40% - Accent5 4 3 2 2 2 2 2 2 2 2" xfId="45976" xr:uid="{00000000-0005-0000-0000-0000C1850000}"/>
    <cellStyle name="40% - Accent5 4 3 2 2 2 2 2 2 3" xfId="34675" xr:uid="{00000000-0005-0000-0000-0000C2850000}"/>
    <cellStyle name="40% - Accent5 4 3 2 2 2 2 2 3" xfId="17724" xr:uid="{00000000-0005-0000-0000-0000C3850000}"/>
    <cellStyle name="40% - Accent5 4 3 2 2 2 2 2 3 2" xfId="40326" xr:uid="{00000000-0005-0000-0000-0000C4850000}"/>
    <cellStyle name="40% - Accent5 4 3 2 2 2 2 2 4" xfId="29025" xr:uid="{00000000-0005-0000-0000-0000C5850000}"/>
    <cellStyle name="40% - Accent5 4 3 2 2 2 2 3" xfId="9241" xr:uid="{00000000-0005-0000-0000-0000C6850000}"/>
    <cellStyle name="40% - Accent5 4 3 2 2 2 2 3 2" xfId="20542" xr:uid="{00000000-0005-0000-0000-0000C7850000}"/>
    <cellStyle name="40% - Accent5 4 3 2 2 2 2 3 2 2" xfId="43144" xr:uid="{00000000-0005-0000-0000-0000C8850000}"/>
    <cellStyle name="40% - Accent5 4 3 2 2 2 2 3 3" xfId="31843" xr:uid="{00000000-0005-0000-0000-0000C9850000}"/>
    <cellStyle name="40% - Accent5 4 3 2 2 2 2 4" xfId="14892" xr:uid="{00000000-0005-0000-0000-0000CA850000}"/>
    <cellStyle name="40% - Accent5 4 3 2 2 2 2 4 2" xfId="37494" xr:uid="{00000000-0005-0000-0000-0000CB850000}"/>
    <cellStyle name="40% - Accent5 4 3 2 2 2 2 5" xfId="26193" xr:uid="{00000000-0005-0000-0000-0000CC850000}"/>
    <cellStyle name="40% - Accent5 4 3 2 2 2 3" xfId="5189" xr:uid="{00000000-0005-0000-0000-0000CD850000}"/>
    <cellStyle name="40% - Accent5 4 3 2 2 2 3 2" xfId="10839" xr:uid="{00000000-0005-0000-0000-0000CE850000}"/>
    <cellStyle name="40% - Accent5 4 3 2 2 2 3 2 2" xfId="22140" xr:uid="{00000000-0005-0000-0000-0000CF850000}"/>
    <cellStyle name="40% - Accent5 4 3 2 2 2 3 2 2 2" xfId="44742" xr:uid="{00000000-0005-0000-0000-0000D0850000}"/>
    <cellStyle name="40% - Accent5 4 3 2 2 2 3 2 3" xfId="33441" xr:uid="{00000000-0005-0000-0000-0000D1850000}"/>
    <cellStyle name="40% - Accent5 4 3 2 2 2 3 3" xfId="16490" xr:uid="{00000000-0005-0000-0000-0000D2850000}"/>
    <cellStyle name="40% - Accent5 4 3 2 2 2 3 3 2" xfId="39092" xr:uid="{00000000-0005-0000-0000-0000D3850000}"/>
    <cellStyle name="40% - Accent5 4 3 2 2 2 3 4" xfId="27791" xr:uid="{00000000-0005-0000-0000-0000D4850000}"/>
    <cellStyle name="40% - Accent5 4 3 2 2 2 4" xfId="7866" xr:uid="{00000000-0005-0000-0000-0000D5850000}"/>
    <cellStyle name="40% - Accent5 4 3 2 2 2 4 2" xfId="19167" xr:uid="{00000000-0005-0000-0000-0000D6850000}"/>
    <cellStyle name="40% - Accent5 4 3 2 2 2 4 2 2" xfId="41769" xr:uid="{00000000-0005-0000-0000-0000D7850000}"/>
    <cellStyle name="40% - Accent5 4 3 2 2 2 4 3" xfId="30468" xr:uid="{00000000-0005-0000-0000-0000D8850000}"/>
    <cellStyle name="40% - Accent5 4 3 2 2 2 5" xfId="13517" xr:uid="{00000000-0005-0000-0000-0000D9850000}"/>
    <cellStyle name="40% - Accent5 4 3 2 2 2 5 2" xfId="36119" xr:uid="{00000000-0005-0000-0000-0000DA850000}"/>
    <cellStyle name="40% - Accent5 4 3 2 2 2 6" xfId="24818" xr:uid="{00000000-0005-0000-0000-0000DB850000}"/>
    <cellStyle name="40% - Accent5 4 3 2 2 3" xfId="2780" xr:uid="{00000000-0005-0000-0000-0000DC850000}"/>
    <cellStyle name="40% - Accent5 4 3 2 2 3 2" xfId="5799" xr:uid="{00000000-0005-0000-0000-0000DD850000}"/>
    <cellStyle name="40% - Accent5 4 3 2 2 3 2 2" xfId="11449" xr:uid="{00000000-0005-0000-0000-0000DE850000}"/>
    <cellStyle name="40% - Accent5 4 3 2 2 3 2 2 2" xfId="22750" xr:uid="{00000000-0005-0000-0000-0000DF850000}"/>
    <cellStyle name="40% - Accent5 4 3 2 2 3 2 2 2 2" xfId="45352" xr:uid="{00000000-0005-0000-0000-0000E0850000}"/>
    <cellStyle name="40% - Accent5 4 3 2 2 3 2 2 3" xfId="34051" xr:uid="{00000000-0005-0000-0000-0000E1850000}"/>
    <cellStyle name="40% - Accent5 4 3 2 2 3 2 3" xfId="17100" xr:uid="{00000000-0005-0000-0000-0000E2850000}"/>
    <cellStyle name="40% - Accent5 4 3 2 2 3 2 3 2" xfId="39702" xr:uid="{00000000-0005-0000-0000-0000E3850000}"/>
    <cellStyle name="40% - Accent5 4 3 2 2 3 2 4" xfId="28401" xr:uid="{00000000-0005-0000-0000-0000E4850000}"/>
    <cellStyle name="40% - Accent5 4 3 2 2 3 3" xfId="8616" xr:uid="{00000000-0005-0000-0000-0000E5850000}"/>
    <cellStyle name="40% - Accent5 4 3 2 2 3 3 2" xfId="19917" xr:uid="{00000000-0005-0000-0000-0000E6850000}"/>
    <cellStyle name="40% - Accent5 4 3 2 2 3 3 2 2" xfId="42519" xr:uid="{00000000-0005-0000-0000-0000E7850000}"/>
    <cellStyle name="40% - Accent5 4 3 2 2 3 3 3" xfId="31218" xr:uid="{00000000-0005-0000-0000-0000E8850000}"/>
    <cellStyle name="40% - Accent5 4 3 2 2 3 4" xfId="14267" xr:uid="{00000000-0005-0000-0000-0000E9850000}"/>
    <cellStyle name="40% - Accent5 4 3 2 2 3 4 2" xfId="36869" xr:uid="{00000000-0005-0000-0000-0000EA850000}"/>
    <cellStyle name="40% - Accent5 4 3 2 2 3 5" xfId="25568" xr:uid="{00000000-0005-0000-0000-0000EB850000}"/>
    <cellStyle name="40% - Accent5 4 3 2 2 4" xfId="4565" xr:uid="{00000000-0005-0000-0000-0000EC850000}"/>
    <cellStyle name="40% - Accent5 4 3 2 2 4 2" xfId="10215" xr:uid="{00000000-0005-0000-0000-0000ED850000}"/>
    <cellStyle name="40% - Accent5 4 3 2 2 4 2 2" xfId="21516" xr:uid="{00000000-0005-0000-0000-0000EE850000}"/>
    <cellStyle name="40% - Accent5 4 3 2 2 4 2 2 2" xfId="44118" xr:uid="{00000000-0005-0000-0000-0000EF850000}"/>
    <cellStyle name="40% - Accent5 4 3 2 2 4 2 3" xfId="32817" xr:uid="{00000000-0005-0000-0000-0000F0850000}"/>
    <cellStyle name="40% - Accent5 4 3 2 2 4 3" xfId="15866" xr:uid="{00000000-0005-0000-0000-0000F1850000}"/>
    <cellStyle name="40% - Accent5 4 3 2 2 4 3 2" xfId="38468" xr:uid="{00000000-0005-0000-0000-0000F2850000}"/>
    <cellStyle name="40% - Accent5 4 3 2 2 4 4" xfId="27167" xr:uid="{00000000-0005-0000-0000-0000F3850000}"/>
    <cellStyle name="40% - Accent5 4 3 2 2 5" xfId="7361" xr:uid="{00000000-0005-0000-0000-0000F4850000}"/>
    <cellStyle name="40% - Accent5 4 3 2 2 5 2" xfId="18662" xr:uid="{00000000-0005-0000-0000-0000F5850000}"/>
    <cellStyle name="40% - Accent5 4 3 2 2 5 2 2" xfId="41264" xr:uid="{00000000-0005-0000-0000-0000F6850000}"/>
    <cellStyle name="40% - Accent5 4 3 2 2 5 3" xfId="29963" xr:uid="{00000000-0005-0000-0000-0000F7850000}"/>
    <cellStyle name="40% - Accent5 4 3 2 2 6" xfId="13012" xr:uid="{00000000-0005-0000-0000-0000F8850000}"/>
    <cellStyle name="40% - Accent5 4 3 2 2 6 2" xfId="35614" xr:uid="{00000000-0005-0000-0000-0000F9850000}"/>
    <cellStyle name="40% - Accent5 4 3 2 2 7" xfId="24313" xr:uid="{00000000-0005-0000-0000-0000FA850000}"/>
    <cellStyle name="40% - Accent5 4 3 2 3" xfId="1080" xr:uid="{00000000-0005-0000-0000-0000FB850000}"/>
    <cellStyle name="40% - Accent5 4 3 2 3 2" xfId="3143" xr:uid="{00000000-0005-0000-0000-0000FC850000}"/>
    <cellStyle name="40% - Accent5 4 3 2 3 2 2" xfId="6115" xr:uid="{00000000-0005-0000-0000-0000FD850000}"/>
    <cellStyle name="40% - Accent5 4 3 2 3 2 2 2" xfId="11765" xr:uid="{00000000-0005-0000-0000-0000FE850000}"/>
    <cellStyle name="40% - Accent5 4 3 2 3 2 2 2 2" xfId="23066" xr:uid="{00000000-0005-0000-0000-0000FF850000}"/>
    <cellStyle name="40% - Accent5 4 3 2 3 2 2 2 2 2" xfId="45668" xr:uid="{00000000-0005-0000-0000-000000860000}"/>
    <cellStyle name="40% - Accent5 4 3 2 3 2 2 2 3" xfId="34367" xr:uid="{00000000-0005-0000-0000-000001860000}"/>
    <cellStyle name="40% - Accent5 4 3 2 3 2 2 3" xfId="17416" xr:uid="{00000000-0005-0000-0000-000002860000}"/>
    <cellStyle name="40% - Accent5 4 3 2 3 2 2 3 2" xfId="40018" xr:uid="{00000000-0005-0000-0000-000003860000}"/>
    <cellStyle name="40% - Accent5 4 3 2 3 2 2 4" xfId="28717" xr:uid="{00000000-0005-0000-0000-000004860000}"/>
    <cellStyle name="40% - Accent5 4 3 2 3 2 3" xfId="8933" xr:uid="{00000000-0005-0000-0000-000005860000}"/>
    <cellStyle name="40% - Accent5 4 3 2 3 2 3 2" xfId="20234" xr:uid="{00000000-0005-0000-0000-000006860000}"/>
    <cellStyle name="40% - Accent5 4 3 2 3 2 3 2 2" xfId="42836" xr:uid="{00000000-0005-0000-0000-000007860000}"/>
    <cellStyle name="40% - Accent5 4 3 2 3 2 3 3" xfId="31535" xr:uid="{00000000-0005-0000-0000-000008860000}"/>
    <cellStyle name="40% - Accent5 4 3 2 3 2 4" xfId="14584" xr:uid="{00000000-0005-0000-0000-000009860000}"/>
    <cellStyle name="40% - Accent5 4 3 2 3 2 4 2" xfId="37186" xr:uid="{00000000-0005-0000-0000-00000A860000}"/>
    <cellStyle name="40% - Accent5 4 3 2 3 2 5" xfId="25885" xr:uid="{00000000-0005-0000-0000-00000B860000}"/>
    <cellStyle name="40% - Accent5 4 3 2 3 3" xfId="4881" xr:uid="{00000000-0005-0000-0000-00000C860000}"/>
    <cellStyle name="40% - Accent5 4 3 2 3 3 2" xfId="10531" xr:uid="{00000000-0005-0000-0000-00000D860000}"/>
    <cellStyle name="40% - Accent5 4 3 2 3 3 2 2" xfId="21832" xr:uid="{00000000-0005-0000-0000-00000E860000}"/>
    <cellStyle name="40% - Accent5 4 3 2 3 3 2 2 2" xfId="44434" xr:uid="{00000000-0005-0000-0000-00000F860000}"/>
    <cellStyle name="40% - Accent5 4 3 2 3 3 2 3" xfId="33133" xr:uid="{00000000-0005-0000-0000-000010860000}"/>
    <cellStyle name="40% - Accent5 4 3 2 3 3 3" xfId="16182" xr:uid="{00000000-0005-0000-0000-000011860000}"/>
    <cellStyle name="40% - Accent5 4 3 2 3 3 3 2" xfId="38784" xr:uid="{00000000-0005-0000-0000-000012860000}"/>
    <cellStyle name="40% - Accent5 4 3 2 3 3 4" xfId="27483" xr:uid="{00000000-0005-0000-0000-000013860000}"/>
    <cellStyle name="40% - Accent5 4 3 2 3 4" xfId="7068" xr:uid="{00000000-0005-0000-0000-000014860000}"/>
    <cellStyle name="40% - Accent5 4 3 2 3 4 2" xfId="18369" xr:uid="{00000000-0005-0000-0000-000015860000}"/>
    <cellStyle name="40% - Accent5 4 3 2 3 4 2 2" xfId="40971" xr:uid="{00000000-0005-0000-0000-000016860000}"/>
    <cellStyle name="40% - Accent5 4 3 2 3 4 3" xfId="29670" xr:uid="{00000000-0005-0000-0000-000017860000}"/>
    <cellStyle name="40% - Accent5 4 3 2 3 5" xfId="12719" xr:uid="{00000000-0005-0000-0000-000018860000}"/>
    <cellStyle name="40% - Accent5 4 3 2 3 5 2" xfId="35321" xr:uid="{00000000-0005-0000-0000-000019860000}"/>
    <cellStyle name="40% - Accent5 4 3 2 3 6" xfId="24020" xr:uid="{00000000-0005-0000-0000-00001A860000}"/>
    <cellStyle name="40% - Accent5 4 3 2 4" xfId="2009" xr:uid="{00000000-0005-0000-0000-00001B860000}"/>
    <cellStyle name="40% - Accent5 4 3 2 4 2" xfId="3806" xr:uid="{00000000-0005-0000-0000-00001C860000}"/>
    <cellStyle name="40% - Accent5 4 3 2 4 2 2" xfId="9516" xr:uid="{00000000-0005-0000-0000-00001D860000}"/>
    <cellStyle name="40% - Accent5 4 3 2 4 2 2 2" xfId="20817" xr:uid="{00000000-0005-0000-0000-00001E860000}"/>
    <cellStyle name="40% - Accent5 4 3 2 4 2 2 2 2" xfId="43419" xr:uid="{00000000-0005-0000-0000-00001F860000}"/>
    <cellStyle name="40% - Accent5 4 3 2 4 2 2 3" xfId="32118" xr:uid="{00000000-0005-0000-0000-000020860000}"/>
    <cellStyle name="40% - Accent5 4 3 2 4 2 3" xfId="15167" xr:uid="{00000000-0005-0000-0000-000021860000}"/>
    <cellStyle name="40% - Accent5 4 3 2 4 2 3 2" xfId="37769" xr:uid="{00000000-0005-0000-0000-000022860000}"/>
    <cellStyle name="40% - Accent5 4 3 2 4 2 4" xfId="26468" xr:uid="{00000000-0005-0000-0000-000023860000}"/>
    <cellStyle name="40% - Accent5 4 3 2 4 3" xfId="5491" xr:uid="{00000000-0005-0000-0000-000024860000}"/>
    <cellStyle name="40% - Accent5 4 3 2 4 3 2" xfId="11141" xr:uid="{00000000-0005-0000-0000-000025860000}"/>
    <cellStyle name="40% - Accent5 4 3 2 4 3 2 2" xfId="22442" xr:uid="{00000000-0005-0000-0000-000026860000}"/>
    <cellStyle name="40% - Accent5 4 3 2 4 3 2 2 2" xfId="45044" xr:uid="{00000000-0005-0000-0000-000027860000}"/>
    <cellStyle name="40% - Accent5 4 3 2 4 3 2 3" xfId="33743" xr:uid="{00000000-0005-0000-0000-000028860000}"/>
    <cellStyle name="40% - Accent5 4 3 2 4 3 3" xfId="16792" xr:uid="{00000000-0005-0000-0000-000029860000}"/>
    <cellStyle name="40% - Accent5 4 3 2 4 3 3 2" xfId="39394" xr:uid="{00000000-0005-0000-0000-00002A860000}"/>
    <cellStyle name="40% - Accent5 4 3 2 4 3 4" xfId="28093" xr:uid="{00000000-0005-0000-0000-00002B860000}"/>
    <cellStyle name="40% - Accent5 4 3 2 4 4" xfId="7865" xr:uid="{00000000-0005-0000-0000-00002C860000}"/>
    <cellStyle name="40% - Accent5 4 3 2 4 4 2" xfId="19166" xr:uid="{00000000-0005-0000-0000-00002D860000}"/>
    <cellStyle name="40% - Accent5 4 3 2 4 4 2 2" xfId="41768" xr:uid="{00000000-0005-0000-0000-00002E860000}"/>
    <cellStyle name="40% - Accent5 4 3 2 4 4 3" xfId="30467" xr:uid="{00000000-0005-0000-0000-00002F860000}"/>
    <cellStyle name="40% - Accent5 4 3 2 4 5" xfId="13516" xr:uid="{00000000-0005-0000-0000-000030860000}"/>
    <cellStyle name="40% - Accent5 4 3 2 4 5 2" xfId="36118" xr:uid="{00000000-0005-0000-0000-000031860000}"/>
    <cellStyle name="40% - Accent5 4 3 2 4 6" xfId="24817" xr:uid="{00000000-0005-0000-0000-000032860000}"/>
    <cellStyle name="40% - Accent5 4 3 2 5" xfId="2472" xr:uid="{00000000-0005-0000-0000-000033860000}"/>
    <cellStyle name="40% - Accent5 4 3 2 5 2" xfId="8308" xr:uid="{00000000-0005-0000-0000-000034860000}"/>
    <cellStyle name="40% - Accent5 4 3 2 5 2 2" xfId="19609" xr:uid="{00000000-0005-0000-0000-000035860000}"/>
    <cellStyle name="40% - Accent5 4 3 2 5 2 2 2" xfId="42211" xr:uid="{00000000-0005-0000-0000-000036860000}"/>
    <cellStyle name="40% - Accent5 4 3 2 5 2 3" xfId="30910" xr:uid="{00000000-0005-0000-0000-000037860000}"/>
    <cellStyle name="40% - Accent5 4 3 2 5 3" xfId="13959" xr:uid="{00000000-0005-0000-0000-000038860000}"/>
    <cellStyle name="40% - Accent5 4 3 2 5 3 2" xfId="36561" xr:uid="{00000000-0005-0000-0000-000039860000}"/>
    <cellStyle name="40% - Accent5 4 3 2 5 4" xfId="25260" xr:uid="{00000000-0005-0000-0000-00003A860000}"/>
    <cellStyle name="40% - Accent5 4 3 2 6" xfId="4257" xr:uid="{00000000-0005-0000-0000-00003B860000}"/>
    <cellStyle name="40% - Accent5 4 3 2 6 2" xfId="9907" xr:uid="{00000000-0005-0000-0000-00003C860000}"/>
    <cellStyle name="40% - Accent5 4 3 2 6 2 2" xfId="21208" xr:uid="{00000000-0005-0000-0000-00003D860000}"/>
    <cellStyle name="40% - Accent5 4 3 2 6 2 2 2" xfId="43810" xr:uid="{00000000-0005-0000-0000-00003E860000}"/>
    <cellStyle name="40% - Accent5 4 3 2 6 2 3" xfId="32509" xr:uid="{00000000-0005-0000-0000-00003F860000}"/>
    <cellStyle name="40% - Accent5 4 3 2 6 3" xfId="15558" xr:uid="{00000000-0005-0000-0000-000040860000}"/>
    <cellStyle name="40% - Accent5 4 3 2 6 3 2" xfId="38160" xr:uid="{00000000-0005-0000-0000-000041860000}"/>
    <cellStyle name="40% - Accent5 4 3 2 6 4" xfId="26859" xr:uid="{00000000-0005-0000-0000-000042860000}"/>
    <cellStyle name="40% - Accent5 4 3 2 7" xfId="6737" xr:uid="{00000000-0005-0000-0000-000043860000}"/>
    <cellStyle name="40% - Accent5 4 3 2 7 2" xfId="18038" xr:uid="{00000000-0005-0000-0000-000044860000}"/>
    <cellStyle name="40% - Accent5 4 3 2 7 2 2" xfId="40640" xr:uid="{00000000-0005-0000-0000-000045860000}"/>
    <cellStyle name="40% - Accent5 4 3 2 7 3" xfId="29339" xr:uid="{00000000-0005-0000-0000-000046860000}"/>
    <cellStyle name="40% - Accent5 4 3 2 8" xfId="12388" xr:uid="{00000000-0005-0000-0000-000047860000}"/>
    <cellStyle name="40% - Accent5 4 3 2 8 2" xfId="34990" xr:uid="{00000000-0005-0000-0000-000048860000}"/>
    <cellStyle name="40% - Accent5 4 3 2 9" xfId="23689" xr:uid="{00000000-0005-0000-0000-000049860000}"/>
    <cellStyle name="40% - Accent5 4 3 3" xfId="1244" xr:uid="{00000000-0005-0000-0000-00004A860000}"/>
    <cellStyle name="40% - Accent5 4 3 3 2" xfId="2011" xr:uid="{00000000-0005-0000-0000-00004B860000}"/>
    <cellStyle name="40% - Accent5 4 3 3 2 2" xfId="3312" xr:uid="{00000000-0005-0000-0000-00004C860000}"/>
    <cellStyle name="40% - Accent5 4 3 3 2 2 2" xfId="6284" xr:uid="{00000000-0005-0000-0000-00004D860000}"/>
    <cellStyle name="40% - Accent5 4 3 3 2 2 2 2" xfId="11934" xr:uid="{00000000-0005-0000-0000-00004E860000}"/>
    <cellStyle name="40% - Accent5 4 3 3 2 2 2 2 2" xfId="23235" xr:uid="{00000000-0005-0000-0000-00004F860000}"/>
    <cellStyle name="40% - Accent5 4 3 3 2 2 2 2 2 2" xfId="45837" xr:uid="{00000000-0005-0000-0000-000050860000}"/>
    <cellStyle name="40% - Accent5 4 3 3 2 2 2 2 3" xfId="34536" xr:uid="{00000000-0005-0000-0000-000051860000}"/>
    <cellStyle name="40% - Accent5 4 3 3 2 2 2 3" xfId="17585" xr:uid="{00000000-0005-0000-0000-000052860000}"/>
    <cellStyle name="40% - Accent5 4 3 3 2 2 2 3 2" xfId="40187" xr:uid="{00000000-0005-0000-0000-000053860000}"/>
    <cellStyle name="40% - Accent5 4 3 3 2 2 2 4" xfId="28886" xr:uid="{00000000-0005-0000-0000-000054860000}"/>
    <cellStyle name="40% - Accent5 4 3 3 2 2 3" xfId="9102" xr:uid="{00000000-0005-0000-0000-000055860000}"/>
    <cellStyle name="40% - Accent5 4 3 3 2 2 3 2" xfId="20403" xr:uid="{00000000-0005-0000-0000-000056860000}"/>
    <cellStyle name="40% - Accent5 4 3 3 2 2 3 2 2" xfId="43005" xr:uid="{00000000-0005-0000-0000-000057860000}"/>
    <cellStyle name="40% - Accent5 4 3 3 2 2 3 3" xfId="31704" xr:uid="{00000000-0005-0000-0000-000058860000}"/>
    <cellStyle name="40% - Accent5 4 3 3 2 2 4" xfId="14753" xr:uid="{00000000-0005-0000-0000-000059860000}"/>
    <cellStyle name="40% - Accent5 4 3 3 2 2 4 2" xfId="37355" xr:uid="{00000000-0005-0000-0000-00005A860000}"/>
    <cellStyle name="40% - Accent5 4 3 3 2 2 5" xfId="26054" xr:uid="{00000000-0005-0000-0000-00005B860000}"/>
    <cellStyle name="40% - Accent5 4 3 3 2 3" xfId="5050" xr:uid="{00000000-0005-0000-0000-00005C860000}"/>
    <cellStyle name="40% - Accent5 4 3 3 2 3 2" xfId="10700" xr:uid="{00000000-0005-0000-0000-00005D860000}"/>
    <cellStyle name="40% - Accent5 4 3 3 2 3 2 2" xfId="22001" xr:uid="{00000000-0005-0000-0000-00005E860000}"/>
    <cellStyle name="40% - Accent5 4 3 3 2 3 2 2 2" xfId="44603" xr:uid="{00000000-0005-0000-0000-00005F860000}"/>
    <cellStyle name="40% - Accent5 4 3 3 2 3 2 3" xfId="33302" xr:uid="{00000000-0005-0000-0000-000060860000}"/>
    <cellStyle name="40% - Accent5 4 3 3 2 3 3" xfId="16351" xr:uid="{00000000-0005-0000-0000-000061860000}"/>
    <cellStyle name="40% - Accent5 4 3 3 2 3 3 2" xfId="38953" xr:uid="{00000000-0005-0000-0000-000062860000}"/>
    <cellStyle name="40% - Accent5 4 3 3 2 3 4" xfId="27652" xr:uid="{00000000-0005-0000-0000-000063860000}"/>
    <cellStyle name="40% - Accent5 4 3 3 2 4" xfId="7867" xr:uid="{00000000-0005-0000-0000-000064860000}"/>
    <cellStyle name="40% - Accent5 4 3 3 2 4 2" xfId="19168" xr:uid="{00000000-0005-0000-0000-000065860000}"/>
    <cellStyle name="40% - Accent5 4 3 3 2 4 2 2" xfId="41770" xr:uid="{00000000-0005-0000-0000-000066860000}"/>
    <cellStyle name="40% - Accent5 4 3 3 2 4 3" xfId="30469" xr:uid="{00000000-0005-0000-0000-000067860000}"/>
    <cellStyle name="40% - Accent5 4 3 3 2 5" xfId="13518" xr:uid="{00000000-0005-0000-0000-000068860000}"/>
    <cellStyle name="40% - Accent5 4 3 3 2 5 2" xfId="36120" xr:uid="{00000000-0005-0000-0000-000069860000}"/>
    <cellStyle name="40% - Accent5 4 3 3 2 6" xfId="24819" xr:uid="{00000000-0005-0000-0000-00006A860000}"/>
    <cellStyle name="40% - Accent5 4 3 3 3" xfId="2641" xr:uid="{00000000-0005-0000-0000-00006B860000}"/>
    <cellStyle name="40% - Accent5 4 3 3 3 2" xfId="5660" xr:uid="{00000000-0005-0000-0000-00006C860000}"/>
    <cellStyle name="40% - Accent5 4 3 3 3 2 2" xfId="11310" xr:uid="{00000000-0005-0000-0000-00006D860000}"/>
    <cellStyle name="40% - Accent5 4 3 3 3 2 2 2" xfId="22611" xr:uid="{00000000-0005-0000-0000-00006E860000}"/>
    <cellStyle name="40% - Accent5 4 3 3 3 2 2 2 2" xfId="45213" xr:uid="{00000000-0005-0000-0000-00006F860000}"/>
    <cellStyle name="40% - Accent5 4 3 3 3 2 2 3" xfId="33912" xr:uid="{00000000-0005-0000-0000-000070860000}"/>
    <cellStyle name="40% - Accent5 4 3 3 3 2 3" xfId="16961" xr:uid="{00000000-0005-0000-0000-000071860000}"/>
    <cellStyle name="40% - Accent5 4 3 3 3 2 3 2" xfId="39563" xr:uid="{00000000-0005-0000-0000-000072860000}"/>
    <cellStyle name="40% - Accent5 4 3 3 3 2 4" xfId="28262" xr:uid="{00000000-0005-0000-0000-000073860000}"/>
    <cellStyle name="40% - Accent5 4 3 3 3 3" xfId="8477" xr:uid="{00000000-0005-0000-0000-000074860000}"/>
    <cellStyle name="40% - Accent5 4 3 3 3 3 2" xfId="19778" xr:uid="{00000000-0005-0000-0000-000075860000}"/>
    <cellStyle name="40% - Accent5 4 3 3 3 3 2 2" xfId="42380" xr:uid="{00000000-0005-0000-0000-000076860000}"/>
    <cellStyle name="40% - Accent5 4 3 3 3 3 3" xfId="31079" xr:uid="{00000000-0005-0000-0000-000077860000}"/>
    <cellStyle name="40% - Accent5 4 3 3 3 4" xfId="14128" xr:uid="{00000000-0005-0000-0000-000078860000}"/>
    <cellStyle name="40% - Accent5 4 3 3 3 4 2" xfId="36730" xr:uid="{00000000-0005-0000-0000-000079860000}"/>
    <cellStyle name="40% - Accent5 4 3 3 3 5" xfId="25429" xr:uid="{00000000-0005-0000-0000-00007A860000}"/>
    <cellStyle name="40% - Accent5 4 3 3 4" xfId="4426" xr:uid="{00000000-0005-0000-0000-00007B860000}"/>
    <cellStyle name="40% - Accent5 4 3 3 4 2" xfId="10076" xr:uid="{00000000-0005-0000-0000-00007C860000}"/>
    <cellStyle name="40% - Accent5 4 3 3 4 2 2" xfId="21377" xr:uid="{00000000-0005-0000-0000-00007D860000}"/>
    <cellStyle name="40% - Accent5 4 3 3 4 2 2 2" xfId="43979" xr:uid="{00000000-0005-0000-0000-00007E860000}"/>
    <cellStyle name="40% - Accent5 4 3 3 4 2 3" xfId="32678" xr:uid="{00000000-0005-0000-0000-00007F860000}"/>
    <cellStyle name="40% - Accent5 4 3 3 4 3" xfId="15727" xr:uid="{00000000-0005-0000-0000-000080860000}"/>
    <cellStyle name="40% - Accent5 4 3 3 4 3 2" xfId="38329" xr:uid="{00000000-0005-0000-0000-000081860000}"/>
    <cellStyle name="40% - Accent5 4 3 3 4 4" xfId="27028" xr:uid="{00000000-0005-0000-0000-000082860000}"/>
    <cellStyle name="40% - Accent5 4 3 3 5" xfId="7223" xr:uid="{00000000-0005-0000-0000-000083860000}"/>
    <cellStyle name="40% - Accent5 4 3 3 5 2" xfId="18524" xr:uid="{00000000-0005-0000-0000-000084860000}"/>
    <cellStyle name="40% - Accent5 4 3 3 5 2 2" xfId="41126" xr:uid="{00000000-0005-0000-0000-000085860000}"/>
    <cellStyle name="40% - Accent5 4 3 3 5 3" xfId="29825" xr:uid="{00000000-0005-0000-0000-000086860000}"/>
    <cellStyle name="40% - Accent5 4 3 3 6" xfId="12874" xr:uid="{00000000-0005-0000-0000-000087860000}"/>
    <cellStyle name="40% - Accent5 4 3 3 6 2" xfId="35476" xr:uid="{00000000-0005-0000-0000-000088860000}"/>
    <cellStyle name="40% - Accent5 4 3 3 7" xfId="24175" xr:uid="{00000000-0005-0000-0000-000089860000}"/>
    <cellStyle name="40% - Accent5 4 3 4" xfId="935" xr:uid="{00000000-0005-0000-0000-00008A860000}"/>
    <cellStyle name="40% - Accent5 4 3 4 2" xfId="3005" xr:uid="{00000000-0005-0000-0000-00008B860000}"/>
    <cellStyle name="40% - Accent5 4 3 4 2 2" xfId="5977" xr:uid="{00000000-0005-0000-0000-00008C860000}"/>
    <cellStyle name="40% - Accent5 4 3 4 2 2 2" xfId="11627" xr:uid="{00000000-0005-0000-0000-00008D860000}"/>
    <cellStyle name="40% - Accent5 4 3 4 2 2 2 2" xfId="22928" xr:uid="{00000000-0005-0000-0000-00008E860000}"/>
    <cellStyle name="40% - Accent5 4 3 4 2 2 2 2 2" xfId="45530" xr:uid="{00000000-0005-0000-0000-00008F860000}"/>
    <cellStyle name="40% - Accent5 4 3 4 2 2 2 3" xfId="34229" xr:uid="{00000000-0005-0000-0000-000090860000}"/>
    <cellStyle name="40% - Accent5 4 3 4 2 2 3" xfId="17278" xr:uid="{00000000-0005-0000-0000-000091860000}"/>
    <cellStyle name="40% - Accent5 4 3 4 2 2 3 2" xfId="39880" xr:uid="{00000000-0005-0000-0000-000092860000}"/>
    <cellStyle name="40% - Accent5 4 3 4 2 2 4" xfId="28579" xr:uid="{00000000-0005-0000-0000-000093860000}"/>
    <cellStyle name="40% - Accent5 4 3 4 2 3" xfId="8795" xr:uid="{00000000-0005-0000-0000-000094860000}"/>
    <cellStyle name="40% - Accent5 4 3 4 2 3 2" xfId="20096" xr:uid="{00000000-0005-0000-0000-000095860000}"/>
    <cellStyle name="40% - Accent5 4 3 4 2 3 2 2" xfId="42698" xr:uid="{00000000-0005-0000-0000-000096860000}"/>
    <cellStyle name="40% - Accent5 4 3 4 2 3 3" xfId="31397" xr:uid="{00000000-0005-0000-0000-000097860000}"/>
    <cellStyle name="40% - Accent5 4 3 4 2 4" xfId="14446" xr:uid="{00000000-0005-0000-0000-000098860000}"/>
    <cellStyle name="40% - Accent5 4 3 4 2 4 2" xfId="37048" xr:uid="{00000000-0005-0000-0000-000099860000}"/>
    <cellStyle name="40% - Accent5 4 3 4 2 5" xfId="25747" xr:uid="{00000000-0005-0000-0000-00009A860000}"/>
    <cellStyle name="40% - Accent5 4 3 4 3" xfId="4743" xr:uid="{00000000-0005-0000-0000-00009B860000}"/>
    <cellStyle name="40% - Accent5 4 3 4 3 2" xfId="10393" xr:uid="{00000000-0005-0000-0000-00009C860000}"/>
    <cellStyle name="40% - Accent5 4 3 4 3 2 2" xfId="21694" xr:uid="{00000000-0005-0000-0000-00009D860000}"/>
    <cellStyle name="40% - Accent5 4 3 4 3 2 2 2" xfId="44296" xr:uid="{00000000-0005-0000-0000-00009E860000}"/>
    <cellStyle name="40% - Accent5 4 3 4 3 2 3" xfId="32995" xr:uid="{00000000-0005-0000-0000-00009F860000}"/>
    <cellStyle name="40% - Accent5 4 3 4 3 3" xfId="16044" xr:uid="{00000000-0005-0000-0000-0000A0860000}"/>
    <cellStyle name="40% - Accent5 4 3 4 3 3 2" xfId="38646" xr:uid="{00000000-0005-0000-0000-0000A1860000}"/>
    <cellStyle name="40% - Accent5 4 3 4 3 4" xfId="27345" xr:uid="{00000000-0005-0000-0000-0000A2860000}"/>
    <cellStyle name="40% - Accent5 4 3 4 4" xfId="6930" xr:uid="{00000000-0005-0000-0000-0000A3860000}"/>
    <cellStyle name="40% - Accent5 4 3 4 4 2" xfId="18231" xr:uid="{00000000-0005-0000-0000-0000A4860000}"/>
    <cellStyle name="40% - Accent5 4 3 4 4 2 2" xfId="40833" xr:uid="{00000000-0005-0000-0000-0000A5860000}"/>
    <cellStyle name="40% - Accent5 4 3 4 4 3" xfId="29532" xr:uid="{00000000-0005-0000-0000-0000A6860000}"/>
    <cellStyle name="40% - Accent5 4 3 4 5" xfId="12581" xr:uid="{00000000-0005-0000-0000-0000A7860000}"/>
    <cellStyle name="40% - Accent5 4 3 4 5 2" xfId="35183" xr:uid="{00000000-0005-0000-0000-0000A8860000}"/>
    <cellStyle name="40% - Accent5 4 3 4 6" xfId="23882" xr:uid="{00000000-0005-0000-0000-0000A9860000}"/>
    <cellStyle name="40% - Accent5 4 3 5" xfId="2008" xr:uid="{00000000-0005-0000-0000-0000AA860000}"/>
    <cellStyle name="40% - Accent5 4 3 5 2" xfId="3805" xr:uid="{00000000-0005-0000-0000-0000AB860000}"/>
    <cellStyle name="40% - Accent5 4 3 5 2 2" xfId="9515" xr:uid="{00000000-0005-0000-0000-0000AC860000}"/>
    <cellStyle name="40% - Accent5 4 3 5 2 2 2" xfId="20816" xr:uid="{00000000-0005-0000-0000-0000AD860000}"/>
    <cellStyle name="40% - Accent5 4 3 5 2 2 2 2" xfId="43418" xr:uid="{00000000-0005-0000-0000-0000AE860000}"/>
    <cellStyle name="40% - Accent5 4 3 5 2 2 3" xfId="32117" xr:uid="{00000000-0005-0000-0000-0000AF860000}"/>
    <cellStyle name="40% - Accent5 4 3 5 2 3" xfId="15166" xr:uid="{00000000-0005-0000-0000-0000B0860000}"/>
    <cellStyle name="40% - Accent5 4 3 5 2 3 2" xfId="37768" xr:uid="{00000000-0005-0000-0000-0000B1860000}"/>
    <cellStyle name="40% - Accent5 4 3 5 2 4" xfId="26467" xr:uid="{00000000-0005-0000-0000-0000B2860000}"/>
    <cellStyle name="40% - Accent5 4 3 5 3" xfId="5353" xr:uid="{00000000-0005-0000-0000-0000B3860000}"/>
    <cellStyle name="40% - Accent5 4 3 5 3 2" xfId="11003" xr:uid="{00000000-0005-0000-0000-0000B4860000}"/>
    <cellStyle name="40% - Accent5 4 3 5 3 2 2" xfId="22304" xr:uid="{00000000-0005-0000-0000-0000B5860000}"/>
    <cellStyle name="40% - Accent5 4 3 5 3 2 2 2" xfId="44906" xr:uid="{00000000-0005-0000-0000-0000B6860000}"/>
    <cellStyle name="40% - Accent5 4 3 5 3 2 3" xfId="33605" xr:uid="{00000000-0005-0000-0000-0000B7860000}"/>
    <cellStyle name="40% - Accent5 4 3 5 3 3" xfId="16654" xr:uid="{00000000-0005-0000-0000-0000B8860000}"/>
    <cellStyle name="40% - Accent5 4 3 5 3 3 2" xfId="39256" xr:uid="{00000000-0005-0000-0000-0000B9860000}"/>
    <cellStyle name="40% - Accent5 4 3 5 3 4" xfId="27955" xr:uid="{00000000-0005-0000-0000-0000BA860000}"/>
    <cellStyle name="40% - Accent5 4 3 5 4" xfId="7864" xr:uid="{00000000-0005-0000-0000-0000BB860000}"/>
    <cellStyle name="40% - Accent5 4 3 5 4 2" xfId="19165" xr:uid="{00000000-0005-0000-0000-0000BC860000}"/>
    <cellStyle name="40% - Accent5 4 3 5 4 2 2" xfId="41767" xr:uid="{00000000-0005-0000-0000-0000BD860000}"/>
    <cellStyle name="40% - Accent5 4 3 5 4 3" xfId="30466" xr:uid="{00000000-0005-0000-0000-0000BE860000}"/>
    <cellStyle name="40% - Accent5 4 3 5 5" xfId="13515" xr:uid="{00000000-0005-0000-0000-0000BF860000}"/>
    <cellStyle name="40% - Accent5 4 3 5 5 2" xfId="36117" xr:uid="{00000000-0005-0000-0000-0000C0860000}"/>
    <cellStyle name="40% - Accent5 4 3 5 6" xfId="24816" xr:uid="{00000000-0005-0000-0000-0000C1860000}"/>
    <cellStyle name="40% - Accent5 4 3 6" xfId="2332" xr:uid="{00000000-0005-0000-0000-0000C2860000}"/>
    <cellStyle name="40% - Accent5 4 3 6 2" xfId="8168" xr:uid="{00000000-0005-0000-0000-0000C3860000}"/>
    <cellStyle name="40% - Accent5 4 3 6 2 2" xfId="19469" xr:uid="{00000000-0005-0000-0000-0000C4860000}"/>
    <cellStyle name="40% - Accent5 4 3 6 2 2 2" xfId="42071" xr:uid="{00000000-0005-0000-0000-0000C5860000}"/>
    <cellStyle name="40% - Accent5 4 3 6 2 3" xfId="30770" xr:uid="{00000000-0005-0000-0000-0000C6860000}"/>
    <cellStyle name="40% - Accent5 4 3 6 3" xfId="13819" xr:uid="{00000000-0005-0000-0000-0000C7860000}"/>
    <cellStyle name="40% - Accent5 4 3 6 3 2" xfId="36421" xr:uid="{00000000-0005-0000-0000-0000C8860000}"/>
    <cellStyle name="40% - Accent5 4 3 6 4" xfId="25120" xr:uid="{00000000-0005-0000-0000-0000C9860000}"/>
    <cellStyle name="40% - Accent5 4 3 7" xfId="4119" xr:uid="{00000000-0005-0000-0000-0000CA860000}"/>
    <cellStyle name="40% - Accent5 4 3 7 2" xfId="9769" xr:uid="{00000000-0005-0000-0000-0000CB860000}"/>
    <cellStyle name="40% - Accent5 4 3 7 2 2" xfId="21070" xr:uid="{00000000-0005-0000-0000-0000CC860000}"/>
    <cellStyle name="40% - Accent5 4 3 7 2 2 2" xfId="43672" xr:uid="{00000000-0005-0000-0000-0000CD860000}"/>
    <cellStyle name="40% - Accent5 4 3 7 2 3" xfId="32371" xr:uid="{00000000-0005-0000-0000-0000CE860000}"/>
    <cellStyle name="40% - Accent5 4 3 7 3" xfId="15420" xr:uid="{00000000-0005-0000-0000-0000CF860000}"/>
    <cellStyle name="40% - Accent5 4 3 7 3 2" xfId="38022" xr:uid="{00000000-0005-0000-0000-0000D0860000}"/>
    <cellStyle name="40% - Accent5 4 3 7 4" xfId="26721" xr:uid="{00000000-0005-0000-0000-0000D1860000}"/>
    <cellStyle name="40% - Accent5 4 3 8" xfId="6570" xr:uid="{00000000-0005-0000-0000-0000D2860000}"/>
    <cellStyle name="40% - Accent5 4 3 8 2" xfId="17871" xr:uid="{00000000-0005-0000-0000-0000D3860000}"/>
    <cellStyle name="40% - Accent5 4 3 8 2 2" xfId="40473" xr:uid="{00000000-0005-0000-0000-0000D4860000}"/>
    <cellStyle name="40% - Accent5 4 3 8 3" xfId="29172" xr:uid="{00000000-0005-0000-0000-0000D5860000}"/>
    <cellStyle name="40% - Accent5 4 3 9" xfId="12221" xr:uid="{00000000-0005-0000-0000-0000D6860000}"/>
    <cellStyle name="40% - Accent5 4 3 9 2" xfId="34823" xr:uid="{00000000-0005-0000-0000-0000D7860000}"/>
    <cellStyle name="40% - Accent5 4 4" xfId="574" xr:uid="{00000000-0005-0000-0000-0000D8860000}"/>
    <cellStyle name="40% - Accent5 4 4 2" xfId="1148" xr:uid="{00000000-0005-0000-0000-0000D9860000}"/>
    <cellStyle name="40% - Accent5 4 4 2 2" xfId="2013" xr:uid="{00000000-0005-0000-0000-0000DA860000}"/>
    <cellStyle name="40% - Accent5 4 4 2 2 2" xfId="3216" xr:uid="{00000000-0005-0000-0000-0000DB860000}"/>
    <cellStyle name="40% - Accent5 4 4 2 2 2 2" xfId="6188" xr:uid="{00000000-0005-0000-0000-0000DC860000}"/>
    <cellStyle name="40% - Accent5 4 4 2 2 2 2 2" xfId="11838" xr:uid="{00000000-0005-0000-0000-0000DD860000}"/>
    <cellStyle name="40% - Accent5 4 4 2 2 2 2 2 2" xfId="23139" xr:uid="{00000000-0005-0000-0000-0000DE860000}"/>
    <cellStyle name="40% - Accent5 4 4 2 2 2 2 2 2 2" xfId="45741" xr:uid="{00000000-0005-0000-0000-0000DF860000}"/>
    <cellStyle name="40% - Accent5 4 4 2 2 2 2 2 3" xfId="34440" xr:uid="{00000000-0005-0000-0000-0000E0860000}"/>
    <cellStyle name="40% - Accent5 4 4 2 2 2 2 3" xfId="17489" xr:uid="{00000000-0005-0000-0000-0000E1860000}"/>
    <cellStyle name="40% - Accent5 4 4 2 2 2 2 3 2" xfId="40091" xr:uid="{00000000-0005-0000-0000-0000E2860000}"/>
    <cellStyle name="40% - Accent5 4 4 2 2 2 2 4" xfId="28790" xr:uid="{00000000-0005-0000-0000-0000E3860000}"/>
    <cellStyle name="40% - Accent5 4 4 2 2 2 3" xfId="9006" xr:uid="{00000000-0005-0000-0000-0000E4860000}"/>
    <cellStyle name="40% - Accent5 4 4 2 2 2 3 2" xfId="20307" xr:uid="{00000000-0005-0000-0000-0000E5860000}"/>
    <cellStyle name="40% - Accent5 4 4 2 2 2 3 2 2" xfId="42909" xr:uid="{00000000-0005-0000-0000-0000E6860000}"/>
    <cellStyle name="40% - Accent5 4 4 2 2 2 3 3" xfId="31608" xr:uid="{00000000-0005-0000-0000-0000E7860000}"/>
    <cellStyle name="40% - Accent5 4 4 2 2 2 4" xfId="14657" xr:uid="{00000000-0005-0000-0000-0000E8860000}"/>
    <cellStyle name="40% - Accent5 4 4 2 2 2 4 2" xfId="37259" xr:uid="{00000000-0005-0000-0000-0000E9860000}"/>
    <cellStyle name="40% - Accent5 4 4 2 2 2 5" xfId="25958" xr:uid="{00000000-0005-0000-0000-0000EA860000}"/>
    <cellStyle name="40% - Accent5 4 4 2 2 3" xfId="4954" xr:uid="{00000000-0005-0000-0000-0000EB860000}"/>
    <cellStyle name="40% - Accent5 4 4 2 2 3 2" xfId="10604" xr:uid="{00000000-0005-0000-0000-0000EC860000}"/>
    <cellStyle name="40% - Accent5 4 4 2 2 3 2 2" xfId="21905" xr:uid="{00000000-0005-0000-0000-0000ED860000}"/>
    <cellStyle name="40% - Accent5 4 4 2 2 3 2 2 2" xfId="44507" xr:uid="{00000000-0005-0000-0000-0000EE860000}"/>
    <cellStyle name="40% - Accent5 4 4 2 2 3 2 3" xfId="33206" xr:uid="{00000000-0005-0000-0000-0000EF860000}"/>
    <cellStyle name="40% - Accent5 4 4 2 2 3 3" xfId="16255" xr:uid="{00000000-0005-0000-0000-0000F0860000}"/>
    <cellStyle name="40% - Accent5 4 4 2 2 3 3 2" xfId="38857" xr:uid="{00000000-0005-0000-0000-0000F1860000}"/>
    <cellStyle name="40% - Accent5 4 4 2 2 3 4" xfId="27556" xr:uid="{00000000-0005-0000-0000-0000F2860000}"/>
    <cellStyle name="40% - Accent5 4 4 2 2 4" xfId="7869" xr:uid="{00000000-0005-0000-0000-0000F3860000}"/>
    <cellStyle name="40% - Accent5 4 4 2 2 4 2" xfId="19170" xr:uid="{00000000-0005-0000-0000-0000F4860000}"/>
    <cellStyle name="40% - Accent5 4 4 2 2 4 2 2" xfId="41772" xr:uid="{00000000-0005-0000-0000-0000F5860000}"/>
    <cellStyle name="40% - Accent5 4 4 2 2 4 3" xfId="30471" xr:uid="{00000000-0005-0000-0000-0000F6860000}"/>
    <cellStyle name="40% - Accent5 4 4 2 2 5" xfId="13520" xr:uid="{00000000-0005-0000-0000-0000F7860000}"/>
    <cellStyle name="40% - Accent5 4 4 2 2 5 2" xfId="36122" xr:uid="{00000000-0005-0000-0000-0000F8860000}"/>
    <cellStyle name="40% - Accent5 4 4 2 2 6" xfId="24821" xr:uid="{00000000-0005-0000-0000-0000F9860000}"/>
    <cellStyle name="40% - Accent5 4 4 2 3" xfId="2545" xr:uid="{00000000-0005-0000-0000-0000FA860000}"/>
    <cellStyle name="40% - Accent5 4 4 2 3 2" xfId="5564" xr:uid="{00000000-0005-0000-0000-0000FB860000}"/>
    <cellStyle name="40% - Accent5 4 4 2 3 2 2" xfId="11214" xr:uid="{00000000-0005-0000-0000-0000FC860000}"/>
    <cellStyle name="40% - Accent5 4 4 2 3 2 2 2" xfId="22515" xr:uid="{00000000-0005-0000-0000-0000FD860000}"/>
    <cellStyle name="40% - Accent5 4 4 2 3 2 2 2 2" xfId="45117" xr:uid="{00000000-0005-0000-0000-0000FE860000}"/>
    <cellStyle name="40% - Accent5 4 4 2 3 2 2 3" xfId="33816" xr:uid="{00000000-0005-0000-0000-0000FF860000}"/>
    <cellStyle name="40% - Accent5 4 4 2 3 2 3" xfId="16865" xr:uid="{00000000-0005-0000-0000-000000870000}"/>
    <cellStyle name="40% - Accent5 4 4 2 3 2 3 2" xfId="39467" xr:uid="{00000000-0005-0000-0000-000001870000}"/>
    <cellStyle name="40% - Accent5 4 4 2 3 2 4" xfId="28166" xr:uid="{00000000-0005-0000-0000-000002870000}"/>
    <cellStyle name="40% - Accent5 4 4 2 3 3" xfId="8381" xr:uid="{00000000-0005-0000-0000-000003870000}"/>
    <cellStyle name="40% - Accent5 4 4 2 3 3 2" xfId="19682" xr:uid="{00000000-0005-0000-0000-000004870000}"/>
    <cellStyle name="40% - Accent5 4 4 2 3 3 2 2" xfId="42284" xr:uid="{00000000-0005-0000-0000-000005870000}"/>
    <cellStyle name="40% - Accent5 4 4 2 3 3 3" xfId="30983" xr:uid="{00000000-0005-0000-0000-000006870000}"/>
    <cellStyle name="40% - Accent5 4 4 2 3 4" xfId="14032" xr:uid="{00000000-0005-0000-0000-000007870000}"/>
    <cellStyle name="40% - Accent5 4 4 2 3 4 2" xfId="36634" xr:uid="{00000000-0005-0000-0000-000008870000}"/>
    <cellStyle name="40% - Accent5 4 4 2 3 5" xfId="25333" xr:uid="{00000000-0005-0000-0000-000009870000}"/>
    <cellStyle name="40% - Accent5 4 4 2 4" xfId="4330" xr:uid="{00000000-0005-0000-0000-00000A870000}"/>
    <cellStyle name="40% - Accent5 4 4 2 4 2" xfId="9980" xr:uid="{00000000-0005-0000-0000-00000B870000}"/>
    <cellStyle name="40% - Accent5 4 4 2 4 2 2" xfId="21281" xr:uid="{00000000-0005-0000-0000-00000C870000}"/>
    <cellStyle name="40% - Accent5 4 4 2 4 2 2 2" xfId="43883" xr:uid="{00000000-0005-0000-0000-00000D870000}"/>
    <cellStyle name="40% - Accent5 4 4 2 4 2 3" xfId="32582" xr:uid="{00000000-0005-0000-0000-00000E870000}"/>
    <cellStyle name="40% - Accent5 4 4 2 4 3" xfId="15631" xr:uid="{00000000-0005-0000-0000-00000F870000}"/>
    <cellStyle name="40% - Accent5 4 4 2 4 3 2" xfId="38233" xr:uid="{00000000-0005-0000-0000-000010870000}"/>
    <cellStyle name="40% - Accent5 4 4 2 4 4" xfId="26932" xr:uid="{00000000-0005-0000-0000-000011870000}"/>
    <cellStyle name="40% - Accent5 4 4 2 5" xfId="7127" xr:uid="{00000000-0005-0000-0000-000012870000}"/>
    <cellStyle name="40% - Accent5 4 4 2 5 2" xfId="18428" xr:uid="{00000000-0005-0000-0000-000013870000}"/>
    <cellStyle name="40% - Accent5 4 4 2 5 2 2" xfId="41030" xr:uid="{00000000-0005-0000-0000-000014870000}"/>
    <cellStyle name="40% - Accent5 4 4 2 5 3" xfId="29729" xr:uid="{00000000-0005-0000-0000-000015870000}"/>
    <cellStyle name="40% - Accent5 4 4 2 6" xfId="12778" xr:uid="{00000000-0005-0000-0000-000016870000}"/>
    <cellStyle name="40% - Accent5 4 4 2 6 2" xfId="35380" xr:uid="{00000000-0005-0000-0000-000017870000}"/>
    <cellStyle name="40% - Accent5 4 4 2 7" xfId="24079" xr:uid="{00000000-0005-0000-0000-000018870000}"/>
    <cellStyle name="40% - Accent5 4 4 3" xfId="822" xr:uid="{00000000-0005-0000-0000-000019870000}"/>
    <cellStyle name="40% - Accent5 4 4 3 2" xfId="2909" xr:uid="{00000000-0005-0000-0000-00001A870000}"/>
    <cellStyle name="40% - Accent5 4 4 3 2 2" xfId="5881" xr:uid="{00000000-0005-0000-0000-00001B870000}"/>
    <cellStyle name="40% - Accent5 4 4 3 2 2 2" xfId="11531" xr:uid="{00000000-0005-0000-0000-00001C870000}"/>
    <cellStyle name="40% - Accent5 4 4 3 2 2 2 2" xfId="22832" xr:uid="{00000000-0005-0000-0000-00001D870000}"/>
    <cellStyle name="40% - Accent5 4 4 3 2 2 2 2 2" xfId="45434" xr:uid="{00000000-0005-0000-0000-00001E870000}"/>
    <cellStyle name="40% - Accent5 4 4 3 2 2 2 3" xfId="34133" xr:uid="{00000000-0005-0000-0000-00001F870000}"/>
    <cellStyle name="40% - Accent5 4 4 3 2 2 3" xfId="17182" xr:uid="{00000000-0005-0000-0000-000020870000}"/>
    <cellStyle name="40% - Accent5 4 4 3 2 2 3 2" xfId="39784" xr:uid="{00000000-0005-0000-0000-000021870000}"/>
    <cellStyle name="40% - Accent5 4 4 3 2 2 4" xfId="28483" xr:uid="{00000000-0005-0000-0000-000022870000}"/>
    <cellStyle name="40% - Accent5 4 4 3 2 3" xfId="8699" xr:uid="{00000000-0005-0000-0000-000023870000}"/>
    <cellStyle name="40% - Accent5 4 4 3 2 3 2" xfId="20000" xr:uid="{00000000-0005-0000-0000-000024870000}"/>
    <cellStyle name="40% - Accent5 4 4 3 2 3 2 2" xfId="42602" xr:uid="{00000000-0005-0000-0000-000025870000}"/>
    <cellStyle name="40% - Accent5 4 4 3 2 3 3" xfId="31301" xr:uid="{00000000-0005-0000-0000-000026870000}"/>
    <cellStyle name="40% - Accent5 4 4 3 2 4" xfId="14350" xr:uid="{00000000-0005-0000-0000-000027870000}"/>
    <cellStyle name="40% - Accent5 4 4 3 2 4 2" xfId="36952" xr:uid="{00000000-0005-0000-0000-000028870000}"/>
    <cellStyle name="40% - Accent5 4 4 3 2 5" xfId="25651" xr:uid="{00000000-0005-0000-0000-000029870000}"/>
    <cellStyle name="40% - Accent5 4 4 3 3" xfId="4647" xr:uid="{00000000-0005-0000-0000-00002A870000}"/>
    <cellStyle name="40% - Accent5 4 4 3 3 2" xfId="10297" xr:uid="{00000000-0005-0000-0000-00002B870000}"/>
    <cellStyle name="40% - Accent5 4 4 3 3 2 2" xfId="21598" xr:uid="{00000000-0005-0000-0000-00002C870000}"/>
    <cellStyle name="40% - Accent5 4 4 3 3 2 2 2" xfId="44200" xr:uid="{00000000-0005-0000-0000-00002D870000}"/>
    <cellStyle name="40% - Accent5 4 4 3 3 2 3" xfId="32899" xr:uid="{00000000-0005-0000-0000-00002E870000}"/>
    <cellStyle name="40% - Accent5 4 4 3 3 3" xfId="15948" xr:uid="{00000000-0005-0000-0000-00002F870000}"/>
    <cellStyle name="40% - Accent5 4 4 3 3 3 2" xfId="38550" xr:uid="{00000000-0005-0000-0000-000030870000}"/>
    <cellStyle name="40% - Accent5 4 4 3 3 4" xfId="27249" xr:uid="{00000000-0005-0000-0000-000031870000}"/>
    <cellStyle name="40% - Accent5 4 4 3 4" xfId="6830" xr:uid="{00000000-0005-0000-0000-000032870000}"/>
    <cellStyle name="40% - Accent5 4 4 3 4 2" xfId="18131" xr:uid="{00000000-0005-0000-0000-000033870000}"/>
    <cellStyle name="40% - Accent5 4 4 3 4 2 2" xfId="40733" xr:uid="{00000000-0005-0000-0000-000034870000}"/>
    <cellStyle name="40% - Accent5 4 4 3 4 3" xfId="29432" xr:uid="{00000000-0005-0000-0000-000035870000}"/>
    <cellStyle name="40% - Accent5 4 4 3 5" xfId="12481" xr:uid="{00000000-0005-0000-0000-000036870000}"/>
    <cellStyle name="40% - Accent5 4 4 3 5 2" xfId="35083" xr:uid="{00000000-0005-0000-0000-000037870000}"/>
    <cellStyle name="40% - Accent5 4 4 3 6" xfId="23782" xr:uid="{00000000-0005-0000-0000-000038870000}"/>
    <cellStyle name="40% - Accent5 4 4 4" xfId="2012" xr:uid="{00000000-0005-0000-0000-000039870000}"/>
    <cellStyle name="40% - Accent5 4 4 4 2" xfId="3807" xr:uid="{00000000-0005-0000-0000-00003A870000}"/>
    <cellStyle name="40% - Accent5 4 4 4 2 2" xfId="9517" xr:uid="{00000000-0005-0000-0000-00003B870000}"/>
    <cellStyle name="40% - Accent5 4 4 4 2 2 2" xfId="20818" xr:uid="{00000000-0005-0000-0000-00003C870000}"/>
    <cellStyle name="40% - Accent5 4 4 4 2 2 2 2" xfId="43420" xr:uid="{00000000-0005-0000-0000-00003D870000}"/>
    <cellStyle name="40% - Accent5 4 4 4 2 2 3" xfId="32119" xr:uid="{00000000-0005-0000-0000-00003E870000}"/>
    <cellStyle name="40% - Accent5 4 4 4 2 3" xfId="15168" xr:uid="{00000000-0005-0000-0000-00003F870000}"/>
    <cellStyle name="40% - Accent5 4 4 4 2 3 2" xfId="37770" xr:uid="{00000000-0005-0000-0000-000040870000}"/>
    <cellStyle name="40% - Accent5 4 4 4 2 4" xfId="26469" xr:uid="{00000000-0005-0000-0000-000041870000}"/>
    <cellStyle name="40% - Accent5 4 4 4 3" xfId="5257" xr:uid="{00000000-0005-0000-0000-000042870000}"/>
    <cellStyle name="40% - Accent5 4 4 4 3 2" xfId="10907" xr:uid="{00000000-0005-0000-0000-000043870000}"/>
    <cellStyle name="40% - Accent5 4 4 4 3 2 2" xfId="22208" xr:uid="{00000000-0005-0000-0000-000044870000}"/>
    <cellStyle name="40% - Accent5 4 4 4 3 2 2 2" xfId="44810" xr:uid="{00000000-0005-0000-0000-000045870000}"/>
    <cellStyle name="40% - Accent5 4 4 4 3 2 3" xfId="33509" xr:uid="{00000000-0005-0000-0000-000046870000}"/>
    <cellStyle name="40% - Accent5 4 4 4 3 3" xfId="16558" xr:uid="{00000000-0005-0000-0000-000047870000}"/>
    <cellStyle name="40% - Accent5 4 4 4 3 3 2" xfId="39160" xr:uid="{00000000-0005-0000-0000-000048870000}"/>
    <cellStyle name="40% - Accent5 4 4 4 3 4" xfId="27859" xr:uid="{00000000-0005-0000-0000-000049870000}"/>
    <cellStyle name="40% - Accent5 4 4 4 4" xfId="7868" xr:uid="{00000000-0005-0000-0000-00004A870000}"/>
    <cellStyle name="40% - Accent5 4 4 4 4 2" xfId="19169" xr:uid="{00000000-0005-0000-0000-00004B870000}"/>
    <cellStyle name="40% - Accent5 4 4 4 4 2 2" xfId="41771" xr:uid="{00000000-0005-0000-0000-00004C870000}"/>
    <cellStyle name="40% - Accent5 4 4 4 4 3" xfId="30470" xr:uid="{00000000-0005-0000-0000-00004D870000}"/>
    <cellStyle name="40% - Accent5 4 4 4 5" xfId="13519" xr:uid="{00000000-0005-0000-0000-00004E870000}"/>
    <cellStyle name="40% - Accent5 4 4 4 5 2" xfId="36121" xr:uid="{00000000-0005-0000-0000-00004F870000}"/>
    <cellStyle name="40% - Accent5 4 4 4 6" xfId="24820" xr:uid="{00000000-0005-0000-0000-000050870000}"/>
    <cellStyle name="40% - Accent5 4 4 5" xfId="2229" xr:uid="{00000000-0005-0000-0000-000051870000}"/>
    <cellStyle name="40% - Accent5 4 4 5 2" xfId="8071" xr:uid="{00000000-0005-0000-0000-000052870000}"/>
    <cellStyle name="40% - Accent5 4 4 5 2 2" xfId="19372" xr:uid="{00000000-0005-0000-0000-000053870000}"/>
    <cellStyle name="40% - Accent5 4 4 5 2 2 2" xfId="41974" xr:uid="{00000000-0005-0000-0000-000054870000}"/>
    <cellStyle name="40% - Accent5 4 4 5 2 3" xfId="30673" xr:uid="{00000000-0005-0000-0000-000055870000}"/>
    <cellStyle name="40% - Accent5 4 4 5 3" xfId="13722" xr:uid="{00000000-0005-0000-0000-000056870000}"/>
    <cellStyle name="40% - Accent5 4 4 5 3 2" xfId="36324" xr:uid="{00000000-0005-0000-0000-000057870000}"/>
    <cellStyle name="40% - Accent5 4 4 5 4" xfId="25023" xr:uid="{00000000-0005-0000-0000-000058870000}"/>
    <cellStyle name="40% - Accent5 4 4 6" xfId="4023" xr:uid="{00000000-0005-0000-0000-000059870000}"/>
    <cellStyle name="40% - Accent5 4 4 6 2" xfId="9673" xr:uid="{00000000-0005-0000-0000-00005A870000}"/>
    <cellStyle name="40% - Accent5 4 4 6 2 2" xfId="20974" xr:uid="{00000000-0005-0000-0000-00005B870000}"/>
    <cellStyle name="40% - Accent5 4 4 6 2 2 2" xfId="43576" xr:uid="{00000000-0005-0000-0000-00005C870000}"/>
    <cellStyle name="40% - Accent5 4 4 6 2 3" xfId="32275" xr:uid="{00000000-0005-0000-0000-00005D870000}"/>
    <cellStyle name="40% - Accent5 4 4 6 3" xfId="15324" xr:uid="{00000000-0005-0000-0000-00005E870000}"/>
    <cellStyle name="40% - Accent5 4 4 6 3 2" xfId="37926" xr:uid="{00000000-0005-0000-0000-00005F870000}"/>
    <cellStyle name="40% - Accent5 4 4 6 4" xfId="26625" xr:uid="{00000000-0005-0000-0000-000060870000}"/>
    <cellStyle name="40% - Accent5 4 4 7" xfId="6641" xr:uid="{00000000-0005-0000-0000-000061870000}"/>
    <cellStyle name="40% - Accent5 4 4 7 2" xfId="17942" xr:uid="{00000000-0005-0000-0000-000062870000}"/>
    <cellStyle name="40% - Accent5 4 4 7 2 2" xfId="40544" xr:uid="{00000000-0005-0000-0000-000063870000}"/>
    <cellStyle name="40% - Accent5 4 4 7 3" xfId="29243" xr:uid="{00000000-0005-0000-0000-000064870000}"/>
    <cellStyle name="40% - Accent5 4 4 8" xfId="12292" xr:uid="{00000000-0005-0000-0000-000065870000}"/>
    <cellStyle name="40% - Accent5 4 4 8 2" xfId="34894" xr:uid="{00000000-0005-0000-0000-000066870000}"/>
    <cellStyle name="40% - Accent5 4 4 9" xfId="23593" xr:uid="{00000000-0005-0000-0000-000067870000}"/>
    <cellStyle name="40% - Accent5 4 5" xfId="518" xr:uid="{00000000-0005-0000-0000-000068870000}"/>
    <cellStyle name="40% - Accent5 4 5 2" xfId="1287" xr:uid="{00000000-0005-0000-0000-000069870000}"/>
    <cellStyle name="40% - Accent5 4 5 2 2" xfId="2015" xr:uid="{00000000-0005-0000-0000-00006A870000}"/>
    <cellStyle name="40% - Accent5 4 5 2 2 2" xfId="3356" xr:uid="{00000000-0005-0000-0000-00006B870000}"/>
    <cellStyle name="40% - Accent5 4 5 2 2 2 2" xfId="6328" xr:uid="{00000000-0005-0000-0000-00006C870000}"/>
    <cellStyle name="40% - Accent5 4 5 2 2 2 2 2" xfId="11978" xr:uid="{00000000-0005-0000-0000-00006D870000}"/>
    <cellStyle name="40% - Accent5 4 5 2 2 2 2 2 2" xfId="23279" xr:uid="{00000000-0005-0000-0000-00006E870000}"/>
    <cellStyle name="40% - Accent5 4 5 2 2 2 2 2 2 2" xfId="45881" xr:uid="{00000000-0005-0000-0000-00006F870000}"/>
    <cellStyle name="40% - Accent5 4 5 2 2 2 2 2 3" xfId="34580" xr:uid="{00000000-0005-0000-0000-000070870000}"/>
    <cellStyle name="40% - Accent5 4 5 2 2 2 2 3" xfId="17629" xr:uid="{00000000-0005-0000-0000-000071870000}"/>
    <cellStyle name="40% - Accent5 4 5 2 2 2 2 3 2" xfId="40231" xr:uid="{00000000-0005-0000-0000-000072870000}"/>
    <cellStyle name="40% - Accent5 4 5 2 2 2 2 4" xfId="28930" xr:uid="{00000000-0005-0000-0000-000073870000}"/>
    <cellStyle name="40% - Accent5 4 5 2 2 2 3" xfId="9146" xr:uid="{00000000-0005-0000-0000-000074870000}"/>
    <cellStyle name="40% - Accent5 4 5 2 2 2 3 2" xfId="20447" xr:uid="{00000000-0005-0000-0000-000075870000}"/>
    <cellStyle name="40% - Accent5 4 5 2 2 2 3 2 2" xfId="43049" xr:uid="{00000000-0005-0000-0000-000076870000}"/>
    <cellStyle name="40% - Accent5 4 5 2 2 2 3 3" xfId="31748" xr:uid="{00000000-0005-0000-0000-000077870000}"/>
    <cellStyle name="40% - Accent5 4 5 2 2 2 4" xfId="14797" xr:uid="{00000000-0005-0000-0000-000078870000}"/>
    <cellStyle name="40% - Accent5 4 5 2 2 2 4 2" xfId="37399" xr:uid="{00000000-0005-0000-0000-000079870000}"/>
    <cellStyle name="40% - Accent5 4 5 2 2 2 5" xfId="26098" xr:uid="{00000000-0005-0000-0000-00007A870000}"/>
    <cellStyle name="40% - Accent5 4 5 2 2 3" xfId="5094" xr:uid="{00000000-0005-0000-0000-00007B870000}"/>
    <cellStyle name="40% - Accent5 4 5 2 2 3 2" xfId="10744" xr:uid="{00000000-0005-0000-0000-00007C870000}"/>
    <cellStyle name="40% - Accent5 4 5 2 2 3 2 2" xfId="22045" xr:uid="{00000000-0005-0000-0000-00007D870000}"/>
    <cellStyle name="40% - Accent5 4 5 2 2 3 2 2 2" xfId="44647" xr:uid="{00000000-0005-0000-0000-00007E870000}"/>
    <cellStyle name="40% - Accent5 4 5 2 2 3 2 3" xfId="33346" xr:uid="{00000000-0005-0000-0000-00007F870000}"/>
    <cellStyle name="40% - Accent5 4 5 2 2 3 3" xfId="16395" xr:uid="{00000000-0005-0000-0000-000080870000}"/>
    <cellStyle name="40% - Accent5 4 5 2 2 3 3 2" xfId="38997" xr:uid="{00000000-0005-0000-0000-000081870000}"/>
    <cellStyle name="40% - Accent5 4 5 2 2 3 4" xfId="27696" xr:uid="{00000000-0005-0000-0000-000082870000}"/>
    <cellStyle name="40% - Accent5 4 5 2 2 4" xfId="7871" xr:uid="{00000000-0005-0000-0000-000083870000}"/>
    <cellStyle name="40% - Accent5 4 5 2 2 4 2" xfId="19172" xr:uid="{00000000-0005-0000-0000-000084870000}"/>
    <cellStyle name="40% - Accent5 4 5 2 2 4 2 2" xfId="41774" xr:uid="{00000000-0005-0000-0000-000085870000}"/>
    <cellStyle name="40% - Accent5 4 5 2 2 4 3" xfId="30473" xr:uid="{00000000-0005-0000-0000-000086870000}"/>
    <cellStyle name="40% - Accent5 4 5 2 2 5" xfId="13522" xr:uid="{00000000-0005-0000-0000-000087870000}"/>
    <cellStyle name="40% - Accent5 4 5 2 2 5 2" xfId="36124" xr:uid="{00000000-0005-0000-0000-000088870000}"/>
    <cellStyle name="40% - Accent5 4 5 2 2 6" xfId="24823" xr:uid="{00000000-0005-0000-0000-000089870000}"/>
    <cellStyle name="40% - Accent5 4 5 2 3" xfId="2685" xr:uid="{00000000-0005-0000-0000-00008A870000}"/>
    <cellStyle name="40% - Accent5 4 5 2 3 2" xfId="5704" xr:uid="{00000000-0005-0000-0000-00008B870000}"/>
    <cellStyle name="40% - Accent5 4 5 2 3 2 2" xfId="11354" xr:uid="{00000000-0005-0000-0000-00008C870000}"/>
    <cellStyle name="40% - Accent5 4 5 2 3 2 2 2" xfId="22655" xr:uid="{00000000-0005-0000-0000-00008D870000}"/>
    <cellStyle name="40% - Accent5 4 5 2 3 2 2 2 2" xfId="45257" xr:uid="{00000000-0005-0000-0000-00008E870000}"/>
    <cellStyle name="40% - Accent5 4 5 2 3 2 2 3" xfId="33956" xr:uid="{00000000-0005-0000-0000-00008F870000}"/>
    <cellStyle name="40% - Accent5 4 5 2 3 2 3" xfId="17005" xr:uid="{00000000-0005-0000-0000-000090870000}"/>
    <cellStyle name="40% - Accent5 4 5 2 3 2 3 2" xfId="39607" xr:uid="{00000000-0005-0000-0000-000091870000}"/>
    <cellStyle name="40% - Accent5 4 5 2 3 2 4" xfId="28306" xr:uid="{00000000-0005-0000-0000-000092870000}"/>
    <cellStyle name="40% - Accent5 4 5 2 3 3" xfId="8521" xr:uid="{00000000-0005-0000-0000-000093870000}"/>
    <cellStyle name="40% - Accent5 4 5 2 3 3 2" xfId="19822" xr:uid="{00000000-0005-0000-0000-000094870000}"/>
    <cellStyle name="40% - Accent5 4 5 2 3 3 2 2" xfId="42424" xr:uid="{00000000-0005-0000-0000-000095870000}"/>
    <cellStyle name="40% - Accent5 4 5 2 3 3 3" xfId="31123" xr:uid="{00000000-0005-0000-0000-000096870000}"/>
    <cellStyle name="40% - Accent5 4 5 2 3 4" xfId="14172" xr:uid="{00000000-0005-0000-0000-000097870000}"/>
    <cellStyle name="40% - Accent5 4 5 2 3 4 2" xfId="36774" xr:uid="{00000000-0005-0000-0000-000098870000}"/>
    <cellStyle name="40% - Accent5 4 5 2 3 5" xfId="25473" xr:uid="{00000000-0005-0000-0000-000099870000}"/>
    <cellStyle name="40% - Accent5 4 5 2 4" xfId="4470" xr:uid="{00000000-0005-0000-0000-00009A870000}"/>
    <cellStyle name="40% - Accent5 4 5 2 4 2" xfId="10120" xr:uid="{00000000-0005-0000-0000-00009B870000}"/>
    <cellStyle name="40% - Accent5 4 5 2 4 2 2" xfId="21421" xr:uid="{00000000-0005-0000-0000-00009C870000}"/>
    <cellStyle name="40% - Accent5 4 5 2 4 2 2 2" xfId="44023" xr:uid="{00000000-0005-0000-0000-00009D870000}"/>
    <cellStyle name="40% - Accent5 4 5 2 4 2 3" xfId="32722" xr:uid="{00000000-0005-0000-0000-00009E870000}"/>
    <cellStyle name="40% - Accent5 4 5 2 4 3" xfId="15771" xr:uid="{00000000-0005-0000-0000-00009F870000}"/>
    <cellStyle name="40% - Accent5 4 5 2 4 3 2" xfId="38373" xr:uid="{00000000-0005-0000-0000-0000A0870000}"/>
    <cellStyle name="40% - Accent5 4 5 2 4 4" xfId="27072" xr:uid="{00000000-0005-0000-0000-0000A1870000}"/>
    <cellStyle name="40% - Accent5 4 5 2 5" xfId="7266" xr:uid="{00000000-0005-0000-0000-0000A2870000}"/>
    <cellStyle name="40% - Accent5 4 5 2 5 2" xfId="18567" xr:uid="{00000000-0005-0000-0000-0000A3870000}"/>
    <cellStyle name="40% - Accent5 4 5 2 5 2 2" xfId="41169" xr:uid="{00000000-0005-0000-0000-0000A4870000}"/>
    <cellStyle name="40% - Accent5 4 5 2 5 3" xfId="29868" xr:uid="{00000000-0005-0000-0000-0000A5870000}"/>
    <cellStyle name="40% - Accent5 4 5 2 6" xfId="12917" xr:uid="{00000000-0005-0000-0000-0000A6870000}"/>
    <cellStyle name="40% - Accent5 4 5 2 6 2" xfId="35519" xr:uid="{00000000-0005-0000-0000-0000A7870000}"/>
    <cellStyle name="40% - Accent5 4 5 2 7" xfId="24218" xr:uid="{00000000-0005-0000-0000-0000A8870000}"/>
    <cellStyle name="40% - Accent5 4 5 3" xfId="985" xr:uid="{00000000-0005-0000-0000-0000A9870000}"/>
    <cellStyle name="40% - Accent5 4 5 3 2" xfId="3048" xr:uid="{00000000-0005-0000-0000-0000AA870000}"/>
    <cellStyle name="40% - Accent5 4 5 3 2 2" xfId="6020" xr:uid="{00000000-0005-0000-0000-0000AB870000}"/>
    <cellStyle name="40% - Accent5 4 5 3 2 2 2" xfId="11670" xr:uid="{00000000-0005-0000-0000-0000AC870000}"/>
    <cellStyle name="40% - Accent5 4 5 3 2 2 2 2" xfId="22971" xr:uid="{00000000-0005-0000-0000-0000AD870000}"/>
    <cellStyle name="40% - Accent5 4 5 3 2 2 2 2 2" xfId="45573" xr:uid="{00000000-0005-0000-0000-0000AE870000}"/>
    <cellStyle name="40% - Accent5 4 5 3 2 2 2 3" xfId="34272" xr:uid="{00000000-0005-0000-0000-0000AF870000}"/>
    <cellStyle name="40% - Accent5 4 5 3 2 2 3" xfId="17321" xr:uid="{00000000-0005-0000-0000-0000B0870000}"/>
    <cellStyle name="40% - Accent5 4 5 3 2 2 3 2" xfId="39923" xr:uid="{00000000-0005-0000-0000-0000B1870000}"/>
    <cellStyle name="40% - Accent5 4 5 3 2 2 4" xfId="28622" xr:uid="{00000000-0005-0000-0000-0000B2870000}"/>
    <cellStyle name="40% - Accent5 4 5 3 2 3" xfId="8838" xr:uid="{00000000-0005-0000-0000-0000B3870000}"/>
    <cellStyle name="40% - Accent5 4 5 3 2 3 2" xfId="20139" xr:uid="{00000000-0005-0000-0000-0000B4870000}"/>
    <cellStyle name="40% - Accent5 4 5 3 2 3 2 2" xfId="42741" xr:uid="{00000000-0005-0000-0000-0000B5870000}"/>
    <cellStyle name="40% - Accent5 4 5 3 2 3 3" xfId="31440" xr:uid="{00000000-0005-0000-0000-0000B6870000}"/>
    <cellStyle name="40% - Accent5 4 5 3 2 4" xfId="14489" xr:uid="{00000000-0005-0000-0000-0000B7870000}"/>
    <cellStyle name="40% - Accent5 4 5 3 2 4 2" xfId="37091" xr:uid="{00000000-0005-0000-0000-0000B8870000}"/>
    <cellStyle name="40% - Accent5 4 5 3 2 5" xfId="25790" xr:uid="{00000000-0005-0000-0000-0000B9870000}"/>
    <cellStyle name="40% - Accent5 4 5 3 3" xfId="4786" xr:uid="{00000000-0005-0000-0000-0000BA870000}"/>
    <cellStyle name="40% - Accent5 4 5 3 3 2" xfId="10436" xr:uid="{00000000-0005-0000-0000-0000BB870000}"/>
    <cellStyle name="40% - Accent5 4 5 3 3 2 2" xfId="21737" xr:uid="{00000000-0005-0000-0000-0000BC870000}"/>
    <cellStyle name="40% - Accent5 4 5 3 3 2 2 2" xfId="44339" xr:uid="{00000000-0005-0000-0000-0000BD870000}"/>
    <cellStyle name="40% - Accent5 4 5 3 3 2 3" xfId="33038" xr:uid="{00000000-0005-0000-0000-0000BE870000}"/>
    <cellStyle name="40% - Accent5 4 5 3 3 3" xfId="16087" xr:uid="{00000000-0005-0000-0000-0000BF870000}"/>
    <cellStyle name="40% - Accent5 4 5 3 3 3 2" xfId="38689" xr:uid="{00000000-0005-0000-0000-0000C0870000}"/>
    <cellStyle name="40% - Accent5 4 5 3 3 4" xfId="27388" xr:uid="{00000000-0005-0000-0000-0000C1870000}"/>
    <cellStyle name="40% - Accent5 4 5 3 4" xfId="6973" xr:uid="{00000000-0005-0000-0000-0000C2870000}"/>
    <cellStyle name="40% - Accent5 4 5 3 4 2" xfId="18274" xr:uid="{00000000-0005-0000-0000-0000C3870000}"/>
    <cellStyle name="40% - Accent5 4 5 3 4 2 2" xfId="40876" xr:uid="{00000000-0005-0000-0000-0000C4870000}"/>
    <cellStyle name="40% - Accent5 4 5 3 4 3" xfId="29575" xr:uid="{00000000-0005-0000-0000-0000C5870000}"/>
    <cellStyle name="40% - Accent5 4 5 3 5" xfId="12624" xr:uid="{00000000-0005-0000-0000-0000C6870000}"/>
    <cellStyle name="40% - Accent5 4 5 3 5 2" xfId="35226" xr:uid="{00000000-0005-0000-0000-0000C7870000}"/>
    <cellStyle name="40% - Accent5 4 5 3 6" xfId="23925" xr:uid="{00000000-0005-0000-0000-0000C8870000}"/>
    <cellStyle name="40% - Accent5 4 5 4" xfId="2014" xr:uid="{00000000-0005-0000-0000-0000C9870000}"/>
    <cellStyle name="40% - Accent5 4 5 4 2" xfId="3808" xr:uid="{00000000-0005-0000-0000-0000CA870000}"/>
    <cellStyle name="40% - Accent5 4 5 4 2 2" xfId="9518" xr:uid="{00000000-0005-0000-0000-0000CB870000}"/>
    <cellStyle name="40% - Accent5 4 5 4 2 2 2" xfId="20819" xr:uid="{00000000-0005-0000-0000-0000CC870000}"/>
    <cellStyle name="40% - Accent5 4 5 4 2 2 2 2" xfId="43421" xr:uid="{00000000-0005-0000-0000-0000CD870000}"/>
    <cellStyle name="40% - Accent5 4 5 4 2 2 3" xfId="32120" xr:uid="{00000000-0005-0000-0000-0000CE870000}"/>
    <cellStyle name="40% - Accent5 4 5 4 2 3" xfId="15169" xr:uid="{00000000-0005-0000-0000-0000CF870000}"/>
    <cellStyle name="40% - Accent5 4 5 4 2 3 2" xfId="37771" xr:uid="{00000000-0005-0000-0000-0000D0870000}"/>
    <cellStyle name="40% - Accent5 4 5 4 2 4" xfId="26470" xr:uid="{00000000-0005-0000-0000-0000D1870000}"/>
    <cellStyle name="40% - Accent5 4 5 4 3" xfId="5396" xr:uid="{00000000-0005-0000-0000-0000D2870000}"/>
    <cellStyle name="40% - Accent5 4 5 4 3 2" xfId="11046" xr:uid="{00000000-0005-0000-0000-0000D3870000}"/>
    <cellStyle name="40% - Accent5 4 5 4 3 2 2" xfId="22347" xr:uid="{00000000-0005-0000-0000-0000D4870000}"/>
    <cellStyle name="40% - Accent5 4 5 4 3 2 2 2" xfId="44949" xr:uid="{00000000-0005-0000-0000-0000D5870000}"/>
    <cellStyle name="40% - Accent5 4 5 4 3 2 3" xfId="33648" xr:uid="{00000000-0005-0000-0000-0000D6870000}"/>
    <cellStyle name="40% - Accent5 4 5 4 3 3" xfId="16697" xr:uid="{00000000-0005-0000-0000-0000D7870000}"/>
    <cellStyle name="40% - Accent5 4 5 4 3 3 2" xfId="39299" xr:uid="{00000000-0005-0000-0000-0000D8870000}"/>
    <cellStyle name="40% - Accent5 4 5 4 3 4" xfId="27998" xr:uid="{00000000-0005-0000-0000-0000D9870000}"/>
    <cellStyle name="40% - Accent5 4 5 4 4" xfId="7870" xr:uid="{00000000-0005-0000-0000-0000DA870000}"/>
    <cellStyle name="40% - Accent5 4 5 4 4 2" xfId="19171" xr:uid="{00000000-0005-0000-0000-0000DB870000}"/>
    <cellStyle name="40% - Accent5 4 5 4 4 2 2" xfId="41773" xr:uid="{00000000-0005-0000-0000-0000DC870000}"/>
    <cellStyle name="40% - Accent5 4 5 4 4 3" xfId="30472" xr:uid="{00000000-0005-0000-0000-0000DD870000}"/>
    <cellStyle name="40% - Accent5 4 5 4 5" xfId="13521" xr:uid="{00000000-0005-0000-0000-0000DE870000}"/>
    <cellStyle name="40% - Accent5 4 5 4 5 2" xfId="36123" xr:uid="{00000000-0005-0000-0000-0000DF870000}"/>
    <cellStyle name="40% - Accent5 4 5 4 6" xfId="24822" xr:uid="{00000000-0005-0000-0000-0000E0870000}"/>
    <cellStyle name="40% - Accent5 4 5 5" xfId="2377" xr:uid="{00000000-0005-0000-0000-0000E1870000}"/>
    <cellStyle name="40% - Accent5 4 5 5 2" xfId="8213" xr:uid="{00000000-0005-0000-0000-0000E2870000}"/>
    <cellStyle name="40% - Accent5 4 5 5 2 2" xfId="19514" xr:uid="{00000000-0005-0000-0000-0000E3870000}"/>
    <cellStyle name="40% - Accent5 4 5 5 2 2 2" xfId="42116" xr:uid="{00000000-0005-0000-0000-0000E4870000}"/>
    <cellStyle name="40% - Accent5 4 5 5 2 3" xfId="30815" xr:uid="{00000000-0005-0000-0000-0000E5870000}"/>
    <cellStyle name="40% - Accent5 4 5 5 3" xfId="13864" xr:uid="{00000000-0005-0000-0000-0000E6870000}"/>
    <cellStyle name="40% - Accent5 4 5 5 3 2" xfId="36466" xr:uid="{00000000-0005-0000-0000-0000E7870000}"/>
    <cellStyle name="40% - Accent5 4 5 5 4" xfId="25165" xr:uid="{00000000-0005-0000-0000-0000E8870000}"/>
    <cellStyle name="40% - Accent5 4 5 6" xfId="4162" xr:uid="{00000000-0005-0000-0000-0000E9870000}"/>
    <cellStyle name="40% - Accent5 4 5 6 2" xfId="9812" xr:uid="{00000000-0005-0000-0000-0000EA870000}"/>
    <cellStyle name="40% - Accent5 4 5 6 2 2" xfId="21113" xr:uid="{00000000-0005-0000-0000-0000EB870000}"/>
    <cellStyle name="40% - Accent5 4 5 6 2 2 2" xfId="43715" xr:uid="{00000000-0005-0000-0000-0000EC870000}"/>
    <cellStyle name="40% - Accent5 4 5 6 2 3" xfId="32414" xr:uid="{00000000-0005-0000-0000-0000ED870000}"/>
    <cellStyle name="40% - Accent5 4 5 6 3" xfId="15463" xr:uid="{00000000-0005-0000-0000-0000EE870000}"/>
    <cellStyle name="40% - Accent5 4 5 6 3 2" xfId="38065" xr:uid="{00000000-0005-0000-0000-0000EF870000}"/>
    <cellStyle name="40% - Accent5 4 5 6 4" xfId="26764" xr:uid="{00000000-0005-0000-0000-0000F0870000}"/>
    <cellStyle name="40% - Accent5 4 5 7" xfId="6613" xr:uid="{00000000-0005-0000-0000-0000F1870000}"/>
    <cellStyle name="40% - Accent5 4 5 7 2" xfId="17914" xr:uid="{00000000-0005-0000-0000-0000F2870000}"/>
    <cellStyle name="40% - Accent5 4 5 7 2 2" xfId="40516" xr:uid="{00000000-0005-0000-0000-0000F3870000}"/>
    <cellStyle name="40% - Accent5 4 5 7 3" xfId="29215" xr:uid="{00000000-0005-0000-0000-0000F4870000}"/>
    <cellStyle name="40% - Accent5 4 5 8" xfId="12264" xr:uid="{00000000-0005-0000-0000-0000F5870000}"/>
    <cellStyle name="40% - Accent5 4 5 8 2" xfId="34866" xr:uid="{00000000-0005-0000-0000-0000F6870000}"/>
    <cellStyle name="40% - Accent5 4 5 9" xfId="23565" xr:uid="{00000000-0005-0000-0000-0000F7870000}"/>
    <cellStyle name="40% - Accent5 4 6" xfId="1120" xr:uid="{00000000-0005-0000-0000-0000F8870000}"/>
    <cellStyle name="40% - Accent5 4 6 2" xfId="2016" xr:uid="{00000000-0005-0000-0000-0000F9870000}"/>
    <cellStyle name="40% - Accent5 4 6 2 2" xfId="3187" xr:uid="{00000000-0005-0000-0000-0000FA870000}"/>
    <cellStyle name="40% - Accent5 4 6 2 2 2" xfId="6159" xr:uid="{00000000-0005-0000-0000-0000FB870000}"/>
    <cellStyle name="40% - Accent5 4 6 2 2 2 2" xfId="11809" xr:uid="{00000000-0005-0000-0000-0000FC870000}"/>
    <cellStyle name="40% - Accent5 4 6 2 2 2 2 2" xfId="23110" xr:uid="{00000000-0005-0000-0000-0000FD870000}"/>
    <cellStyle name="40% - Accent5 4 6 2 2 2 2 2 2" xfId="45712" xr:uid="{00000000-0005-0000-0000-0000FE870000}"/>
    <cellStyle name="40% - Accent5 4 6 2 2 2 2 3" xfId="34411" xr:uid="{00000000-0005-0000-0000-0000FF870000}"/>
    <cellStyle name="40% - Accent5 4 6 2 2 2 3" xfId="17460" xr:uid="{00000000-0005-0000-0000-000000880000}"/>
    <cellStyle name="40% - Accent5 4 6 2 2 2 3 2" xfId="40062" xr:uid="{00000000-0005-0000-0000-000001880000}"/>
    <cellStyle name="40% - Accent5 4 6 2 2 2 4" xfId="28761" xr:uid="{00000000-0005-0000-0000-000002880000}"/>
    <cellStyle name="40% - Accent5 4 6 2 2 3" xfId="8977" xr:uid="{00000000-0005-0000-0000-000003880000}"/>
    <cellStyle name="40% - Accent5 4 6 2 2 3 2" xfId="20278" xr:uid="{00000000-0005-0000-0000-000004880000}"/>
    <cellStyle name="40% - Accent5 4 6 2 2 3 2 2" xfId="42880" xr:uid="{00000000-0005-0000-0000-000005880000}"/>
    <cellStyle name="40% - Accent5 4 6 2 2 3 3" xfId="31579" xr:uid="{00000000-0005-0000-0000-000006880000}"/>
    <cellStyle name="40% - Accent5 4 6 2 2 4" xfId="14628" xr:uid="{00000000-0005-0000-0000-000007880000}"/>
    <cellStyle name="40% - Accent5 4 6 2 2 4 2" xfId="37230" xr:uid="{00000000-0005-0000-0000-000008880000}"/>
    <cellStyle name="40% - Accent5 4 6 2 2 5" xfId="25929" xr:uid="{00000000-0005-0000-0000-000009880000}"/>
    <cellStyle name="40% - Accent5 4 6 2 3" xfId="4925" xr:uid="{00000000-0005-0000-0000-00000A880000}"/>
    <cellStyle name="40% - Accent5 4 6 2 3 2" xfId="10575" xr:uid="{00000000-0005-0000-0000-00000B880000}"/>
    <cellStyle name="40% - Accent5 4 6 2 3 2 2" xfId="21876" xr:uid="{00000000-0005-0000-0000-00000C880000}"/>
    <cellStyle name="40% - Accent5 4 6 2 3 2 2 2" xfId="44478" xr:uid="{00000000-0005-0000-0000-00000D880000}"/>
    <cellStyle name="40% - Accent5 4 6 2 3 2 3" xfId="33177" xr:uid="{00000000-0005-0000-0000-00000E880000}"/>
    <cellStyle name="40% - Accent5 4 6 2 3 3" xfId="16226" xr:uid="{00000000-0005-0000-0000-00000F880000}"/>
    <cellStyle name="40% - Accent5 4 6 2 3 3 2" xfId="38828" xr:uid="{00000000-0005-0000-0000-000010880000}"/>
    <cellStyle name="40% - Accent5 4 6 2 3 4" xfId="27527" xr:uid="{00000000-0005-0000-0000-000011880000}"/>
    <cellStyle name="40% - Accent5 4 6 2 4" xfId="7872" xr:uid="{00000000-0005-0000-0000-000012880000}"/>
    <cellStyle name="40% - Accent5 4 6 2 4 2" xfId="19173" xr:uid="{00000000-0005-0000-0000-000013880000}"/>
    <cellStyle name="40% - Accent5 4 6 2 4 2 2" xfId="41775" xr:uid="{00000000-0005-0000-0000-000014880000}"/>
    <cellStyle name="40% - Accent5 4 6 2 4 3" xfId="30474" xr:uid="{00000000-0005-0000-0000-000015880000}"/>
    <cellStyle name="40% - Accent5 4 6 2 5" xfId="13523" xr:uid="{00000000-0005-0000-0000-000016880000}"/>
    <cellStyle name="40% - Accent5 4 6 2 5 2" xfId="36125" xr:uid="{00000000-0005-0000-0000-000017880000}"/>
    <cellStyle name="40% - Accent5 4 6 2 6" xfId="24824" xr:uid="{00000000-0005-0000-0000-000018880000}"/>
    <cellStyle name="40% - Accent5 4 6 3" xfId="2516" xr:uid="{00000000-0005-0000-0000-000019880000}"/>
    <cellStyle name="40% - Accent5 4 6 3 2" xfId="5535" xr:uid="{00000000-0005-0000-0000-00001A880000}"/>
    <cellStyle name="40% - Accent5 4 6 3 2 2" xfId="11185" xr:uid="{00000000-0005-0000-0000-00001B880000}"/>
    <cellStyle name="40% - Accent5 4 6 3 2 2 2" xfId="22486" xr:uid="{00000000-0005-0000-0000-00001C880000}"/>
    <cellStyle name="40% - Accent5 4 6 3 2 2 2 2" xfId="45088" xr:uid="{00000000-0005-0000-0000-00001D880000}"/>
    <cellStyle name="40% - Accent5 4 6 3 2 2 3" xfId="33787" xr:uid="{00000000-0005-0000-0000-00001E880000}"/>
    <cellStyle name="40% - Accent5 4 6 3 2 3" xfId="16836" xr:uid="{00000000-0005-0000-0000-00001F880000}"/>
    <cellStyle name="40% - Accent5 4 6 3 2 3 2" xfId="39438" xr:uid="{00000000-0005-0000-0000-000020880000}"/>
    <cellStyle name="40% - Accent5 4 6 3 2 4" xfId="28137" xr:uid="{00000000-0005-0000-0000-000021880000}"/>
    <cellStyle name="40% - Accent5 4 6 3 3" xfId="8352" xr:uid="{00000000-0005-0000-0000-000022880000}"/>
    <cellStyle name="40% - Accent5 4 6 3 3 2" xfId="19653" xr:uid="{00000000-0005-0000-0000-000023880000}"/>
    <cellStyle name="40% - Accent5 4 6 3 3 2 2" xfId="42255" xr:uid="{00000000-0005-0000-0000-000024880000}"/>
    <cellStyle name="40% - Accent5 4 6 3 3 3" xfId="30954" xr:uid="{00000000-0005-0000-0000-000025880000}"/>
    <cellStyle name="40% - Accent5 4 6 3 4" xfId="14003" xr:uid="{00000000-0005-0000-0000-000026880000}"/>
    <cellStyle name="40% - Accent5 4 6 3 4 2" xfId="36605" xr:uid="{00000000-0005-0000-0000-000027880000}"/>
    <cellStyle name="40% - Accent5 4 6 3 5" xfId="25304" xr:uid="{00000000-0005-0000-0000-000028880000}"/>
    <cellStyle name="40% - Accent5 4 6 4" xfId="4301" xr:uid="{00000000-0005-0000-0000-000029880000}"/>
    <cellStyle name="40% - Accent5 4 6 4 2" xfId="9951" xr:uid="{00000000-0005-0000-0000-00002A880000}"/>
    <cellStyle name="40% - Accent5 4 6 4 2 2" xfId="21252" xr:uid="{00000000-0005-0000-0000-00002B880000}"/>
    <cellStyle name="40% - Accent5 4 6 4 2 2 2" xfId="43854" xr:uid="{00000000-0005-0000-0000-00002C880000}"/>
    <cellStyle name="40% - Accent5 4 6 4 2 3" xfId="32553" xr:uid="{00000000-0005-0000-0000-00002D880000}"/>
    <cellStyle name="40% - Accent5 4 6 4 3" xfId="15602" xr:uid="{00000000-0005-0000-0000-00002E880000}"/>
    <cellStyle name="40% - Accent5 4 6 4 3 2" xfId="38204" xr:uid="{00000000-0005-0000-0000-00002F880000}"/>
    <cellStyle name="40% - Accent5 4 6 4 4" xfId="26903" xr:uid="{00000000-0005-0000-0000-000030880000}"/>
    <cellStyle name="40% - Accent5 4 6 5" xfId="7099" xr:uid="{00000000-0005-0000-0000-000031880000}"/>
    <cellStyle name="40% - Accent5 4 6 5 2" xfId="18400" xr:uid="{00000000-0005-0000-0000-000032880000}"/>
    <cellStyle name="40% - Accent5 4 6 5 2 2" xfId="41002" xr:uid="{00000000-0005-0000-0000-000033880000}"/>
    <cellStyle name="40% - Accent5 4 6 5 3" xfId="29701" xr:uid="{00000000-0005-0000-0000-000034880000}"/>
    <cellStyle name="40% - Accent5 4 6 6" xfId="12750" xr:uid="{00000000-0005-0000-0000-000035880000}"/>
    <cellStyle name="40% - Accent5 4 6 6 2" xfId="35352" xr:uid="{00000000-0005-0000-0000-000036880000}"/>
    <cellStyle name="40% - Accent5 4 6 7" xfId="24051" xr:uid="{00000000-0005-0000-0000-000037880000}"/>
    <cellStyle name="40% - Accent5 4 7" xfId="784" xr:uid="{00000000-0005-0000-0000-000038880000}"/>
    <cellStyle name="40% - Accent5 4 7 2" xfId="2881" xr:uid="{00000000-0005-0000-0000-000039880000}"/>
    <cellStyle name="40% - Accent5 4 7 2 2" xfId="5853" xr:uid="{00000000-0005-0000-0000-00003A880000}"/>
    <cellStyle name="40% - Accent5 4 7 2 2 2" xfId="11503" xr:uid="{00000000-0005-0000-0000-00003B880000}"/>
    <cellStyle name="40% - Accent5 4 7 2 2 2 2" xfId="22804" xr:uid="{00000000-0005-0000-0000-00003C880000}"/>
    <cellStyle name="40% - Accent5 4 7 2 2 2 2 2" xfId="45406" xr:uid="{00000000-0005-0000-0000-00003D880000}"/>
    <cellStyle name="40% - Accent5 4 7 2 2 2 3" xfId="34105" xr:uid="{00000000-0005-0000-0000-00003E880000}"/>
    <cellStyle name="40% - Accent5 4 7 2 2 3" xfId="17154" xr:uid="{00000000-0005-0000-0000-00003F880000}"/>
    <cellStyle name="40% - Accent5 4 7 2 2 3 2" xfId="39756" xr:uid="{00000000-0005-0000-0000-000040880000}"/>
    <cellStyle name="40% - Accent5 4 7 2 2 4" xfId="28455" xr:uid="{00000000-0005-0000-0000-000041880000}"/>
    <cellStyle name="40% - Accent5 4 7 2 3" xfId="8671" xr:uid="{00000000-0005-0000-0000-000042880000}"/>
    <cellStyle name="40% - Accent5 4 7 2 3 2" xfId="19972" xr:uid="{00000000-0005-0000-0000-000043880000}"/>
    <cellStyle name="40% - Accent5 4 7 2 3 2 2" xfId="42574" xr:uid="{00000000-0005-0000-0000-000044880000}"/>
    <cellStyle name="40% - Accent5 4 7 2 3 3" xfId="31273" xr:uid="{00000000-0005-0000-0000-000045880000}"/>
    <cellStyle name="40% - Accent5 4 7 2 4" xfId="14322" xr:uid="{00000000-0005-0000-0000-000046880000}"/>
    <cellStyle name="40% - Accent5 4 7 2 4 2" xfId="36924" xr:uid="{00000000-0005-0000-0000-000047880000}"/>
    <cellStyle name="40% - Accent5 4 7 2 5" xfId="25623" xr:uid="{00000000-0005-0000-0000-000048880000}"/>
    <cellStyle name="40% - Accent5 4 7 3" xfId="4619" xr:uid="{00000000-0005-0000-0000-000049880000}"/>
    <cellStyle name="40% - Accent5 4 7 3 2" xfId="10269" xr:uid="{00000000-0005-0000-0000-00004A880000}"/>
    <cellStyle name="40% - Accent5 4 7 3 2 2" xfId="21570" xr:uid="{00000000-0005-0000-0000-00004B880000}"/>
    <cellStyle name="40% - Accent5 4 7 3 2 2 2" xfId="44172" xr:uid="{00000000-0005-0000-0000-00004C880000}"/>
    <cellStyle name="40% - Accent5 4 7 3 2 3" xfId="32871" xr:uid="{00000000-0005-0000-0000-00004D880000}"/>
    <cellStyle name="40% - Accent5 4 7 3 3" xfId="15920" xr:uid="{00000000-0005-0000-0000-00004E880000}"/>
    <cellStyle name="40% - Accent5 4 7 3 3 2" xfId="38522" xr:uid="{00000000-0005-0000-0000-00004F880000}"/>
    <cellStyle name="40% - Accent5 4 7 3 4" xfId="27221" xr:uid="{00000000-0005-0000-0000-000050880000}"/>
    <cellStyle name="40% - Accent5 4 7 4" xfId="6801" xr:uid="{00000000-0005-0000-0000-000051880000}"/>
    <cellStyle name="40% - Accent5 4 7 4 2" xfId="18102" xr:uid="{00000000-0005-0000-0000-000052880000}"/>
    <cellStyle name="40% - Accent5 4 7 4 2 2" xfId="40704" xr:uid="{00000000-0005-0000-0000-000053880000}"/>
    <cellStyle name="40% - Accent5 4 7 4 3" xfId="29403" xr:uid="{00000000-0005-0000-0000-000054880000}"/>
    <cellStyle name="40% - Accent5 4 7 5" xfId="12452" xr:uid="{00000000-0005-0000-0000-000055880000}"/>
    <cellStyle name="40% - Accent5 4 7 5 2" xfId="35054" xr:uid="{00000000-0005-0000-0000-000056880000}"/>
    <cellStyle name="40% - Accent5 4 7 6" xfId="23753" xr:uid="{00000000-0005-0000-0000-000057880000}"/>
    <cellStyle name="40% - Accent5 4 8" xfId="2003" xr:uid="{00000000-0005-0000-0000-000058880000}"/>
    <cellStyle name="40% - Accent5 4 8 2" xfId="3802" xr:uid="{00000000-0005-0000-0000-000059880000}"/>
    <cellStyle name="40% - Accent5 4 8 2 2" xfId="9512" xr:uid="{00000000-0005-0000-0000-00005A880000}"/>
    <cellStyle name="40% - Accent5 4 8 2 2 2" xfId="20813" xr:uid="{00000000-0005-0000-0000-00005B880000}"/>
    <cellStyle name="40% - Accent5 4 8 2 2 2 2" xfId="43415" xr:uid="{00000000-0005-0000-0000-00005C880000}"/>
    <cellStyle name="40% - Accent5 4 8 2 2 3" xfId="32114" xr:uid="{00000000-0005-0000-0000-00005D880000}"/>
    <cellStyle name="40% - Accent5 4 8 2 3" xfId="15163" xr:uid="{00000000-0005-0000-0000-00005E880000}"/>
    <cellStyle name="40% - Accent5 4 8 2 3 2" xfId="37765" xr:uid="{00000000-0005-0000-0000-00005F880000}"/>
    <cellStyle name="40% - Accent5 4 8 2 4" xfId="26464" xr:uid="{00000000-0005-0000-0000-000060880000}"/>
    <cellStyle name="40% - Accent5 4 8 3" xfId="5229" xr:uid="{00000000-0005-0000-0000-000061880000}"/>
    <cellStyle name="40% - Accent5 4 8 3 2" xfId="10879" xr:uid="{00000000-0005-0000-0000-000062880000}"/>
    <cellStyle name="40% - Accent5 4 8 3 2 2" xfId="22180" xr:uid="{00000000-0005-0000-0000-000063880000}"/>
    <cellStyle name="40% - Accent5 4 8 3 2 2 2" xfId="44782" xr:uid="{00000000-0005-0000-0000-000064880000}"/>
    <cellStyle name="40% - Accent5 4 8 3 2 3" xfId="33481" xr:uid="{00000000-0005-0000-0000-000065880000}"/>
    <cellStyle name="40% - Accent5 4 8 3 3" xfId="16530" xr:uid="{00000000-0005-0000-0000-000066880000}"/>
    <cellStyle name="40% - Accent5 4 8 3 3 2" xfId="39132" xr:uid="{00000000-0005-0000-0000-000067880000}"/>
    <cellStyle name="40% - Accent5 4 8 3 4" xfId="27831" xr:uid="{00000000-0005-0000-0000-000068880000}"/>
    <cellStyle name="40% - Accent5 4 8 4" xfId="7859" xr:uid="{00000000-0005-0000-0000-000069880000}"/>
    <cellStyle name="40% - Accent5 4 8 4 2" xfId="19160" xr:uid="{00000000-0005-0000-0000-00006A880000}"/>
    <cellStyle name="40% - Accent5 4 8 4 2 2" xfId="41762" xr:uid="{00000000-0005-0000-0000-00006B880000}"/>
    <cellStyle name="40% - Accent5 4 8 4 3" xfId="30461" xr:uid="{00000000-0005-0000-0000-00006C880000}"/>
    <cellStyle name="40% - Accent5 4 8 5" xfId="13510" xr:uid="{00000000-0005-0000-0000-00006D880000}"/>
    <cellStyle name="40% - Accent5 4 8 5 2" xfId="36112" xr:uid="{00000000-0005-0000-0000-00006E880000}"/>
    <cellStyle name="40% - Accent5 4 8 6" xfId="24811" xr:uid="{00000000-0005-0000-0000-00006F880000}"/>
    <cellStyle name="40% - Accent5 4 9" xfId="2200" xr:uid="{00000000-0005-0000-0000-000070880000}"/>
    <cellStyle name="40% - Accent5 4 9 2" xfId="8043" xr:uid="{00000000-0005-0000-0000-000071880000}"/>
    <cellStyle name="40% - Accent5 4 9 2 2" xfId="19344" xr:uid="{00000000-0005-0000-0000-000072880000}"/>
    <cellStyle name="40% - Accent5 4 9 2 2 2" xfId="41946" xr:uid="{00000000-0005-0000-0000-000073880000}"/>
    <cellStyle name="40% - Accent5 4 9 2 3" xfId="30645" xr:uid="{00000000-0005-0000-0000-000074880000}"/>
    <cellStyle name="40% - Accent5 4 9 3" xfId="13694" xr:uid="{00000000-0005-0000-0000-000075880000}"/>
    <cellStyle name="40% - Accent5 4 9 3 2" xfId="36296" xr:uid="{00000000-0005-0000-0000-000076880000}"/>
    <cellStyle name="40% - Accent5 4 9 4" xfId="24995" xr:uid="{00000000-0005-0000-0000-000077880000}"/>
    <cellStyle name="40% - Accent5 5" xfId="273" xr:uid="{00000000-0005-0000-0000-000078880000}"/>
    <cellStyle name="40% - Accent5 5 10" xfId="12138" xr:uid="{00000000-0005-0000-0000-000079880000}"/>
    <cellStyle name="40% - Accent5 5 10 2" xfId="34740" xr:uid="{00000000-0005-0000-0000-00007A880000}"/>
    <cellStyle name="40% - Accent5 5 11" xfId="23439" xr:uid="{00000000-0005-0000-0000-00007B880000}"/>
    <cellStyle name="40% - Accent5 5 2" xfId="439" xr:uid="{00000000-0005-0000-0000-00007C880000}"/>
    <cellStyle name="40% - Accent5 5 2 10" xfId="23534" xr:uid="{00000000-0005-0000-0000-00007D880000}"/>
    <cellStyle name="40% - Accent5 5 2 2" xfId="684" xr:uid="{00000000-0005-0000-0000-00007E880000}"/>
    <cellStyle name="40% - Accent5 5 2 2 2" xfId="1394" xr:uid="{00000000-0005-0000-0000-00007F880000}"/>
    <cellStyle name="40% - Accent5 5 2 2 2 2" xfId="2020" xr:uid="{00000000-0005-0000-0000-000080880000}"/>
    <cellStyle name="40% - Accent5 5 2 2 2 2 2" xfId="3463" xr:uid="{00000000-0005-0000-0000-000081880000}"/>
    <cellStyle name="40% - Accent5 5 2 2 2 2 2 2" xfId="6435" xr:uid="{00000000-0005-0000-0000-000082880000}"/>
    <cellStyle name="40% - Accent5 5 2 2 2 2 2 2 2" xfId="12085" xr:uid="{00000000-0005-0000-0000-000083880000}"/>
    <cellStyle name="40% - Accent5 5 2 2 2 2 2 2 2 2" xfId="23386" xr:uid="{00000000-0005-0000-0000-000084880000}"/>
    <cellStyle name="40% - Accent5 5 2 2 2 2 2 2 2 2 2" xfId="45988" xr:uid="{00000000-0005-0000-0000-000085880000}"/>
    <cellStyle name="40% - Accent5 5 2 2 2 2 2 2 2 3" xfId="34687" xr:uid="{00000000-0005-0000-0000-000086880000}"/>
    <cellStyle name="40% - Accent5 5 2 2 2 2 2 2 3" xfId="17736" xr:uid="{00000000-0005-0000-0000-000087880000}"/>
    <cellStyle name="40% - Accent5 5 2 2 2 2 2 2 3 2" xfId="40338" xr:uid="{00000000-0005-0000-0000-000088880000}"/>
    <cellStyle name="40% - Accent5 5 2 2 2 2 2 2 4" xfId="29037" xr:uid="{00000000-0005-0000-0000-000089880000}"/>
    <cellStyle name="40% - Accent5 5 2 2 2 2 2 3" xfId="9253" xr:uid="{00000000-0005-0000-0000-00008A880000}"/>
    <cellStyle name="40% - Accent5 5 2 2 2 2 2 3 2" xfId="20554" xr:uid="{00000000-0005-0000-0000-00008B880000}"/>
    <cellStyle name="40% - Accent5 5 2 2 2 2 2 3 2 2" xfId="43156" xr:uid="{00000000-0005-0000-0000-00008C880000}"/>
    <cellStyle name="40% - Accent5 5 2 2 2 2 2 3 3" xfId="31855" xr:uid="{00000000-0005-0000-0000-00008D880000}"/>
    <cellStyle name="40% - Accent5 5 2 2 2 2 2 4" xfId="14904" xr:uid="{00000000-0005-0000-0000-00008E880000}"/>
    <cellStyle name="40% - Accent5 5 2 2 2 2 2 4 2" xfId="37506" xr:uid="{00000000-0005-0000-0000-00008F880000}"/>
    <cellStyle name="40% - Accent5 5 2 2 2 2 2 5" xfId="26205" xr:uid="{00000000-0005-0000-0000-000090880000}"/>
    <cellStyle name="40% - Accent5 5 2 2 2 2 3" xfId="5201" xr:uid="{00000000-0005-0000-0000-000091880000}"/>
    <cellStyle name="40% - Accent5 5 2 2 2 2 3 2" xfId="10851" xr:uid="{00000000-0005-0000-0000-000092880000}"/>
    <cellStyle name="40% - Accent5 5 2 2 2 2 3 2 2" xfId="22152" xr:uid="{00000000-0005-0000-0000-000093880000}"/>
    <cellStyle name="40% - Accent5 5 2 2 2 2 3 2 2 2" xfId="44754" xr:uid="{00000000-0005-0000-0000-000094880000}"/>
    <cellStyle name="40% - Accent5 5 2 2 2 2 3 2 3" xfId="33453" xr:uid="{00000000-0005-0000-0000-000095880000}"/>
    <cellStyle name="40% - Accent5 5 2 2 2 2 3 3" xfId="16502" xr:uid="{00000000-0005-0000-0000-000096880000}"/>
    <cellStyle name="40% - Accent5 5 2 2 2 2 3 3 2" xfId="39104" xr:uid="{00000000-0005-0000-0000-000097880000}"/>
    <cellStyle name="40% - Accent5 5 2 2 2 2 3 4" xfId="27803" xr:uid="{00000000-0005-0000-0000-000098880000}"/>
    <cellStyle name="40% - Accent5 5 2 2 2 2 4" xfId="7876" xr:uid="{00000000-0005-0000-0000-000099880000}"/>
    <cellStyle name="40% - Accent5 5 2 2 2 2 4 2" xfId="19177" xr:uid="{00000000-0005-0000-0000-00009A880000}"/>
    <cellStyle name="40% - Accent5 5 2 2 2 2 4 2 2" xfId="41779" xr:uid="{00000000-0005-0000-0000-00009B880000}"/>
    <cellStyle name="40% - Accent5 5 2 2 2 2 4 3" xfId="30478" xr:uid="{00000000-0005-0000-0000-00009C880000}"/>
    <cellStyle name="40% - Accent5 5 2 2 2 2 5" xfId="13527" xr:uid="{00000000-0005-0000-0000-00009D880000}"/>
    <cellStyle name="40% - Accent5 5 2 2 2 2 5 2" xfId="36129" xr:uid="{00000000-0005-0000-0000-00009E880000}"/>
    <cellStyle name="40% - Accent5 5 2 2 2 2 6" xfId="24828" xr:uid="{00000000-0005-0000-0000-00009F880000}"/>
    <cellStyle name="40% - Accent5 5 2 2 2 3" xfId="2792" xr:uid="{00000000-0005-0000-0000-0000A0880000}"/>
    <cellStyle name="40% - Accent5 5 2 2 2 3 2" xfId="5811" xr:uid="{00000000-0005-0000-0000-0000A1880000}"/>
    <cellStyle name="40% - Accent5 5 2 2 2 3 2 2" xfId="11461" xr:uid="{00000000-0005-0000-0000-0000A2880000}"/>
    <cellStyle name="40% - Accent5 5 2 2 2 3 2 2 2" xfId="22762" xr:uid="{00000000-0005-0000-0000-0000A3880000}"/>
    <cellStyle name="40% - Accent5 5 2 2 2 3 2 2 2 2" xfId="45364" xr:uid="{00000000-0005-0000-0000-0000A4880000}"/>
    <cellStyle name="40% - Accent5 5 2 2 2 3 2 2 3" xfId="34063" xr:uid="{00000000-0005-0000-0000-0000A5880000}"/>
    <cellStyle name="40% - Accent5 5 2 2 2 3 2 3" xfId="17112" xr:uid="{00000000-0005-0000-0000-0000A6880000}"/>
    <cellStyle name="40% - Accent5 5 2 2 2 3 2 3 2" xfId="39714" xr:uid="{00000000-0005-0000-0000-0000A7880000}"/>
    <cellStyle name="40% - Accent5 5 2 2 2 3 2 4" xfId="28413" xr:uid="{00000000-0005-0000-0000-0000A8880000}"/>
    <cellStyle name="40% - Accent5 5 2 2 2 3 3" xfId="8628" xr:uid="{00000000-0005-0000-0000-0000A9880000}"/>
    <cellStyle name="40% - Accent5 5 2 2 2 3 3 2" xfId="19929" xr:uid="{00000000-0005-0000-0000-0000AA880000}"/>
    <cellStyle name="40% - Accent5 5 2 2 2 3 3 2 2" xfId="42531" xr:uid="{00000000-0005-0000-0000-0000AB880000}"/>
    <cellStyle name="40% - Accent5 5 2 2 2 3 3 3" xfId="31230" xr:uid="{00000000-0005-0000-0000-0000AC880000}"/>
    <cellStyle name="40% - Accent5 5 2 2 2 3 4" xfId="14279" xr:uid="{00000000-0005-0000-0000-0000AD880000}"/>
    <cellStyle name="40% - Accent5 5 2 2 2 3 4 2" xfId="36881" xr:uid="{00000000-0005-0000-0000-0000AE880000}"/>
    <cellStyle name="40% - Accent5 5 2 2 2 3 5" xfId="25580" xr:uid="{00000000-0005-0000-0000-0000AF880000}"/>
    <cellStyle name="40% - Accent5 5 2 2 2 4" xfId="4577" xr:uid="{00000000-0005-0000-0000-0000B0880000}"/>
    <cellStyle name="40% - Accent5 5 2 2 2 4 2" xfId="10227" xr:uid="{00000000-0005-0000-0000-0000B1880000}"/>
    <cellStyle name="40% - Accent5 5 2 2 2 4 2 2" xfId="21528" xr:uid="{00000000-0005-0000-0000-0000B2880000}"/>
    <cellStyle name="40% - Accent5 5 2 2 2 4 2 2 2" xfId="44130" xr:uid="{00000000-0005-0000-0000-0000B3880000}"/>
    <cellStyle name="40% - Accent5 5 2 2 2 4 2 3" xfId="32829" xr:uid="{00000000-0005-0000-0000-0000B4880000}"/>
    <cellStyle name="40% - Accent5 5 2 2 2 4 3" xfId="15878" xr:uid="{00000000-0005-0000-0000-0000B5880000}"/>
    <cellStyle name="40% - Accent5 5 2 2 2 4 3 2" xfId="38480" xr:uid="{00000000-0005-0000-0000-0000B6880000}"/>
    <cellStyle name="40% - Accent5 5 2 2 2 4 4" xfId="27179" xr:uid="{00000000-0005-0000-0000-0000B7880000}"/>
    <cellStyle name="40% - Accent5 5 2 2 2 5" xfId="7373" xr:uid="{00000000-0005-0000-0000-0000B8880000}"/>
    <cellStyle name="40% - Accent5 5 2 2 2 5 2" xfId="18674" xr:uid="{00000000-0005-0000-0000-0000B9880000}"/>
    <cellStyle name="40% - Accent5 5 2 2 2 5 2 2" xfId="41276" xr:uid="{00000000-0005-0000-0000-0000BA880000}"/>
    <cellStyle name="40% - Accent5 5 2 2 2 5 3" xfId="29975" xr:uid="{00000000-0005-0000-0000-0000BB880000}"/>
    <cellStyle name="40% - Accent5 5 2 2 2 6" xfId="13024" xr:uid="{00000000-0005-0000-0000-0000BC880000}"/>
    <cellStyle name="40% - Accent5 5 2 2 2 6 2" xfId="35626" xr:uid="{00000000-0005-0000-0000-0000BD880000}"/>
    <cellStyle name="40% - Accent5 5 2 2 2 7" xfId="24325" xr:uid="{00000000-0005-0000-0000-0000BE880000}"/>
    <cellStyle name="40% - Accent5 5 2 2 3" xfId="1092" xr:uid="{00000000-0005-0000-0000-0000BF880000}"/>
    <cellStyle name="40% - Accent5 5 2 2 3 2" xfId="3155" xr:uid="{00000000-0005-0000-0000-0000C0880000}"/>
    <cellStyle name="40% - Accent5 5 2 2 3 2 2" xfId="6127" xr:uid="{00000000-0005-0000-0000-0000C1880000}"/>
    <cellStyle name="40% - Accent5 5 2 2 3 2 2 2" xfId="11777" xr:uid="{00000000-0005-0000-0000-0000C2880000}"/>
    <cellStyle name="40% - Accent5 5 2 2 3 2 2 2 2" xfId="23078" xr:uid="{00000000-0005-0000-0000-0000C3880000}"/>
    <cellStyle name="40% - Accent5 5 2 2 3 2 2 2 2 2" xfId="45680" xr:uid="{00000000-0005-0000-0000-0000C4880000}"/>
    <cellStyle name="40% - Accent5 5 2 2 3 2 2 2 3" xfId="34379" xr:uid="{00000000-0005-0000-0000-0000C5880000}"/>
    <cellStyle name="40% - Accent5 5 2 2 3 2 2 3" xfId="17428" xr:uid="{00000000-0005-0000-0000-0000C6880000}"/>
    <cellStyle name="40% - Accent5 5 2 2 3 2 2 3 2" xfId="40030" xr:uid="{00000000-0005-0000-0000-0000C7880000}"/>
    <cellStyle name="40% - Accent5 5 2 2 3 2 2 4" xfId="28729" xr:uid="{00000000-0005-0000-0000-0000C8880000}"/>
    <cellStyle name="40% - Accent5 5 2 2 3 2 3" xfId="8945" xr:uid="{00000000-0005-0000-0000-0000C9880000}"/>
    <cellStyle name="40% - Accent5 5 2 2 3 2 3 2" xfId="20246" xr:uid="{00000000-0005-0000-0000-0000CA880000}"/>
    <cellStyle name="40% - Accent5 5 2 2 3 2 3 2 2" xfId="42848" xr:uid="{00000000-0005-0000-0000-0000CB880000}"/>
    <cellStyle name="40% - Accent5 5 2 2 3 2 3 3" xfId="31547" xr:uid="{00000000-0005-0000-0000-0000CC880000}"/>
    <cellStyle name="40% - Accent5 5 2 2 3 2 4" xfId="14596" xr:uid="{00000000-0005-0000-0000-0000CD880000}"/>
    <cellStyle name="40% - Accent5 5 2 2 3 2 4 2" xfId="37198" xr:uid="{00000000-0005-0000-0000-0000CE880000}"/>
    <cellStyle name="40% - Accent5 5 2 2 3 2 5" xfId="25897" xr:uid="{00000000-0005-0000-0000-0000CF880000}"/>
    <cellStyle name="40% - Accent5 5 2 2 3 3" xfId="4893" xr:uid="{00000000-0005-0000-0000-0000D0880000}"/>
    <cellStyle name="40% - Accent5 5 2 2 3 3 2" xfId="10543" xr:uid="{00000000-0005-0000-0000-0000D1880000}"/>
    <cellStyle name="40% - Accent5 5 2 2 3 3 2 2" xfId="21844" xr:uid="{00000000-0005-0000-0000-0000D2880000}"/>
    <cellStyle name="40% - Accent5 5 2 2 3 3 2 2 2" xfId="44446" xr:uid="{00000000-0005-0000-0000-0000D3880000}"/>
    <cellStyle name="40% - Accent5 5 2 2 3 3 2 3" xfId="33145" xr:uid="{00000000-0005-0000-0000-0000D4880000}"/>
    <cellStyle name="40% - Accent5 5 2 2 3 3 3" xfId="16194" xr:uid="{00000000-0005-0000-0000-0000D5880000}"/>
    <cellStyle name="40% - Accent5 5 2 2 3 3 3 2" xfId="38796" xr:uid="{00000000-0005-0000-0000-0000D6880000}"/>
    <cellStyle name="40% - Accent5 5 2 2 3 3 4" xfId="27495" xr:uid="{00000000-0005-0000-0000-0000D7880000}"/>
    <cellStyle name="40% - Accent5 5 2 2 3 4" xfId="7080" xr:uid="{00000000-0005-0000-0000-0000D8880000}"/>
    <cellStyle name="40% - Accent5 5 2 2 3 4 2" xfId="18381" xr:uid="{00000000-0005-0000-0000-0000D9880000}"/>
    <cellStyle name="40% - Accent5 5 2 2 3 4 2 2" xfId="40983" xr:uid="{00000000-0005-0000-0000-0000DA880000}"/>
    <cellStyle name="40% - Accent5 5 2 2 3 4 3" xfId="29682" xr:uid="{00000000-0005-0000-0000-0000DB880000}"/>
    <cellStyle name="40% - Accent5 5 2 2 3 5" xfId="12731" xr:uid="{00000000-0005-0000-0000-0000DC880000}"/>
    <cellStyle name="40% - Accent5 5 2 2 3 5 2" xfId="35333" xr:uid="{00000000-0005-0000-0000-0000DD880000}"/>
    <cellStyle name="40% - Accent5 5 2 2 3 6" xfId="24032" xr:uid="{00000000-0005-0000-0000-0000DE880000}"/>
    <cellStyle name="40% - Accent5 5 2 2 4" xfId="2019" xr:uid="{00000000-0005-0000-0000-0000DF880000}"/>
    <cellStyle name="40% - Accent5 5 2 2 4 2" xfId="3811" xr:uid="{00000000-0005-0000-0000-0000E0880000}"/>
    <cellStyle name="40% - Accent5 5 2 2 4 2 2" xfId="9521" xr:uid="{00000000-0005-0000-0000-0000E1880000}"/>
    <cellStyle name="40% - Accent5 5 2 2 4 2 2 2" xfId="20822" xr:uid="{00000000-0005-0000-0000-0000E2880000}"/>
    <cellStyle name="40% - Accent5 5 2 2 4 2 2 2 2" xfId="43424" xr:uid="{00000000-0005-0000-0000-0000E3880000}"/>
    <cellStyle name="40% - Accent5 5 2 2 4 2 2 3" xfId="32123" xr:uid="{00000000-0005-0000-0000-0000E4880000}"/>
    <cellStyle name="40% - Accent5 5 2 2 4 2 3" xfId="15172" xr:uid="{00000000-0005-0000-0000-0000E5880000}"/>
    <cellStyle name="40% - Accent5 5 2 2 4 2 3 2" xfId="37774" xr:uid="{00000000-0005-0000-0000-0000E6880000}"/>
    <cellStyle name="40% - Accent5 5 2 2 4 2 4" xfId="26473" xr:uid="{00000000-0005-0000-0000-0000E7880000}"/>
    <cellStyle name="40% - Accent5 5 2 2 4 3" xfId="5503" xr:uid="{00000000-0005-0000-0000-0000E8880000}"/>
    <cellStyle name="40% - Accent5 5 2 2 4 3 2" xfId="11153" xr:uid="{00000000-0005-0000-0000-0000E9880000}"/>
    <cellStyle name="40% - Accent5 5 2 2 4 3 2 2" xfId="22454" xr:uid="{00000000-0005-0000-0000-0000EA880000}"/>
    <cellStyle name="40% - Accent5 5 2 2 4 3 2 2 2" xfId="45056" xr:uid="{00000000-0005-0000-0000-0000EB880000}"/>
    <cellStyle name="40% - Accent5 5 2 2 4 3 2 3" xfId="33755" xr:uid="{00000000-0005-0000-0000-0000EC880000}"/>
    <cellStyle name="40% - Accent5 5 2 2 4 3 3" xfId="16804" xr:uid="{00000000-0005-0000-0000-0000ED880000}"/>
    <cellStyle name="40% - Accent5 5 2 2 4 3 3 2" xfId="39406" xr:uid="{00000000-0005-0000-0000-0000EE880000}"/>
    <cellStyle name="40% - Accent5 5 2 2 4 3 4" xfId="28105" xr:uid="{00000000-0005-0000-0000-0000EF880000}"/>
    <cellStyle name="40% - Accent5 5 2 2 4 4" xfId="7875" xr:uid="{00000000-0005-0000-0000-0000F0880000}"/>
    <cellStyle name="40% - Accent5 5 2 2 4 4 2" xfId="19176" xr:uid="{00000000-0005-0000-0000-0000F1880000}"/>
    <cellStyle name="40% - Accent5 5 2 2 4 4 2 2" xfId="41778" xr:uid="{00000000-0005-0000-0000-0000F2880000}"/>
    <cellStyle name="40% - Accent5 5 2 2 4 4 3" xfId="30477" xr:uid="{00000000-0005-0000-0000-0000F3880000}"/>
    <cellStyle name="40% - Accent5 5 2 2 4 5" xfId="13526" xr:uid="{00000000-0005-0000-0000-0000F4880000}"/>
    <cellStyle name="40% - Accent5 5 2 2 4 5 2" xfId="36128" xr:uid="{00000000-0005-0000-0000-0000F5880000}"/>
    <cellStyle name="40% - Accent5 5 2 2 4 6" xfId="24827" xr:uid="{00000000-0005-0000-0000-0000F6880000}"/>
    <cellStyle name="40% - Accent5 5 2 2 5" xfId="2484" xr:uid="{00000000-0005-0000-0000-0000F7880000}"/>
    <cellStyle name="40% - Accent5 5 2 2 5 2" xfId="8320" xr:uid="{00000000-0005-0000-0000-0000F8880000}"/>
    <cellStyle name="40% - Accent5 5 2 2 5 2 2" xfId="19621" xr:uid="{00000000-0005-0000-0000-0000F9880000}"/>
    <cellStyle name="40% - Accent5 5 2 2 5 2 2 2" xfId="42223" xr:uid="{00000000-0005-0000-0000-0000FA880000}"/>
    <cellStyle name="40% - Accent5 5 2 2 5 2 3" xfId="30922" xr:uid="{00000000-0005-0000-0000-0000FB880000}"/>
    <cellStyle name="40% - Accent5 5 2 2 5 3" xfId="13971" xr:uid="{00000000-0005-0000-0000-0000FC880000}"/>
    <cellStyle name="40% - Accent5 5 2 2 5 3 2" xfId="36573" xr:uid="{00000000-0005-0000-0000-0000FD880000}"/>
    <cellStyle name="40% - Accent5 5 2 2 5 4" xfId="25272" xr:uid="{00000000-0005-0000-0000-0000FE880000}"/>
    <cellStyle name="40% - Accent5 5 2 2 6" xfId="4269" xr:uid="{00000000-0005-0000-0000-0000FF880000}"/>
    <cellStyle name="40% - Accent5 5 2 2 6 2" xfId="9919" xr:uid="{00000000-0005-0000-0000-000000890000}"/>
    <cellStyle name="40% - Accent5 5 2 2 6 2 2" xfId="21220" xr:uid="{00000000-0005-0000-0000-000001890000}"/>
    <cellStyle name="40% - Accent5 5 2 2 6 2 2 2" xfId="43822" xr:uid="{00000000-0005-0000-0000-000002890000}"/>
    <cellStyle name="40% - Accent5 5 2 2 6 2 3" xfId="32521" xr:uid="{00000000-0005-0000-0000-000003890000}"/>
    <cellStyle name="40% - Accent5 5 2 2 6 3" xfId="15570" xr:uid="{00000000-0005-0000-0000-000004890000}"/>
    <cellStyle name="40% - Accent5 5 2 2 6 3 2" xfId="38172" xr:uid="{00000000-0005-0000-0000-000005890000}"/>
    <cellStyle name="40% - Accent5 5 2 2 6 4" xfId="26871" xr:uid="{00000000-0005-0000-0000-000006890000}"/>
    <cellStyle name="40% - Accent5 5 2 2 7" xfId="6749" xr:uid="{00000000-0005-0000-0000-000007890000}"/>
    <cellStyle name="40% - Accent5 5 2 2 7 2" xfId="18050" xr:uid="{00000000-0005-0000-0000-000008890000}"/>
    <cellStyle name="40% - Accent5 5 2 2 7 2 2" xfId="40652" xr:uid="{00000000-0005-0000-0000-000009890000}"/>
    <cellStyle name="40% - Accent5 5 2 2 7 3" xfId="29351" xr:uid="{00000000-0005-0000-0000-00000A890000}"/>
    <cellStyle name="40% - Accent5 5 2 2 8" xfId="12400" xr:uid="{00000000-0005-0000-0000-00000B890000}"/>
    <cellStyle name="40% - Accent5 5 2 2 8 2" xfId="35002" xr:uid="{00000000-0005-0000-0000-00000C890000}"/>
    <cellStyle name="40% - Accent5 5 2 2 9" xfId="23701" xr:uid="{00000000-0005-0000-0000-00000D890000}"/>
    <cellStyle name="40% - Accent5 5 2 3" xfId="1256" xr:uid="{00000000-0005-0000-0000-00000E890000}"/>
    <cellStyle name="40% - Accent5 5 2 3 2" xfId="2021" xr:uid="{00000000-0005-0000-0000-00000F890000}"/>
    <cellStyle name="40% - Accent5 5 2 3 2 2" xfId="3324" xr:uid="{00000000-0005-0000-0000-000010890000}"/>
    <cellStyle name="40% - Accent5 5 2 3 2 2 2" xfId="6296" xr:uid="{00000000-0005-0000-0000-000011890000}"/>
    <cellStyle name="40% - Accent5 5 2 3 2 2 2 2" xfId="11946" xr:uid="{00000000-0005-0000-0000-000012890000}"/>
    <cellStyle name="40% - Accent5 5 2 3 2 2 2 2 2" xfId="23247" xr:uid="{00000000-0005-0000-0000-000013890000}"/>
    <cellStyle name="40% - Accent5 5 2 3 2 2 2 2 2 2" xfId="45849" xr:uid="{00000000-0005-0000-0000-000014890000}"/>
    <cellStyle name="40% - Accent5 5 2 3 2 2 2 2 3" xfId="34548" xr:uid="{00000000-0005-0000-0000-000015890000}"/>
    <cellStyle name="40% - Accent5 5 2 3 2 2 2 3" xfId="17597" xr:uid="{00000000-0005-0000-0000-000016890000}"/>
    <cellStyle name="40% - Accent5 5 2 3 2 2 2 3 2" xfId="40199" xr:uid="{00000000-0005-0000-0000-000017890000}"/>
    <cellStyle name="40% - Accent5 5 2 3 2 2 2 4" xfId="28898" xr:uid="{00000000-0005-0000-0000-000018890000}"/>
    <cellStyle name="40% - Accent5 5 2 3 2 2 3" xfId="9114" xr:uid="{00000000-0005-0000-0000-000019890000}"/>
    <cellStyle name="40% - Accent5 5 2 3 2 2 3 2" xfId="20415" xr:uid="{00000000-0005-0000-0000-00001A890000}"/>
    <cellStyle name="40% - Accent5 5 2 3 2 2 3 2 2" xfId="43017" xr:uid="{00000000-0005-0000-0000-00001B890000}"/>
    <cellStyle name="40% - Accent5 5 2 3 2 2 3 3" xfId="31716" xr:uid="{00000000-0005-0000-0000-00001C890000}"/>
    <cellStyle name="40% - Accent5 5 2 3 2 2 4" xfId="14765" xr:uid="{00000000-0005-0000-0000-00001D890000}"/>
    <cellStyle name="40% - Accent5 5 2 3 2 2 4 2" xfId="37367" xr:uid="{00000000-0005-0000-0000-00001E890000}"/>
    <cellStyle name="40% - Accent5 5 2 3 2 2 5" xfId="26066" xr:uid="{00000000-0005-0000-0000-00001F890000}"/>
    <cellStyle name="40% - Accent5 5 2 3 2 3" xfId="5062" xr:uid="{00000000-0005-0000-0000-000020890000}"/>
    <cellStyle name="40% - Accent5 5 2 3 2 3 2" xfId="10712" xr:uid="{00000000-0005-0000-0000-000021890000}"/>
    <cellStyle name="40% - Accent5 5 2 3 2 3 2 2" xfId="22013" xr:uid="{00000000-0005-0000-0000-000022890000}"/>
    <cellStyle name="40% - Accent5 5 2 3 2 3 2 2 2" xfId="44615" xr:uid="{00000000-0005-0000-0000-000023890000}"/>
    <cellStyle name="40% - Accent5 5 2 3 2 3 2 3" xfId="33314" xr:uid="{00000000-0005-0000-0000-000024890000}"/>
    <cellStyle name="40% - Accent5 5 2 3 2 3 3" xfId="16363" xr:uid="{00000000-0005-0000-0000-000025890000}"/>
    <cellStyle name="40% - Accent5 5 2 3 2 3 3 2" xfId="38965" xr:uid="{00000000-0005-0000-0000-000026890000}"/>
    <cellStyle name="40% - Accent5 5 2 3 2 3 4" xfId="27664" xr:uid="{00000000-0005-0000-0000-000027890000}"/>
    <cellStyle name="40% - Accent5 5 2 3 2 4" xfId="7877" xr:uid="{00000000-0005-0000-0000-000028890000}"/>
    <cellStyle name="40% - Accent5 5 2 3 2 4 2" xfId="19178" xr:uid="{00000000-0005-0000-0000-000029890000}"/>
    <cellStyle name="40% - Accent5 5 2 3 2 4 2 2" xfId="41780" xr:uid="{00000000-0005-0000-0000-00002A890000}"/>
    <cellStyle name="40% - Accent5 5 2 3 2 4 3" xfId="30479" xr:uid="{00000000-0005-0000-0000-00002B890000}"/>
    <cellStyle name="40% - Accent5 5 2 3 2 5" xfId="13528" xr:uid="{00000000-0005-0000-0000-00002C890000}"/>
    <cellStyle name="40% - Accent5 5 2 3 2 5 2" xfId="36130" xr:uid="{00000000-0005-0000-0000-00002D890000}"/>
    <cellStyle name="40% - Accent5 5 2 3 2 6" xfId="24829" xr:uid="{00000000-0005-0000-0000-00002E890000}"/>
    <cellStyle name="40% - Accent5 5 2 3 3" xfId="2653" xr:uid="{00000000-0005-0000-0000-00002F890000}"/>
    <cellStyle name="40% - Accent5 5 2 3 3 2" xfId="5672" xr:uid="{00000000-0005-0000-0000-000030890000}"/>
    <cellStyle name="40% - Accent5 5 2 3 3 2 2" xfId="11322" xr:uid="{00000000-0005-0000-0000-000031890000}"/>
    <cellStyle name="40% - Accent5 5 2 3 3 2 2 2" xfId="22623" xr:uid="{00000000-0005-0000-0000-000032890000}"/>
    <cellStyle name="40% - Accent5 5 2 3 3 2 2 2 2" xfId="45225" xr:uid="{00000000-0005-0000-0000-000033890000}"/>
    <cellStyle name="40% - Accent5 5 2 3 3 2 2 3" xfId="33924" xr:uid="{00000000-0005-0000-0000-000034890000}"/>
    <cellStyle name="40% - Accent5 5 2 3 3 2 3" xfId="16973" xr:uid="{00000000-0005-0000-0000-000035890000}"/>
    <cellStyle name="40% - Accent5 5 2 3 3 2 3 2" xfId="39575" xr:uid="{00000000-0005-0000-0000-000036890000}"/>
    <cellStyle name="40% - Accent5 5 2 3 3 2 4" xfId="28274" xr:uid="{00000000-0005-0000-0000-000037890000}"/>
    <cellStyle name="40% - Accent5 5 2 3 3 3" xfId="8489" xr:uid="{00000000-0005-0000-0000-000038890000}"/>
    <cellStyle name="40% - Accent5 5 2 3 3 3 2" xfId="19790" xr:uid="{00000000-0005-0000-0000-000039890000}"/>
    <cellStyle name="40% - Accent5 5 2 3 3 3 2 2" xfId="42392" xr:uid="{00000000-0005-0000-0000-00003A890000}"/>
    <cellStyle name="40% - Accent5 5 2 3 3 3 3" xfId="31091" xr:uid="{00000000-0005-0000-0000-00003B890000}"/>
    <cellStyle name="40% - Accent5 5 2 3 3 4" xfId="14140" xr:uid="{00000000-0005-0000-0000-00003C890000}"/>
    <cellStyle name="40% - Accent5 5 2 3 3 4 2" xfId="36742" xr:uid="{00000000-0005-0000-0000-00003D890000}"/>
    <cellStyle name="40% - Accent5 5 2 3 3 5" xfId="25441" xr:uid="{00000000-0005-0000-0000-00003E890000}"/>
    <cellStyle name="40% - Accent5 5 2 3 4" xfId="4438" xr:uid="{00000000-0005-0000-0000-00003F890000}"/>
    <cellStyle name="40% - Accent5 5 2 3 4 2" xfId="10088" xr:uid="{00000000-0005-0000-0000-000040890000}"/>
    <cellStyle name="40% - Accent5 5 2 3 4 2 2" xfId="21389" xr:uid="{00000000-0005-0000-0000-000041890000}"/>
    <cellStyle name="40% - Accent5 5 2 3 4 2 2 2" xfId="43991" xr:uid="{00000000-0005-0000-0000-000042890000}"/>
    <cellStyle name="40% - Accent5 5 2 3 4 2 3" xfId="32690" xr:uid="{00000000-0005-0000-0000-000043890000}"/>
    <cellStyle name="40% - Accent5 5 2 3 4 3" xfId="15739" xr:uid="{00000000-0005-0000-0000-000044890000}"/>
    <cellStyle name="40% - Accent5 5 2 3 4 3 2" xfId="38341" xr:uid="{00000000-0005-0000-0000-000045890000}"/>
    <cellStyle name="40% - Accent5 5 2 3 4 4" xfId="27040" xr:uid="{00000000-0005-0000-0000-000046890000}"/>
    <cellStyle name="40% - Accent5 5 2 3 5" xfId="7235" xr:uid="{00000000-0005-0000-0000-000047890000}"/>
    <cellStyle name="40% - Accent5 5 2 3 5 2" xfId="18536" xr:uid="{00000000-0005-0000-0000-000048890000}"/>
    <cellStyle name="40% - Accent5 5 2 3 5 2 2" xfId="41138" xr:uid="{00000000-0005-0000-0000-000049890000}"/>
    <cellStyle name="40% - Accent5 5 2 3 5 3" xfId="29837" xr:uid="{00000000-0005-0000-0000-00004A890000}"/>
    <cellStyle name="40% - Accent5 5 2 3 6" xfId="12886" xr:uid="{00000000-0005-0000-0000-00004B890000}"/>
    <cellStyle name="40% - Accent5 5 2 3 6 2" xfId="35488" xr:uid="{00000000-0005-0000-0000-00004C890000}"/>
    <cellStyle name="40% - Accent5 5 2 3 7" xfId="24187" xr:uid="{00000000-0005-0000-0000-00004D890000}"/>
    <cellStyle name="40% - Accent5 5 2 4" xfId="947" xr:uid="{00000000-0005-0000-0000-00004E890000}"/>
    <cellStyle name="40% - Accent5 5 2 4 2" xfId="3017" xr:uid="{00000000-0005-0000-0000-00004F890000}"/>
    <cellStyle name="40% - Accent5 5 2 4 2 2" xfId="5989" xr:uid="{00000000-0005-0000-0000-000050890000}"/>
    <cellStyle name="40% - Accent5 5 2 4 2 2 2" xfId="11639" xr:uid="{00000000-0005-0000-0000-000051890000}"/>
    <cellStyle name="40% - Accent5 5 2 4 2 2 2 2" xfId="22940" xr:uid="{00000000-0005-0000-0000-000052890000}"/>
    <cellStyle name="40% - Accent5 5 2 4 2 2 2 2 2" xfId="45542" xr:uid="{00000000-0005-0000-0000-000053890000}"/>
    <cellStyle name="40% - Accent5 5 2 4 2 2 2 3" xfId="34241" xr:uid="{00000000-0005-0000-0000-000054890000}"/>
    <cellStyle name="40% - Accent5 5 2 4 2 2 3" xfId="17290" xr:uid="{00000000-0005-0000-0000-000055890000}"/>
    <cellStyle name="40% - Accent5 5 2 4 2 2 3 2" xfId="39892" xr:uid="{00000000-0005-0000-0000-000056890000}"/>
    <cellStyle name="40% - Accent5 5 2 4 2 2 4" xfId="28591" xr:uid="{00000000-0005-0000-0000-000057890000}"/>
    <cellStyle name="40% - Accent5 5 2 4 2 3" xfId="8807" xr:uid="{00000000-0005-0000-0000-000058890000}"/>
    <cellStyle name="40% - Accent5 5 2 4 2 3 2" xfId="20108" xr:uid="{00000000-0005-0000-0000-000059890000}"/>
    <cellStyle name="40% - Accent5 5 2 4 2 3 2 2" xfId="42710" xr:uid="{00000000-0005-0000-0000-00005A890000}"/>
    <cellStyle name="40% - Accent5 5 2 4 2 3 3" xfId="31409" xr:uid="{00000000-0005-0000-0000-00005B890000}"/>
    <cellStyle name="40% - Accent5 5 2 4 2 4" xfId="14458" xr:uid="{00000000-0005-0000-0000-00005C890000}"/>
    <cellStyle name="40% - Accent5 5 2 4 2 4 2" xfId="37060" xr:uid="{00000000-0005-0000-0000-00005D890000}"/>
    <cellStyle name="40% - Accent5 5 2 4 2 5" xfId="25759" xr:uid="{00000000-0005-0000-0000-00005E890000}"/>
    <cellStyle name="40% - Accent5 5 2 4 3" xfId="4755" xr:uid="{00000000-0005-0000-0000-00005F890000}"/>
    <cellStyle name="40% - Accent5 5 2 4 3 2" xfId="10405" xr:uid="{00000000-0005-0000-0000-000060890000}"/>
    <cellStyle name="40% - Accent5 5 2 4 3 2 2" xfId="21706" xr:uid="{00000000-0005-0000-0000-000061890000}"/>
    <cellStyle name="40% - Accent5 5 2 4 3 2 2 2" xfId="44308" xr:uid="{00000000-0005-0000-0000-000062890000}"/>
    <cellStyle name="40% - Accent5 5 2 4 3 2 3" xfId="33007" xr:uid="{00000000-0005-0000-0000-000063890000}"/>
    <cellStyle name="40% - Accent5 5 2 4 3 3" xfId="16056" xr:uid="{00000000-0005-0000-0000-000064890000}"/>
    <cellStyle name="40% - Accent5 5 2 4 3 3 2" xfId="38658" xr:uid="{00000000-0005-0000-0000-000065890000}"/>
    <cellStyle name="40% - Accent5 5 2 4 3 4" xfId="27357" xr:uid="{00000000-0005-0000-0000-000066890000}"/>
    <cellStyle name="40% - Accent5 5 2 4 4" xfId="6942" xr:uid="{00000000-0005-0000-0000-000067890000}"/>
    <cellStyle name="40% - Accent5 5 2 4 4 2" xfId="18243" xr:uid="{00000000-0005-0000-0000-000068890000}"/>
    <cellStyle name="40% - Accent5 5 2 4 4 2 2" xfId="40845" xr:uid="{00000000-0005-0000-0000-000069890000}"/>
    <cellStyle name="40% - Accent5 5 2 4 4 3" xfId="29544" xr:uid="{00000000-0005-0000-0000-00006A890000}"/>
    <cellStyle name="40% - Accent5 5 2 4 5" xfId="12593" xr:uid="{00000000-0005-0000-0000-00006B890000}"/>
    <cellStyle name="40% - Accent5 5 2 4 5 2" xfId="35195" xr:uid="{00000000-0005-0000-0000-00006C890000}"/>
    <cellStyle name="40% - Accent5 5 2 4 6" xfId="23894" xr:uid="{00000000-0005-0000-0000-00006D890000}"/>
    <cellStyle name="40% - Accent5 5 2 5" xfId="2018" xr:uid="{00000000-0005-0000-0000-00006E890000}"/>
    <cellStyle name="40% - Accent5 5 2 5 2" xfId="3810" xr:uid="{00000000-0005-0000-0000-00006F890000}"/>
    <cellStyle name="40% - Accent5 5 2 5 2 2" xfId="9520" xr:uid="{00000000-0005-0000-0000-000070890000}"/>
    <cellStyle name="40% - Accent5 5 2 5 2 2 2" xfId="20821" xr:uid="{00000000-0005-0000-0000-000071890000}"/>
    <cellStyle name="40% - Accent5 5 2 5 2 2 2 2" xfId="43423" xr:uid="{00000000-0005-0000-0000-000072890000}"/>
    <cellStyle name="40% - Accent5 5 2 5 2 2 3" xfId="32122" xr:uid="{00000000-0005-0000-0000-000073890000}"/>
    <cellStyle name="40% - Accent5 5 2 5 2 3" xfId="15171" xr:uid="{00000000-0005-0000-0000-000074890000}"/>
    <cellStyle name="40% - Accent5 5 2 5 2 3 2" xfId="37773" xr:uid="{00000000-0005-0000-0000-000075890000}"/>
    <cellStyle name="40% - Accent5 5 2 5 2 4" xfId="26472" xr:uid="{00000000-0005-0000-0000-000076890000}"/>
    <cellStyle name="40% - Accent5 5 2 5 3" xfId="5365" xr:uid="{00000000-0005-0000-0000-000077890000}"/>
    <cellStyle name="40% - Accent5 5 2 5 3 2" xfId="11015" xr:uid="{00000000-0005-0000-0000-000078890000}"/>
    <cellStyle name="40% - Accent5 5 2 5 3 2 2" xfId="22316" xr:uid="{00000000-0005-0000-0000-000079890000}"/>
    <cellStyle name="40% - Accent5 5 2 5 3 2 2 2" xfId="44918" xr:uid="{00000000-0005-0000-0000-00007A890000}"/>
    <cellStyle name="40% - Accent5 5 2 5 3 2 3" xfId="33617" xr:uid="{00000000-0005-0000-0000-00007B890000}"/>
    <cellStyle name="40% - Accent5 5 2 5 3 3" xfId="16666" xr:uid="{00000000-0005-0000-0000-00007C890000}"/>
    <cellStyle name="40% - Accent5 5 2 5 3 3 2" xfId="39268" xr:uid="{00000000-0005-0000-0000-00007D890000}"/>
    <cellStyle name="40% - Accent5 5 2 5 3 4" xfId="27967" xr:uid="{00000000-0005-0000-0000-00007E890000}"/>
    <cellStyle name="40% - Accent5 5 2 5 4" xfId="7874" xr:uid="{00000000-0005-0000-0000-00007F890000}"/>
    <cellStyle name="40% - Accent5 5 2 5 4 2" xfId="19175" xr:uid="{00000000-0005-0000-0000-000080890000}"/>
    <cellStyle name="40% - Accent5 5 2 5 4 2 2" xfId="41777" xr:uid="{00000000-0005-0000-0000-000081890000}"/>
    <cellStyle name="40% - Accent5 5 2 5 4 3" xfId="30476" xr:uid="{00000000-0005-0000-0000-000082890000}"/>
    <cellStyle name="40% - Accent5 5 2 5 5" xfId="13525" xr:uid="{00000000-0005-0000-0000-000083890000}"/>
    <cellStyle name="40% - Accent5 5 2 5 5 2" xfId="36127" xr:uid="{00000000-0005-0000-0000-000084890000}"/>
    <cellStyle name="40% - Accent5 5 2 5 6" xfId="24826" xr:uid="{00000000-0005-0000-0000-000085890000}"/>
    <cellStyle name="40% - Accent5 5 2 6" xfId="2344" xr:uid="{00000000-0005-0000-0000-000086890000}"/>
    <cellStyle name="40% - Accent5 5 2 6 2" xfId="8180" xr:uid="{00000000-0005-0000-0000-000087890000}"/>
    <cellStyle name="40% - Accent5 5 2 6 2 2" xfId="19481" xr:uid="{00000000-0005-0000-0000-000088890000}"/>
    <cellStyle name="40% - Accent5 5 2 6 2 2 2" xfId="42083" xr:uid="{00000000-0005-0000-0000-000089890000}"/>
    <cellStyle name="40% - Accent5 5 2 6 2 3" xfId="30782" xr:uid="{00000000-0005-0000-0000-00008A890000}"/>
    <cellStyle name="40% - Accent5 5 2 6 3" xfId="13831" xr:uid="{00000000-0005-0000-0000-00008B890000}"/>
    <cellStyle name="40% - Accent5 5 2 6 3 2" xfId="36433" xr:uid="{00000000-0005-0000-0000-00008C890000}"/>
    <cellStyle name="40% - Accent5 5 2 6 4" xfId="25132" xr:uid="{00000000-0005-0000-0000-00008D890000}"/>
    <cellStyle name="40% - Accent5 5 2 7" xfId="4131" xr:uid="{00000000-0005-0000-0000-00008E890000}"/>
    <cellStyle name="40% - Accent5 5 2 7 2" xfId="9781" xr:uid="{00000000-0005-0000-0000-00008F890000}"/>
    <cellStyle name="40% - Accent5 5 2 7 2 2" xfId="21082" xr:uid="{00000000-0005-0000-0000-000090890000}"/>
    <cellStyle name="40% - Accent5 5 2 7 2 2 2" xfId="43684" xr:uid="{00000000-0005-0000-0000-000091890000}"/>
    <cellStyle name="40% - Accent5 5 2 7 2 3" xfId="32383" xr:uid="{00000000-0005-0000-0000-000092890000}"/>
    <cellStyle name="40% - Accent5 5 2 7 3" xfId="15432" xr:uid="{00000000-0005-0000-0000-000093890000}"/>
    <cellStyle name="40% - Accent5 5 2 7 3 2" xfId="38034" xr:uid="{00000000-0005-0000-0000-000094890000}"/>
    <cellStyle name="40% - Accent5 5 2 7 4" xfId="26733" xr:uid="{00000000-0005-0000-0000-000095890000}"/>
    <cellStyle name="40% - Accent5 5 2 8" xfId="6582" xr:uid="{00000000-0005-0000-0000-000096890000}"/>
    <cellStyle name="40% - Accent5 5 2 8 2" xfId="17883" xr:uid="{00000000-0005-0000-0000-000097890000}"/>
    <cellStyle name="40% - Accent5 5 2 8 2 2" xfId="40485" xr:uid="{00000000-0005-0000-0000-000098890000}"/>
    <cellStyle name="40% - Accent5 5 2 8 3" xfId="29184" xr:uid="{00000000-0005-0000-0000-000099890000}"/>
    <cellStyle name="40% - Accent5 5 2 9" xfId="12233" xr:uid="{00000000-0005-0000-0000-00009A890000}"/>
    <cellStyle name="40% - Accent5 5 2 9 2" xfId="34835" xr:uid="{00000000-0005-0000-0000-00009B890000}"/>
    <cellStyle name="40% - Accent5 5 3" xfId="588" xr:uid="{00000000-0005-0000-0000-00009C890000}"/>
    <cellStyle name="40% - Accent5 5 3 2" xfId="1301" xr:uid="{00000000-0005-0000-0000-00009D890000}"/>
    <cellStyle name="40% - Accent5 5 3 2 2" xfId="2023" xr:uid="{00000000-0005-0000-0000-00009E890000}"/>
    <cellStyle name="40% - Accent5 5 3 2 2 2" xfId="3370" xr:uid="{00000000-0005-0000-0000-00009F890000}"/>
    <cellStyle name="40% - Accent5 5 3 2 2 2 2" xfId="6342" xr:uid="{00000000-0005-0000-0000-0000A0890000}"/>
    <cellStyle name="40% - Accent5 5 3 2 2 2 2 2" xfId="11992" xr:uid="{00000000-0005-0000-0000-0000A1890000}"/>
    <cellStyle name="40% - Accent5 5 3 2 2 2 2 2 2" xfId="23293" xr:uid="{00000000-0005-0000-0000-0000A2890000}"/>
    <cellStyle name="40% - Accent5 5 3 2 2 2 2 2 2 2" xfId="45895" xr:uid="{00000000-0005-0000-0000-0000A3890000}"/>
    <cellStyle name="40% - Accent5 5 3 2 2 2 2 2 3" xfId="34594" xr:uid="{00000000-0005-0000-0000-0000A4890000}"/>
    <cellStyle name="40% - Accent5 5 3 2 2 2 2 3" xfId="17643" xr:uid="{00000000-0005-0000-0000-0000A5890000}"/>
    <cellStyle name="40% - Accent5 5 3 2 2 2 2 3 2" xfId="40245" xr:uid="{00000000-0005-0000-0000-0000A6890000}"/>
    <cellStyle name="40% - Accent5 5 3 2 2 2 2 4" xfId="28944" xr:uid="{00000000-0005-0000-0000-0000A7890000}"/>
    <cellStyle name="40% - Accent5 5 3 2 2 2 3" xfId="9160" xr:uid="{00000000-0005-0000-0000-0000A8890000}"/>
    <cellStyle name="40% - Accent5 5 3 2 2 2 3 2" xfId="20461" xr:uid="{00000000-0005-0000-0000-0000A9890000}"/>
    <cellStyle name="40% - Accent5 5 3 2 2 2 3 2 2" xfId="43063" xr:uid="{00000000-0005-0000-0000-0000AA890000}"/>
    <cellStyle name="40% - Accent5 5 3 2 2 2 3 3" xfId="31762" xr:uid="{00000000-0005-0000-0000-0000AB890000}"/>
    <cellStyle name="40% - Accent5 5 3 2 2 2 4" xfId="14811" xr:uid="{00000000-0005-0000-0000-0000AC890000}"/>
    <cellStyle name="40% - Accent5 5 3 2 2 2 4 2" xfId="37413" xr:uid="{00000000-0005-0000-0000-0000AD890000}"/>
    <cellStyle name="40% - Accent5 5 3 2 2 2 5" xfId="26112" xr:uid="{00000000-0005-0000-0000-0000AE890000}"/>
    <cellStyle name="40% - Accent5 5 3 2 2 3" xfId="5108" xr:uid="{00000000-0005-0000-0000-0000AF890000}"/>
    <cellStyle name="40% - Accent5 5 3 2 2 3 2" xfId="10758" xr:uid="{00000000-0005-0000-0000-0000B0890000}"/>
    <cellStyle name="40% - Accent5 5 3 2 2 3 2 2" xfId="22059" xr:uid="{00000000-0005-0000-0000-0000B1890000}"/>
    <cellStyle name="40% - Accent5 5 3 2 2 3 2 2 2" xfId="44661" xr:uid="{00000000-0005-0000-0000-0000B2890000}"/>
    <cellStyle name="40% - Accent5 5 3 2 2 3 2 3" xfId="33360" xr:uid="{00000000-0005-0000-0000-0000B3890000}"/>
    <cellStyle name="40% - Accent5 5 3 2 2 3 3" xfId="16409" xr:uid="{00000000-0005-0000-0000-0000B4890000}"/>
    <cellStyle name="40% - Accent5 5 3 2 2 3 3 2" xfId="39011" xr:uid="{00000000-0005-0000-0000-0000B5890000}"/>
    <cellStyle name="40% - Accent5 5 3 2 2 3 4" xfId="27710" xr:uid="{00000000-0005-0000-0000-0000B6890000}"/>
    <cellStyle name="40% - Accent5 5 3 2 2 4" xfId="7879" xr:uid="{00000000-0005-0000-0000-0000B7890000}"/>
    <cellStyle name="40% - Accent5 5 3 2 2 4 2" xfId="19180" xr:uid="{00000000-0005-0000-0000-0000B8890000}"/>
    <cellStyle name="40% - Accent5 5 3 2 2 4 2 2" xfId="41782" xr:uid="{00000000-0005-0000-0000-0000B9890000}"/>
    <cellStyle name="40% - Accent5 5 3 2 2 4 3" xfId="30481" xr:uid="{00000000-0005-0000-0000-0000BA890000}"/>
    <cellStyle name="40% - Accent5 5 3 2 2 5" xfId="13530" xr:uid="{00000000-0005-0000-0000-0000BB890000}"/>
    <cellStyle name="40% - Accent5 5 3 2 2 5 2" xfId="36132" xr:uid="{00000000-0005-0000-0000-0000BC890000}"/>
    <cellStyle name="40% - Accent5 5 3 2 2 6" xfId="24831" xr:uid="{00000000-0005-0000-0000-0000BD890000}"/>
    <cellStyle name="40% - Accent5 5 3 2 3" xfId="2699" xr:uid="{00000000-0005-0000-0000-0000BE890000}"/>
    <cellStyle name="40% - Accent5 5 3 2 3 2" xfId="5718" xr:uid="{00000000-0005-0000-0000-0000BF890000}"/>
    <cellStyle name="40% - Accent5 5 3 2 3 2 2" xfId="11368" xr:uid="{00000000-0005-0000-0000-0000C0890000}"/>
    <cellStyle name="40% - Accent5 5 3 2 3 2 2 2" xfId="22669" xr:uid="{00000000-0005-0000-0000-0000C1890000}"/>
    <cellStyle name="40% - Accent5 5 3 2 3 2 2 2 2" xfId="45271" xr:uid="{00000000-0005-0000-0000-0000C2890000}"/>
    <cellStyle name="40% - Accent5 5 3 2 3 2 2 3" xfId="33970" xr:uid="{00000000-0005-0000-0000-0000C3890000}"/>
    <cellStyle name="40% - Accent5 5 3 2 3 2 3" xfId="17019" xr:uid="{00000000-0005-0000-0000-0000C4890000}"/>
    <cellStyle name="40% - Accent5 5 3 2 3 2 3 2" xfId="39621" xr:uid="{00000000-0005-0000-0000-0000C5890000}"/>
    <cellStyle name="40% - Accent5 5 3 2 3 2 4" xfId="28320" xr:uid="{00000000-0005-0000-0000-0000C6890000}"/>
    <cellStyle name="40% - Accent5 5 3 2 3 3" xfId="8535" xr:uid="{00000000-0005-0000-0000-0000C7890000}"/>
    <cellStyle name="40% - Accent5 5 3 2 3 3 2" xfId="19836" xr:uid="{00000000-0005-0000-0000-0000C8890000}"/>
    <cellStyle name="40% - Accent5 5 3 2 3 3 2 2" xfId="42438" xr:uid="{00000000-0005-0000-0000-0000C9890000}"/>
    <cellStyle name="40% - Accent5 5 3 2 3 3 3" xfId="31137" xr:uid="{00000000-0005-0000-0000-0000CA890000}"/>
    <cellStyle name="40% - Accent5 5 3 2 3 4" xfId="14186" xr:uid="{00000000-0005-0000-0000-0000CB890000}"/>
    <cellStyle name="40% - Accent5 5 3 2 3 4 2" xfId="36788" xr:uid="{00000000-0005-0000-0000-0000CC890000}"/>
    <cellStyle name="40% - Accent5 5 3 2 3 5" xfId="25487" xr:uid="{00000000-0005-0000-0000-0000CD890000}"/>
    <cellStyle name="40% - Accent5 5 3 2 4" xfId="4484" xr:uid="{00000000-0005-0000-0000-0000CE890000}"/>
    <cellStyle name="40% - Accent5 5 3 2 4 2" xfId="10134" xr:uid="{00000000-0005-0000-0000-0000CF890000}"/>
    <cellStyle name="40% - Accent5 5 3 2 4 2 2" xfId="21435" xr:uid="{00000000-0005-0000-0000-0000D0890000}"/>
    <cellStyle name="40% - Accent5 5 3 2 4 2 2 2" xfId="44037" xr:uid="{00000000-0005-0000-0000-0000D1890000}"/>
    <cellStyle name="40% - Accent5 5 3 2 4 2 3" xfId="32736" xr:uid="{00000000-0005-0000-0000-0000D2890000}"/>
    <cellStyle name="40% - Accent5 5 3 2 4 3" xfId="15785" xr:uid="{00000000-0005-0000-0000-0000D3890000}"/>
    <cellStyle name="40% - Accent5 5 3 2 4 3 2" xfId="38387" xr:uid="{00000000-0005-0000-0000-0000D4890000}"/>
    <cellStyle name="40% - Accent5 5 3 2 4 4" xfId="27086" xr:uid="{00000000-0005-0000-0000-0000D5890000}"/>
    <cellStyle name="40% - Accent5 5 3 2 5" xfId="7280" xr:uid="{00000000-0005-0000-0000-0000D6890000}"/>
    <cellStyle name="40% - Accent5 5 3 2 5 2" xfId="18581" xr:uid="{00000000-0005-0000-0000-0000D7890000}"/>
    <cellStyle name="40% - Accent5 5 3 2 5 2 2" xfId="41183" xr:uid="{00000000-0005-0000-0000-0000D8890000}"/>
    <cellStyle name="40% - Accent5 5 3 2 5 3" xfId="29882" xr:uid="{00000000-0005-0000-0000-0000D9890000}"/>
    <cellStyle name="40% - Accent5 5 3 2 6" xfId="12931" xr:uid="{00000000-0005-0000-0000-0000DA890000}"/>
    <cellStyle name="40% - Accent5 5 3 2 6 2" xfId="35533" xr:uid="{00000000-0005-0000-0000-0000DB890000}"/>
    <cellStyle name="40% - Accent5 5 3 2 7" xfId="24232" xr:uid="{00000000-0005-0000-0000-0000DC890000}"/>
    <cellStyle name="40% - Accent5 5 3 3" xfId="999" xr:uid="{00000000-0005-0000-0000-0000DD890000}"/>
    <cellStyle name="40% - Accent5 5 3 3 2" xfId="3062" xr:uid="{00000000-0005-0000-0000-0000DE890000}"/>
    <cellStyle name="40% - Accent5 5 3 3 2 2" xfId="6034" xr:uid="{00000000-0005-0000-0000-0000DF890000}"/>
    <cellStyle name="40% - Accent5 5 3 3 2 2 2" xfId="11684" xr:uid="{00000000-0005-0000-0000-0000E0890000}"/>
    <cellStyle name="40% - Accent5 5 3 3 2 2 2 2" xfId="22985" xr:uid="{00000000-0005-0000-0000-0000E1890000}"/>
    <cellStyle name="40% - Accent5 5 3 3 2 2 2 2 2" xfId="45587" xr:uid="{00000000-0005-0000-0000-0000E2890000}"/>
    <cellStyle name="40% - Accent5 5 3 3 2 2 2 3" xfId="34286" xr:uid="{00000000-0005-0000-0000-0000E3890000}"/>
    <cellStyle name="40% - Accent5 5 3 3 2 2 3" xfId="17335" xr:uid="{00000000-0005-0000-0000-0000E4890000}"/>
    <cellStyle name="40% - Accent5 5 3 3 2 2 3 2" xfId="39937" xr:uid="{00000000-0005-0000-0000-0000E5890000}"/>
    <cellStyle name="40% - Accent5 5 3 3 2 2 4" xfId="28636" xr:uid="{00000000-0005-0000-0000-0000E6890000}"/>
    <cellStyle name="40% - Accent5 5 3 3 2 3" xfId="8852" xr:uid="{00000000-0005-0000-0000-0000E7890000}"/>
    <cellStyle name="40% - Accent5 5 3 3 2 3 2" xfId="20153" xr:uid="{00000000-0005-0000-0000-0000E8890000}"/>
    <cellStyle name="40% - Accent5 5 3 3 2 3 2 2" xfId="42755" xr:uid="{00000000-0005-0000-0000-0000E9890000}"/>
    <cellStyle name="40% - Accent5 5 3 3 2 3 3" xfId="31454" xr:uid="{00000000-0005-0000-0000-0000EA890000}"/>
    <cellStyle name="40% - Accent5 5 3 3 2 4" xfId="14503" xr:uid="{00000000-0005-0000-0000-0000EB890000}"/>
    <cellStyle name="40% - Accent5 5 3 3 2 4 2" xfId="37105" xr:uid="{00000000-0005-0000-0000-0000EC890000}"/>
    <cellStyle name="40% - Accent5 5 3 3 2 5" xfId="25804" xr:uid="{00000000-0005-0000-0000-0000ED890000}"/>
    <cellStyle name="40% - Accent5 5 3 3 3" xfId="4800" xr:uid="{00000000-0005-0000-0000-0000EE890000}"/>
    <cellStyle name="40% - Accent5 5 3 3 3 2" xfId="10450" xr:uid="{00000000-0005-0000-0000-0000EF890000}"/>
    <cellStyle name="40% - Accent5 5 3 3 3 2 2" xfId="21751" xr:uid="{00000000-0005-0000-0000-0000F0890000}"/>
    <cellStyle name="40% - Accent5 5 3 3 3 2 2 2" xfId="44353" xr:uid="{00000000-0005-0000-0000-0000F1890000}"/>
    <cellStyle name="40% - Accent5 5 3 3 3 2 3" xfId="33052" xr:uid="{00000000-0005-0000-0000-0000F2890000}"/>
    <cellStyle name="40% - Accent5 5 3 3 3 3" xfId="16101" xr:uid="{00000000-0005-0000-0000-0000F3890000}"/>
    <cellStyle name="40% - Accent5 5 3 3 3 3 2" xfId="38703" xr:uid="{00000000-0005-0000-0000-0000F4890000}"/>
    <cellStyle name="40% - Accent5 5 3 3 3 4" xfId="27402" xr:uid="{00000000-0005-0000-0000-0000F5890000}"/>
    <cellStyle name="40% - Accent5 5 3 3 4" xfId="6987" xr:uid="{00000000-0005-0000-0000-0000F6890000}"/>
    <cellStyle name="40% - Accent5 5 3 3 4 2" xfId="18288" xr:uid="{00000000-0005-0000-0000-0000F7890000}"/>
    <cellStyle name="40% - Accent5 5 3 3 4 2 2" xfId="40890" xr:uid="{00000000-0005-0000-0000-0000F8890000}"/>
    <cellStyle name="40% - Accent5 5 3 3 4 3" xfId="29589" xr:uid="{00000000-0005-0000-0000-0000F9890000}"/>
    <cellStyle name="40% - Accent5 5 3 3 5" xfId="12638" xr:uid="{00000000-0005-0000-0000-0000FA890000}"/>
    <cellStyle name="40% - Accent5 5 3 3 5 2" xfId="35240" xr:uid="{00000000-0005-0000-0000-0000FB890000}"/>
    <cellStyle name="40% - Accent5 5 3 3 6" xfId="23939" xr:uid="{00000000-0005-0000-0000-0000FC890000}"/>
    <cellStyle name="40% - Accent5 5 3 4" xfId="2022" xr:uid="{00000000-0005-0000-0000-0000FD890000}"/>
    <cellStyle name="40% - Accent5 5 3 4 2" xfId="3813" xr:uid="{00000000-0005-0000-0000-0000FE890000}"/>
    <cellStyle name="40% - Accent5 5 3 4 2 2" xfId="9523" xr:uid="{00000000-0005-0000-0000-0000FF890000}"/>
    <cellStyle name="40% - Accent5 5 3 4 2 2 2" xfId="20824" xr:uid="{00000000-0005-0000-0000-0000008A0000}"/>
    <cellStyle name="40% - Accent5 5 3 4 2 2 2 2" xfId="43426" xr:uid="{00000000-0005-0000-0000-0000018A0000}"/>
    <cellStyle name="40% - Accent5 5 3 4 2 2 3" xfId="32125" xr:uid="{00000000-0005-0000-0000-0000028A0000}"/>
    <cellStyle name="40% - Accent5 5 3 4 2 3" xfId="15174" xr:uid="{00000000-0005-0000-0000-0000038A0000}"/>
    <cellStyle name="40% - Accent5 5 3 4 2 3 2" xfId="37776" xr:uid="{00000000-0005-0000-0000-0000048A0000}"/>
    <cellStyle name="40% - Accent5 5 3 4 2 4" xfId="26475" xr:uid="{00000000-0005-0000-0000-0000058A0000}"/>
    <cellStyle name="40% - Accent5 5 3 4 3" xfId="5410" xr:uid="{00000000-0005-0000-0000-0000068A0000}"/>
    <cellStyle name="40% - Accent5 5 3 4 3 2" xfId="11060" xr:uid="{00000000-0005-0000-0000-0000078A0000}"/>
    <cellStyle name="40% - Accent5 5 3 4 3 2 2" xfId="22361" xr:uid="{00000000-0005-0000-0000-0000088A0000}"/>
    <cellStyle name="40% - Accent5 5 3 4 3 2 2 2" xfId="44963" xr:uid="{00000000-0005-0000-0000-0000098A0000}"/>
    <cellStyle name="40% - Accent5 5 3 4 3 2 3" xfId="33662" xr:uid="{00000000-0005-0000-0000-00000A8A0000}"/>
    <cellStyle name="40% - Accent5 5 3 4 3 3" xfId="16711" xr:uid="{00000000-0005-0000-0000-00000B8A0000}"/>
    <cellStyle name="40% - Accent5 5 3 4 3 3 2" xfId="39313" xr:uid="{00000000-0005-0000-0000-00000C8A0000}"/>
    <cellStyle name="40% - Accent5 5 3 4 3 4" xfId="28012" xr:uid="{00000000-0005-0000-0000-00000D8A0000}"/>
    <cellStyle name="40% - Accent5 5 3 4 4" xfId="7878" xr:uid="{00000000-0005-0000-0000-00000E8A0000}"/>
    <cellStyle name="40% - Accent5 5 3 4 4 2" xfId="19179" xr:uid="{00000000-0005-0000-0000-00000F8A0000}"/>
    <cellStyle name="40% - Accent5 5 3 4 4 2 2" xfId="41781" xr:uid="{00000000-0005-0000-0000-0000108A0000}"/>
    <cellStyle name="40% - Accent5 5 3 4 4 3" xfId="30480" xr:uid="{00000000-0005-0000-0000-0000118A0000}"/>
    <cellStyle name="40% - Accent5 5 3 4 5" xfId="13529" xr:uid="{00000000-0005-0000-0000-0000128A0000}"/>
    <cellStyle name="40% - Accent5 5 3 4 5 2" xfId="36131" xr:uid="{00000000-0005-0000-0000-0000138A0000}"/>
    <cellStyle name="40% - Accent5 5 3 4 6" xfId="24830" xr:uid="{00000000-0005-0000-0000-0000148A0000}"/>
    <cellStyle name="40% - Accent5 5 3 5" xfId="2391" xr:uid="{00000000-0005-0000-0000-0000158A0000}"/>
    <cellStyle name="40% - Accent5 5 3 5 2" xfId="8227" xr:uid="{00000000-0005-0000-0000-0000168A0000}"/>
    <cellStyle name="40% - Accent5 5 3 5 2 2" xfId="19528" xr:uid="{00000000-0005-0000-0000-0000178A0000}"/>
    <cellStyle name="40% - Accent5 5 3 5 2 2 2" xfId="42130" xr:uid="{00000000-0005-0000-0000-0000188A0000}"/>
    <cellStyle name="40% - Accent5 5 3 5 2 3" xfId="30829" xr:uid="{00000000-0005-0000-0000-0000198A0000}"/>
    <cellStyle name="40% - Accent5 5 3 5 3" xfId="13878" xr:uid="{00000000-0005-0000-0000-00001A8A0000}"/>
    <cellStyle name="40% - Accent5 5 3 5 3 2" xfId="36480" xr:uid="{00000000-0005-0000-0000-00001B8A0000}"/>
    <cellStyle name="40% - Accent5 5 3 5 4" xfId="25179" xr:uid="{00000000-0005-0000-0000-00001C8A0000}"/>
    <cellStyle name="40% - Accent5 5 3 6" xfId="4176" xr:uid="{00000000-0005-0000-0000-00001D8A0000}"/>
    <cellStyle name="40% - Accent5 5 3 6 2" xfId="9826" xr:uid="{00000000-0005-0000-0000-00001E8A0000}"/>
    <cellStyle name="40% - Accent5 5 3 6 2 2" xfId="21127" xr:uid="{00000000-0005-0000-0000-00001F8A0000}"/>
    <cellStyle name="40% - Accent5 5 3 6 2 2 2" xfId="43729" xr:uid="{00000000-0005-0000-0000-0000208A0000}"/>
    <cellStyle name="40% - Accent5 5 3 6 2 3" xfId="32428" xr:uid="{00000000-0005-0000-0000-0000218A0000}"/>
    <cellStyle name="40% - Accent5 5 3 6 3" xfId="15477" xr:uid="{00000000-0005-0000-0000-0000228A0000}"/>
    <cellStyle name="40% - Accent5 5 3 6 3 2" xfId="38079" xr:uid="{00000000-0005-0000-0000-0000238A0000}"/>
    <cellStyle name="40% - Accent5 5 3 6 4" xfId="26778" xr:uid="{00000000-0005-0000-0000-0000248A0000}"/>
    <cellStyle name="40% - Accent5 5 3 7" xfId="6654" xr:uid="{00000000-0005-0000-0000-0000258A0000}"/>
    <cellStyle name="40% - Accent5 5 3 7 2" xfId="17955" xr:uid="{00000000-0005-0000-0000-0000268A0000}"/>
    <cellStyle name="40% - Accent5 5 3 7 2 2" xfId="40557" xr:uid="{00000000-0005-0000-0000-0000278A0000}"/>
    <cellStyle name="40% - Accent5 5 3 7 3" xfId="29256" xr:uid="{00000000-0005-0000-0000-0000288A0000}"/>
    <cellStyle name="40% - Accent5 5 3 8" xfId="12305" xr:uid="{00000000-0005-0000-0000-0000298A0000}"/>
    <cellStyle name="40% - Accent5 5 3 8 2" xfId="34907" xr:uid="{00000000-0005-0000-0000-00002A8A0000}"/>
    <cellStyle name="40% - Accent5 5 3 9" xfId="23606" xr:uid="{00000000-0005-0000-0000-00002B8A0000}"/>
    <cellStyle name="40% - Accent5 5 4" xfId="1161" xr:uid="{00000000-0005-0000-0000-00002C8A0000}"/>
    <cellStyle name="40% - Accent5 5 4 2" xfId="2024" xr:uid="{00000000-0005-0000-0000-00002D8A0000}"/>
    <cellStyle name="40% - Accent5 5 4 2 2" xfId="3229" xr:uid="{00000000-0005-0000-0000-00002E8A0000}"/>
    <cellStyle name="40% - Accent5 5 4 2 2 2" xfId="6201" xr:uid="{00000000-0005-0000-0000-00002F8A0000}"/>
    <cellStyle name="40% - Accent5 5 4 2 2 2 2" xfId="11851" xr:uid="{00000000-0005-0000-0000-0000308A0000}"/>
    <cellStyle name="40% - Accent5 5 4 2 2 2 2 2" xfId="23152" xr:uid="{00000000-0005-0000-0000-0000318A0000}"/>
    <cellStyle name="40% - Accent5 5 4 2 2 2 2 2 2" xfId="45754" xr:uid="{00000000-0005-0000-0000-0000328A0000}"/>
    <cellStyle name="40% - Accent5 5 4 2 2 2 2 3" xfId="34453" xr:uid="{00000000-0005-0000-0000-0000338A0000}"/>
    <cellStyle name="40% - Accent5 5 4 2 2 2 3" xfId="17502" xr:uid="{00000000-0005-0000-0000-0000348A0000}"/>
    <cellStyle name="40% - Accent5 5 4 2 2 2 3 2" xfId="40104" xr:uid="{00000000-0005-0000-0000-0000358A0000}"/>
    <cellStyle name="40% - Accent5 5 4 2 2 2 4" xfId="28803" xr:uid="{00000000-0005-0000-0000-0000368A0000}"/>
    <cellStyle name="40% - Accent5 5 4 2 2 3" xfId="9019" xr:uid="{00000000-0005-0000-0000-0000378A0000}"/>
    <cellStyle name="40% - Accent5 5 4 2 2 3 2" xfId="20320" xr:uid="{00000000-0005-0000-0000-0000388A0000}"/>
    <cellStyle name="40% - Accent5 5 4 2 2 3 2 2" xfId="42922" xr:uid="{00000000-0005-0000-0000-0000398A0000}"/>
    <cellStyle name="40% - Accent5 5 4 2 2 3 3" xfId="31621" xr:uid="{00000000-0005-0000-0000-00003A8A0000}"/>
    <cellStyle name="40% - Accent5 5 4 2 2 4" xfId="14670" xr:uid="{00000000-0005-0000-0000-00003B8A0000}"/>
    <cellStyle name="40% - Accent5 5 4 2 2 4 2" xfId="37272" xr:uid="{00000000-0005-0000-0000-00003C8A0000}"/>
    <cellStyle name="40% - Accent5 5 4 2 2 5" xfId="25971" xr:uid="{00000000-0005-0000-0000-00003D8A0000}"/>
    <cellStyle name="40% - Accent5 5 4 2 3" xfId="4967" xr:uid="{00000000-0005-0000-0000-00003E8A0000}"/>
    <cellStyle name="40% - Accent5 5 4 2 3 2" xfId="10617" xr:uid="{00000000-0005-0000-0000-00003F8A0000}"/>
    <cellStyle name="40% - Accent5 5 4 2 3 2 2" xfId="21918" xr:uid="{00000000-0005-0000-0000-0000408A0000}"/>
    <cellStyle name="40% - Accent5 5 4 2 3 2 2 2" xfId="44520" xr:uid="{00000000-0005-0000-0000-0000418A0000}"/>
    <cellStyle name="40% - Accent5 5 4 2 3 2 3" xfId="33219" xr:uid="{00000000-0005-0000-0000-0000428A0000}"/>
    <cellStyle name="40% - Accent5 5 4 2 3 3" xfId="16268" xr:uid="{00000000-0005-0000-0000-0000438A0000}"/>
    <cellStyle name="40% - Accent5 5 4 2 3 3 2" xfId="38870" xr:uid="{00000000-0005-0000-0000-0000448A0000}"/>
    <cellStyle name="40% - Accent5 5 4 2 3 4" xfId="27569" xr:uid="{00000000-0005-0000-0000-0000458A0000}"/>
    <cellStyle name="40% - Accent5 5 4 2 4" xfId="7880" xr:uid="{00000000-0005-0000-0000-0000468A0000}"/>
    <cellStyle name="40% - Accent5 5 4 2 4 2" xfId="19181" xr:uid="{00000000-0005-0000-0000-0000478A0000}"/>
    <cellStyle name="40% - Accent5 5 4 2 4 2 2" xfId="41783" xr:uid="{00000000-0005-0000-0000-0000488A0000}"/>
    <cellStyle name="40% - Accent5 5 4 2 4 3" xfId="30482" xr:uid="{00000000-0005-0000-0000-0000498A0000}"/>
    <cellStyle name="40% - Accent5 5 4 2 5" xfId="13531" xr:uid="{00000000-0005-0000-0000-00004A8A0000}"/>
    <cellStyle name="40% - Accent5 5 4 2 5 2" xfId="36133" xr:uid="{00000000-0005-0000-0000-00004B8A0000}"/>
    <cellStyle name="40% - Accent5 5 4 2 6" xfId="24832" xr:uid="{00000000-0005-0000-0000-00004C8A0000}"/>
    <cellStyle name="40% - Accent5 5 4 3" xfId="2558" xr:uid="{00000000-0005-0000-0000-00004D8A0000}"/>
    <cellStyle name="40% - Accent5 5 4 3 2" xfId="5577" xr:uid="{00000000-0005-0000-0000-00004E8A0000}"/>
    <cellStyle name="40% - Accent5 5 4 3 2 2" xfId="11227" xr:uid="{00000000-0005-0000-0000-00004F8A0000}"/>
    <cellStyle name="40% - Accent5 5 4 3 2 2 2" xfId="22528" xr:uid="{00000000-0005-0000-0000-0000508A0000}"/>
    <cellStyle name="40% - Accent5 5 4 3 2 2 2 2" xfId="45130" xr:uid="{00000000-0005-0000-0000-0000518A0000}"/>
    <cellStyle name="40% - Accent5 5 4 3 2 2 3" xfId="33829" xr:uid="{00000000-0005-0000-0000-0000528A0000}"/>
    <cellStyle name="40% - Accent5 5 4 3 2 3" xfId="16878" xr:uid="{00000000-0005-0000-0000-0000538A0000}"/>
    <cellStyle name="40% - Accent5 5 4 3 2 3 2" xfId="39480" xr:uid="{00000000-0005-0000-0000-0000548A0000}"/>
    <cellStyle name="40% - Accent5 5 4 3 2 4" xfId="28179" xr:uid="{00000000-0005-0000-0000-0000558A0000}"/>
    <cellStyle name="40% - Accent5 5 4 3 3" xfId="8394" xr:uid="{00000000-0005-0000-0000-0000568A0000}"/>
    <cellStyle name="40% - Accent5 5 4 3 3 2" xfId="19695" xr:uid="{00000000-0005-0000-0000-0000578A0000}"/>
    <cellStyle name="40% - Accent5 5 4 3 3 2 2" xfId="42297" xr:uid="{00000000-0005-0000-0000-0000588A0000}"/>
    <cellStyle name="40% - Accent5 5 4 3 3 3" xfId="30996" xr:uid="{00000000-0005-0000-0000-0000598A0000}"/>
    <cellStyle name="40% - Accent5 5 4 3 4" xfId="14045" xr:uid="{00000000-0005-0000-0000-00005A8A0000}"/>
    <cellStyle name="40% - Accent5 5 4 3 4 2" xfId="36647" xr:uid="{00000000-0005-0000-0000-00005B8A0000}"/>
    <cellStyle name="40% - Accent5 5 4 3 5" xfId="25346" xr:uid="{00000000-0005-0000-0000-00005C8A0000}"/>
    <cellStyle name="40% - Accent5 5 4 4" xfId="4343" xr:uid="{00000000-0005-0000-0000-00005D8A0000}"/>
    <cellStyle name="40% - Accent5 5 4 4 2" xfId="9993" xr:uid="{00000000-0005-0000-0000-00005E8A0000}"/>
    <cellStyle name="40% - Accent5 5 4 4 2 2" xfId="21294" xr:uid="{00000000-0005-0000-0000-00005F8A0000}"/>
    <cellStyle name="40% - Accent5 5 4 4 2 2 2" xfId="43896" xr:uid="{00000000-0005-0000-0000-0000608A0000}"/>
    <cellStyle name="40% - Accent5 5 4 4 2 3" xfId="32595" xr:uid="{00000000-0005-0000-0000-0000618A0000}"/>
    <cellStyle name="40% - Accent5 5 4 4 3" xfId="15644" xr:uid="{00000000-0005-0000-0000-0000628A0000}"/>
    <cellStyle name="40% - Accent5 5 4 4 3 2" xfId="38246" xr:uid="{00000000-0005-0000-0000-0000638A0000}"/>
    <cellStyle name="40% - Accent5 5 4 4 4" xfId="26945" xr:uid="{00000000-0005-0000-0000-0000648A0000}"/>
    <cellStyle name="40% - Accent5 5 4 5" xfId="7140" xr:uid="{00000000-0005-0000-0000-0000658A0000}"/>
    <cellStyle name="40% - Accent5 5 4 5 2" xfId="18441" xr:uid="{00000000-0005-0000-0000-0000668A0000}"/>
    <cellStyle name="40% - Accent5 5 4 5 2 2" xfId="41043" xr:uid="{00000000-0005-0000-0000-0000678A0000}"/>
    <cellStyle name="40% - Accent5 5 4 5 3" xfId="29742" xr:uid="{00000000-0005-0000-0000-0000688A0000}"/>
    <cellStyle name="40% - Accent5 5 4 6" xfId="12791" xr:uid="{00000000-0005-0000-0000-0000698A0000}"/>
    <cellStyle name="40% - Accent5 5 4 6 2" xfId="35393" xr:uid="{00000000-0005-0000-0000-00006A8A0000}"/>
    <cellStyle name="40% - Accent5 5 4 7" xfId="24092" xr:uid="{00000000-0005-0000-0000-00006B8A0000}"/>
    <cellStyle name="40% - Accent5 5 5" xfId="841" xr:uid="{00000000-0005-0000-0000-00006C8A0000}"/>
    <cellStyle name="40% - Accent5 5 5 2" xfId="2922" xr:uid="{00000000-0005-0000-0000-00006D8A0000}"/>
    <cellStyle name="40% - Accent5 5 5 2 2" xfId="5894" xr:uid="{00000000-0005-0000-0000-00006E8A0000}"/>
    <cellStyle name="40% - Accent5 5 5 2 2 2" xfId="11544" xr:uid="{00000000-0005-0000-0000-00006F8A0000}"/>
    <cellStyle name="40% - Accent5 5 5 2 2 2 2" xfId="22845" xr:uid="{00000000-0005-0000-0000-0000708A0000}"/>
    <cellStyle name="40% - Accent5 5 5 2 2 2 2 2" xfId="45447" xr:uid="{00000000-0005-0000-0000-0000718A0000}"/>
    <cellStyle name="40% - Accent5 5 5 2 2 2 3" xfId="34146" xr:uid="{00000000-0005-0000-0000-0000728A0000}"/>
    <cellStyle name="40% - Accent5 5 5 2 2 3" xfId="17195" xr:uid="{00000000-0005-0000-0000-0000738A0000}"/>
    <cellStyle name="40% - Accent5 5 5 2 2 3 2" xfId="39797" xr:uid="{00000000-0005-0000-0000-0000748A0000}"/>
    <cellStyle name="40% - Accent5 5 5 2 2 4" xfId="28496" xr:uid="{00000000-0005-0000-0000-0000758A0000}"/>
    <cellStyle name="40% - Accent5 5 5 2 3" xfId="8712" xr:uid="{00000000-0005-0000-0000-0000768A0000}"/>
    <cellStyle name="40% - Accent5 5 5 2 3 2" xfId="20013" xr:uid="{00000000-0005-0000-0000-0000778A0000}"/>
    <cellStyle name="40% - Accent5 5 5 2 3 2 2" xfId="42615" xr:uid="{00000000-0005-0000-0000-0000788A0000}"/>
    <cellStyle name="40% - Accent5 5 5 2 3 3" xfId="31314" xr:uid="{00000000-0005-0000-0000-0000798A0000}"/>
    <cellStyle name="40% - Accent5 5 5 2 4" xfId="14363" xr:uid="{00000000-0005-0000-0000-00007A8A0000}"/>
    <cellStyle name="40% - Accent5 5 5 2 4 2" xfId="36965" xr:uid="{00000000-0005-0000-0000-00007B8A0000}"/>
    <cellStyle name="40% - Accent5 5 5 2 5" xfId="25664" xr:uid="{00000000-0005-0000-0000-00007C8A0000}"/>
    <cellStyle name="40% - Accent5 5 5 3" xfId="4660" xr:uid="{00000000-0005-0000-0000-00007D8A0000}"/>
    <cellStyle name="40% - Accent5 5 5 3 2" xfId="10310" xr:uid="{00000000-0005-0000-0000-00007E8A0000}"/>
    <cellStyle name="40% - Accent5 5 5 3 2 2" xfId="21611" xr:uid="{00000000-0005-0000-0000-00007F8A0000}"/>
    <cellStyle name="40% - Accent5 5 5 3 2 2 2" xfId="44213" xr:uid="{00000000-0005-0000-0000-0000808A0000}"/>
    <cellStyle name="40% - Accent5 5 5 3 2 3" xfId="32912" xr:uid="{00000000-0005-0000-0000-0000818A0000}"/>
    <cellStyle name="40% - Accent5 5 5 3 3" xfId="15961" xr:uid="{00000000-0005-0000-0000-0000828A0000}"/>
    <cellStyle name="40% - Accent5 5 5 3 3 2" xfId="38563" xr:uid="{00000000-0005-0000-0000-0000838A0000}"/>
    <cellStyle name="40% - Accent5 5 5 3 4" xfId="27262" xr:uid="{00000000-0005-0000-0000-0000848A0000}"/>
    <cellStyle name="40% - Accent5 5 5 4" xfId="6846" xr:uid="{00000000-0005-0000-0000-0000858A0000}"/>
    <cellStyle name="40% - Accent5 5 5 4 2" xfId="18147" xr:uid="{00000000-0005-0000-0000-0000868A0000}"/>
    <cellStyle name="40% - Accent5 5 5 4 2 2" xfId="40749" xr:uid="{00000000-0005-0000-0000-0000878A0000}"/>
    <cellStyle name="40% - Accent5 5 5 4 3" xfId="29448" xr:uid="{00000000-0005-0000-0000-0000888A0000}"/>
    <cellStyle name="40% - Accent5 5 5 5" xfId="12497" xr:uid="{00000000-0005-0000-0000-0000898A0000}"/>
    <cellStyle name="40% - Accent5 5 5 5 2" xfId="35099" xr:uid="{00000000-0005-0000-0000-00008A8A0000}"/>
    <cellStyle name="40% - Accent5 5 5 6" xfId="23798" xr:uid="{00000000-0005-0000-0000-00008B8A0000}"/>
    <cellStyle name="40% - Accent5 5 6" xfId="2017" xr:uid="{00000000-0005-0000-0000-00008C8A0000}"/>
    <cellStyle name="40% - Accent5 5 6 2" xfId="3809" xr:uid="{00000000-0005-0000-0000-00008D8A0000}"/>
    <cellStyle name="40% - Accent5 5 6 2 2" xfId="9519" xr:uid="{00000000-0005-0000-0000-00008E8A0000}"/>
    <cellStyle name="40% - Accent5 5 6 2 2 2" xfId="20820" xr:uid="{00000000-0005-0000-0000-00008F8A0000}"/>
    <cellStyle name="40% - Accent5 5 6 2 2 2 2" xfId="43422" xr:uid="{00000000-0005-0000-0000-0000908A0000}"/>
    <cellStyle name="40% - Accent5 5 6 2 2 3" xfId="32121" xr:uid="{00000000-0005-0000-0000-0000918A0000}"/>
    <cellStyle name="40% - Accent5 5 6 2 3" xfId="15170" xr:uid="{00000000-0005-0000-0000-0000928A0000}"/>
    <cellStyle name="40% - Accent5 5 6 2 3 2" xfId="37772" xr:uid="{00000000-0005-0000-0000-0000938A0000}"/>
    <cellStyle name="40% - Accent5 5 6 2 4" xfId="26471" xr:uid="{00000000-0005-0000-0000-0000948A0000}"/>
    <cellStyle name="40% - Accent5 5 6 3" xfId="5270" xr:uid="{00000000-0005-0000-0000-0000958A0000}"/>
    <cellStyle name="40% - Accent5 5 6 3 2" xfId="10920" xr:uid="{00000000-0005-0000-0000-0000968A0000}"/>
    <cellStyle name="40% - Accent5 5 6 3 2 2" xfId="22221" xr:uid="{00000000-0005-0000-0000-0000978A0000}"/>
    <cellStyle name="40% - Accent5 5 6 3 2 2 2" xfId="44823" xr:uid="{00000000-0005-0000-0000-0000988A0000}"/>
    <cellStyle name="40% - Accent5 5 6 3 2 3" xfId="33522" xr:uid="{00000000-0005-0000-0000-0000998A0000}"/>
    <cellStyle name="40% - Accent5 5 6 3 3" xfId="16571" xr:uid="{00000000-0005-0000-0000-00009A8A0000}"/>
    <cellStyle name="40% - Accent5 5 6 3 3 2" xfId="39173" xr:uid="{00000000-0005-0000-0000-00009B8A0000}"/>
    <cellStyle name="40% - Accent5 5 6 3 4" xfId="27872" xr:uid="{00000000-0005-0000-0000-00009C8A0000}"/>
    <cellStyle name="40% - Accent5 5 6 4" xfId="7873" xr:uid="{00000000-0005-0000-0000-00009D8A0000}"/>
    <cellStyle name="40% - Accent5 5 6 4 2" xfId="19174" xr:uid="{00000000-0005-0000-0000-00009E8A0000}"/>
    <cellStyle name="40% - Accent5 5 6 4 2 2" xfId="41776" xr:uid="{00000000-0005-0000-0000-00009F8A0000}"/>
    <cellStyle name="40% - Accent5 5 6 4 3" xfId="30475" xr:uid="{00000000-0005-0000-0000-0000A08A0000}"/>
    <cellStyle name="40% - Accent5 5 6 5" xfId="13524" xr:uid="{00000000-0005-0000-0000-0000A18A0000}"/>
    <cellStyle name="40% - Accent5 5 6 5 2" xfId="36126" xr:uid="{00000000-0005-0000-0000-0000A28A0000}"/>
    <cellStyle name="40% - Accent5 5 6 6" xfId="24825" xr:uid="{00000000-0005-0000-0000-0000A38A0000}"/>
    <cellStyle name="40% - Accent5 5 7" xfId="2243" xr:uid="{00000000-0005-0000-0000-0000A48A0000}"/>
    <cellStyle name="40% - Accent5 5 7 2" xfId="8084" xr:uid="{00000000-0005-0000-0000-0000A58A0000}"/>
    <cellStyle name="40% - Accent5 5 7 2 2" xfId="19385" xr:uid="{00000000-0005-0000-0000-0000A68A0000}"/>
    <cellStyle name="40% - Accent5 5 7 2 2 2" xfId="41987" xr:uid="{00000000-0005-0000-0000-0000A78A0000}"/>
    <cellStyle name="40% - Accent5 5 7 2 3" xfId="30686" xr:uid="{00000000-0005-0000-0000-0000A88A0000}"/>
    <cellStyle name="40% - Accent5 5 7 3" xfId="13735" xr:uid="{00000000-0005-0000-0000-0000A98A0000}"/>
    <cellStyle name="40% - Accent5 5 7 3 2" xfId="36337" xr:uid="{00000000-0005-0000-0000-0000AA8A0000}"/>
    <cellStyle name="40% - Accent5 5 7 4" xfId="25036" xr:uid="{00000000-0005-0000-0000-0000AB8A0000}"/>
    <cellStyle name="40% - Accent5 5 8" xfId="4036" xr:uid="{00000000-0005-0000-0000-0000AC8A0000}"/>
    <cellStyle name="40% - Accent5 5 8 2" xfId="9686" xr:uid="{00000000-0005-0000-0000-0000AD8A0000}"/>
    <cellStyle name="40% - Accent5 5 8 2 2" xfId="20987" xr:uid="{00000000-0005-0000-0000-0000AE8A0000}"/>
    <cellStyle name="40% - Accent5 5 8 2 2 2" xfId="43589" xr:uid="{00000000-0005-0000-0000-0000AF8A0000}"/>
    <cellStyle name="40% - Accent5 5 8 2 3" xfId="32288" xr:uid="{00000000-0005-0000-0000-0000B08A0000}"/>
    <cellStyle name="40% - Accent5 5 8 3" xfId="15337" xr:uid="{00000000-0005-0000-0000-0000B18A0000}"/>
    <cellStyle name="40% - Accent5 5 8 3 2" xfId="37939" xr:uid="{00000000-0005-0000-0000-0000B28A0000}"/>
    <cellStyle name="40% - Accent5 5 8 4" xfId="26638" xr:uid="{00000000-0005-0000-0000-0000B38A0000}"/>
    <cellStyle name="40% - Accent5 5 9" xfId="6487" xr:uid="{00000000-0005-0000-0000-0000B48A0000}"/>
    <cellStyle name="40% - Accent5 5 9 2" xfId="17788" xr:uid="{00000000-0005-0000-0000-0000B58A0000}"/>
    <cellStyle name="40% - Accent5 5 9 2 2" xfId="40390" xr:uid="{00000000-0005-0000-0000-0000B68A0000}"/>
    <cellStyle name="40% - Accent5 5 9 3" xfId="29089" xr:uid="{00000000-0005-0000-0000-0000B78A0000}"/>
    <cellStyle name="40% - Accent5 6" xfId="295" xr:uid="{00000000-0005-0000-0000-0000B88A0000}"/>
    <cellStyle name="40% - Accent5 7" xfId="397" xr:uid="{00000000-0005-0000-0000-0000B98A0000}"/>
    <cellStyle name="40% - Accent5 7 10" xfId="23492" xr:uid="{00000000-0005-0000-0000-0000BA8A0000}"/>
    <cellStyle name="40% - Accent5 7 2" xfId="642" xr:uid="{00000000-0005-0000-0000-0000BB8A0000}"/>
    <cellStyle name="40% - Accent5 7 2 2" xfId="1352" xr:uid="{00000000-0005-0000-0000-0000BC8A0000}"/>
    <cellStyle name="40% - Accent5 7 2 2 2" xfId="2027" xr:uid="{00000000-0005-0000-0000-0000BD8A0000}"/>
    <cellStyle name="40% - Accent5 7 2 2 2 2" xfId="3421" xr:uid="{00000000-0005-0000-0000-0000BE8A0000}"/>
    <cellStyle name="40% - Accent5 7 2 2 2 2 2" xfId="6393" xr:uid="{00000000-0005-0000-0000-0000BF8A0000}"/>
    <cellStyle name="40% - Accent5 7 2 2 2 2 2 2" xfId="12043" xr:uid="{00000000-0005-0000-0000-0000C08A0000}"/>
    <cellStyle name="40% - Accent5 7 2 2 2 2 2 2 2" xfId="23344" xr:uid="{00000000-0005-0000-0000-0000C18A0000}"/>
    <cellStyle name="40% - Accent5 7 2 2 2 2 2 2 2 2" xfId="45946" xr:uid="{00000000-0005-0000-0000-0000C28A0000}"/>
    <cellStyle name="40% - Accent5 7 2 2 2 2 2 2 3" xfId="34645" xr:uid="{00000000-0005-0000-0000-0000C38A0000}"/>
    <cellStyle name="40% - Accent5 7 2 2 2 2 2 3" xfId="17694" xr:uid="{00000000-0005-0000-0000-0000C48A0000}"/>
    <cellStyle name="40% - Accent5 7 2 2 2 2 2 3 2" xfId="40296" xr:uid="{00000000-0005-0000-0000-0000C58A0000}"/>
    <cellStyle name="40% - Accent5 7 2 2 2 2 2 4" xfId="28995" xr:uid="{00000000-0005-0000-0000-0000C68A0000}"/>
    <cellStyle name="40% - Accent5 7 2 2 2 2 3" xfId="9211" xr:uid="{00000000-0005-0000-0000-0000C78A0000}"/>
    <cellStyle name="40% - Accent5 7 2 2 2 2 3 2" xfId="20512" xr:uid="{00000000-0005-0000-0000-0000C88A0000}"/>
    <cellStyle name="40% - Accent5 7 2 2 2 2 3 2 2" xfId="43114" xr:uid="{00000000-0005-0000-0000-0000C98A0000}"/>
    <cellStyle name="40% - Accent5 7 2 2 2 2 3 3" xfId="31813" xr:uid="{00000000-0005-0000-0000-0000CA8A0000}"/>
    <cellStyle name="40% - Accent5 7 2 2 2 2 4" xfId="14862" xr:uid="{00000000-0005-0000-0000-0000CB8A0000}"/>
    <cellStyle name="40% - Accent5 7 2 2 2 2 4 2" xfId="37464" xr:uid="{00000000-0005-0000-0000-0000CC8A0000}"/>
    <cellStyle name="40% - Accent5 7 2 2 2 2 5" xfId="26163" xr:uid="{00000000-0005-0000-0000-0000CD8A0000}"/>
    <cellStyle name="40% - Accent5 7 2 2 2 3" xfId="5159" xr:uid="{00000000-0005-0000-0000-0000CE8A0000}"/>
    <cellStyle name="40% - Accent5 7 2 2 2 3 2" xfId="10809" xr:uid="{00000000-0005-0000-0000-0000CF8A0000}"/>
    <cellStyle name="40% - Accent5 7 2 2 2 3 2 2" xfId="22110" xr:uid="{00000000-0005-0000-0000-0000D08A0000}"/>
    <cellStyle name="40% - Accent5 7 2 2 2 3 2 2 2" xfId="44712" xr:uid="{00000000-0005-0000-0000-0000D18A0000}"/>
    <cellStyle name="40% - Accent5 7 2 2 2 3 2 3" xfId="33411" xr:uid="{00000000-0005-0000-0000-0000D28A0000}"/>
    <cellStyle name="40% - Accent5 7 2 2 2 3 3" xfId="16460" xr:uid="{00000000-0005-0000-0000-0000D38A0000}"/>
    <cellStyle name="40% - Accent5 7 2 2 2 3 3 2" xfId="39062" xr:uid="{00000000-0005-0000-0000-0000D48A0000}"/>
    <cellStyle name="40% - Accent5 7 2 2 2 3 4" xfId="27761" xr:uid="{00000000-0005-0000-0000-0000D58A0000}"/>
    <cellStyle name="40% - Accent5 7 2 2 2 4" xfId="7883" xr:uid="{00000000-0005-0000-0000-0000D68A0000}"/>
    <cellStyle name="40% - Accent5 7 2 2 2 4 2" xfId="19184" xr:uid="{00000000-0005-0000-0000-0000D78A0000}"/>
    <cellStyle name="40% - Accent5 7 2 2 2 4 2 2" xfId="41786" xr:uid="{00000000-0005-0000-0000-0000D88A0000}"/>
    <cellStyle name="40% - Accent5 7 2 2 2 4 3" xfId="30485" xr:uid="{00000000-0005-0000-0000-0000D98A0000}"/>
    <cellStyle name="40% - Accent5 7 2 2 2 5" xfId="13534" xr:uid="{00000000-0005-0000-0000-0000DA8A0000}"/>
    <cellStyle name="40% - Accent5 7 2 2 2 5 2" xfId="36136" xr:uid="{00000000-0005-0000-0000-0000DB8A0000}"/>
    <cellStyle name="40% - Accent5 7 2 2 2 6" xfId="24835" xr:uid="{00000000-0005-0000-0000-0000DC8A0000}"/>
    <cellStyle name="40% - Accent5 7 2 2 3" xfId="2750" xr:uid="{00000000-0005-0000-0000-0000DD8A0000}"/>
    <cellStyle name="40% - Accent5 7 2 2 3 2" xfId="5769" xr:uid="{00000000-0005-0000-0000-0000DE8A0000}"/>
    <cellStyle name="40% - Accent5 7 2 2 3 2 2" xfId="11419" xr:uid="{00000000-0005-0000-0000-0000DF8A0000}"/>
    <cellStyle name="40% - Accent5 7 2 2 3 2 2 2" xfId="22720" xr:uid="{00000000-0005-0000-0000-0000E08A0000}"/>
    <cellStyle name="40% - Accent5 7 2 2 3 2 2 2 2" xfId="45322" xr:uid="{00000000-0005-0000-0000-0000E18A0000}"/>
    <cellStyle name="40% - Accent5 7 2 2 3 2 2 3" xfId="34021" xr:uid="{00000000-0005-0000-0000-0000E28A0000}"/>
    <cellStyle name="40% - Accent5 7 2 2 3 2 3" xfId="17070" xr:uid="{00000000-0005-0000-0000-0000E38A0000}"/>
    <cellStyle name="40% - Accent5 7 2 2 3 2 3 2" xfId="39672" xr:uid="{00000000-0005-0000-0000-0000E48A0000}"/>
    <cellStyle name="40% - Accent5 7 2 2 3 2 4" xfId="28371" xr:uid="{00000000-0005-0000-0000-0000E58A0000}"/>
    <cellStyle name="40% - Accent5 7 2 2 3 3" xfId="8586" xr:uid="{00000000-0005-0000-0000-0000E68A0000}"/>
    <cellStyle name="40% - Accent5 7 2 2 3 3 2" xfId="19887" xr:uid="{00000000-0005-0000-0000-0000E78A0000}"/>
    <cellStyle name="40% - Accent5 7 2 2 3 3 2 2" xfId="42489" xr:uid="{00000000-0005-0000-0000-0000E88A0000}"/>
    <cellStyle name="40% - Accent5 7 2 2 3 3 3" xfId="31188" xr:uid="{00000000-0005-0000-0000-0000E98A0000}"/>
    <cellStyle name="40% - Accent5 7 2 2 3 4" xfId="14237" xr:uid="{00000000-0005-0000-0000-0000EA8A0000}"/>
    <cellStyle name="40% - Accent5 7 2 2 3 4 2" xfId="36839" xr:uid="{00000000-0005-0000-0000-0000EB8A0000}"/>
    <cellStyle name="40% - Accent5 7 2 2 3 5" xfId="25538" xr:uid="{00000000-0005-0000-0000-0000EC8A0000}"/>
    <cellStyle name="40% - Accent5 7 2 2 4" xfId="4535" xr:uid="{00000000-0005-0000-0000-0000ED8A0000}"/>
    <cellStyle name="40% - Accent5 7 2 2 4 2" xfId="10185" xr:uid="{00000000-0005-0000-0000-0000EE8A0000}"/>
    <cellStyle name="40% - Accent5 7 2 2 4 2 2" xfId="21486" xr:uid="{00000000-0005-0000-0000-0000EF8A0000}"/>
    <cellStyle name="40% - Accent5 7 2 2 4 2 2 2" xfId="44088" xr:uid="{00000000-0005-0000-0000-0000F08A0000}"/>
    <cellStyle name="40% - Accent5 7 2 2 4 2 3" xfId="32787" xr:uid="{00000000-0005-0000-0000-0000F18A0000}"/>
    <cellStyle name="40% - Accent5 7 2 2 4 3" xfId="15836" xr:uid="{00000000-0005-0000-0000-0000F28A0000}"/>
    <cellStyle name="40% - Accent5 7 2 2 4 3 2" xfId="38438" xr:uid="{00000000-0005-0000-0000-0000F38A0000}"/>
    <cellStyle name="40% - Accent5 7 2 2 4 4" xfId="27137" xr:uid="{00000000-0005-0000-0000-0000F48A0000}"/>
    <cellStyle name="40% - Accent5 7 2 2 5" xfId="7331" xr:uid="{00000000-0005-0000-0000-0000F58A0000}"/>
    <cellStyle name="40% - Accent5 7 2 2 5 2" xfId="18632" xr:uid="{00000000-0005-0000-0000-0000F68A0000}"/>
    <cellStyle name="40% - Accent5 7 2 2 5 2 2" xfId="41234" xr:uid="{00000000-0005-0000-0000-0000F78A0000}"/>
    <cellStyle name="40% - Accent5 7 2 2 5 3" xfId="29933" xr:uid="{00000000-0005-0000-0000-0000F88A0000}"/>
    <cellStyle name="40% - Accent5 7 2 2 6" xfId="12982" xr:uid="{00000000-0005-0000-0000-0000F98A0000}"/>
    <cellStyle name="40% - Accent5 7 2 2 6 2" xfId="35584" xr:uid="{00000000-0005-0000-0000-0000FA8A0000}"/>
    <cellStyle name="40% - Accent5 7 2 2 7" xfId="24283" xr:uid="{00000000-0005-0000-0000-0000FB8A0000}"/>
    <cellStyle name="40% - Accent5 7 2 3" xfId="1050" xr:uid="{00000000-0005-0000-0000-0000FC8A0000}"/>
    <cellStyle name="40% - Accent5 7 2 3 2" xfId="3113" xr:uid="{00000000-0005-0000-0000-0000FD8A0000}"/>
    <cellStyle name="40% - Accent5 7 2 3 2 2" xfId="6085" xr:uid="{00000000-0005-0000-0000-0000FE8A0000}"/>
    <cellStyle name="40% - Accent5 7 2 3 2 2 2" xfId="11735" xr:uid="{00000000-0005-0000-0000-0000FF8A0000}"/>
    <cellStyle name="40% - Accent5 7 2 3 2 2 2 2" xfId="23036" xr:uid="{00000000-0005-0000-0000-0000008B0000}"/>
    <cellStyle name="40% - Accent5 7 2 3 2 2 2 2 2" xfId="45638" xr:uid="{00000000-0005-0000-0000-0000018B0000}"/>
    <cellStyle name="40% - Accent5 7 2 3 2 2 2 3" xfId="34337" xr:uid="{00000000-0005-0000-0000-0000028B0000}"/>
    <cellStyle name="40% - Accent5 7 2 3 2 2 3" xfId="17386" xr:uid="{00000000-0005-0000-0000-0000038B0000}"/>
    <cellStyle name="40% - Accent5 7 2 3 2 2 3 2" xfId="39988" xr:uid="{00000000-0005-0000-0000-0000048B0000}"/>
    <cellStyle name="40% - Accent5 7 2 3 2 2 4" xfId="28687" xr:uid="{00000000-0005-0000-0000-0000058B0000}"/>
    <cellStyle name="40% - Accent5 7 2 3 2 3" xfId="8903" xr:uid="{00000000-0005-0000-0000-0000068B0000}"/>
    <cellStyle name="40% - Accent5 7 2 3 2 3 2" xfId="20204" xr:uid="{00000000-0005-0000-0000-0000078B0000}"/>
    <cellStyle name="40% - Accent5 7 2 3 2 3 2 2" xfId="42806" xr:uid="{00000000-0005-0000-0000-0000088B0000}"/>
    <cellStyle name="40% - Accent5 7 2 3 2 3 3" xfId="31505" xr:uid="{00000000-0005-0000-0000-0000098B0000}"/>
    <cellStyle name="40% - Accent5 7 2 3 2 4" xfId="14554" xr:uid="{00000000-0005-0000-0000-00000A8B0000}"/>
    <cellStyle name="40% - Accent5 7 2 3 2 4 2" xfId="37156" xr:uid="{00000000-0005-0000-0000-00000B8B0000}"/>
    <cellStyle name="40% - Accent5 7 2 3 2 5" xfId="25855" xr:uid="{00000000-0005-0000-0000-00000C8B0000}"/>
    <cellStyle name="40% - Accent5 7 2 3 3" xfId="4851" xr:uid="{00000000-0005-0000-0000-00000D8B0000}"/>
    <cellStyle name="40% - Accent5 7 2 3 3 2" xfId="10501" xr:uid="{00000000-0005-0000-0000-00000E8B0000}"/>
    <cellStyle name="40% - Accent5 7 2 3 3 2 2" xfId="21802" xr:uid="{00000000-0005-0000-0000-00000F8B0000}"/>
    <cellStyle name="40% - Accent5 7 2 3 3 2 2 2" xfId="44404" xr:uid="{00000000-0005-0000-0000-0000108B0000}"/>
    <cellStyle name="40% - Accent5 7 2 3 3 2 3" xfId="33103" xr:uid="{00000000-0005-0000-0000-0000118B0000}"/>
    <cellStyle name="40% - Accent5 7 2 3 3 3" xfId="16152" xr:uid="{00000000-0005-0000-0000-0000128B0000}"/>
    <cellStyle name="40% - Accent5 7 2 3 3 3 2" xfId="38754" xr:uid="{00000000-0005-0000-0000-0000138B0000}"/>
    <cellStyle name="40% - Accent5 7 2 3 3 4" xfId="27453" xr:uid="{00000000-0005-0000-0000-0000148B0000}"/>
    <cellStyle name="40% - Accent5 7 2 3 4" xfId="7038" xr:uid="{00000000-0005-0000-0000-0000158B0000}"/>
    <cellStyle name="40% - Accent5 7 2 3 4 2" xfId="18339" xr:uid="{00000000-0005-0000-0000-0000168B0000}"/>
    <cellStyle name="40% - Accent5 7 2 3 4 2 2" xfId="40941" xr:uid="{00000000-0005-0000-0000-0000178B0000}"/>
    <cellStyle name="40% - Accent5 7 2 3 4 3" xfId="29640" xr:uid="{00000000-0005-0000-0000-0000188B0000}"/>
    <cellStyle name="40% - Accent5 7 2 3 5" xfId="12689" xr:uid="{00000000-0005-0000-0000-0000198B0000}"/>
    <cellStyle name="40% - Accent5 7 2 3 5 2" xfId="35291" xr:uid="{00000000-0005-0000-0000-00001A8B0000}"/>
    <cellStyle name="40% - Accent5 7 2 3 6" xfId="23990" xr:uid="{00000000-0005-0000-0000-00001B8B0000}"/>
    <cellStyle name="40% - Accent5 7 2 4" xfId="2026" xr:uid="{00000000-0005-0000-0000-00001C8B0000}"/>
    <cellStyle name="40% - Accent5 7 2 4 2" xfId="3815" xr:uid="{00000000-0005-0000-0000-00001D8B0000}"/>
    <cellStyle name="40% - Accent5 7 2 4 2 2" xfId="9525" xr:uid="{00000000-0005-0000-0000-00001E8B0000}"/>
    <cellStyle name="40% - Accent5 7 2 4 2 2 2" xfId="20826" xr:uid="{00000000-0005-0000-0000-00001F8B0000}"/>
    <cellStyle name="40% - Accent5 7 2 4 2 2 2 2" xfId="43428" xr:uid="{00000000-0005-0000-0000-0000208B0000}"/>
    <cellStyle name="40% - Accent5 7 2 4 2 2 3" xfId="32127" xr:uid="{00000000-0005-0000-0000-0000218B0000}"/>
    <cellStyle name="40% - Accent5 7 2 4 2 3" xfId="15176" xr:uid="{00000000-0005-0000-0000-0000228B0000}"/>
    <cellStyle name="40% - Accent5 7 2 4 2 3 2" xfId="37778" xr:uid="{00000000-0005-0000-0000-0000238B0000}"/>
    <cellStyle name="40% - Accent5 7 2 4 2 4" xfId="26477" xr:uid="{00000000-0005-0000-0000-0000248B0000}"/>
    <cellStyle name="40% - Accent5 7 2 4 3" xfId="5461" xr:uid="{00000000-0005-0000-0000-0000258B0000}"/>
    <cellStyle name="40% - Accent5 7 2 4 3 2" xfId="11111" xr:uid="{00000000-0005-0000-0000-0000268B0000}"/>
    <cellStyle name="40% - Accent5 7 2 4 3 2 2" xfId="22412" xr:uid="{00000000-0005-0000-0000-0000278B0000}"/>
    <cellStyle name="40% - Accent5 7 2 4 3 2 2 2" xfId="45014" xr:uid="{00000000-0005-0000-0000-0000288B0000}"/>
    <cellStyle name="40% - Accent5 7 2 4 3 2 3" xfId="33713" xr:uid="{00000000-0005-0000-0000-0000298B0000}"/>
    <cellStyle name="40% - Accent5 7 2 4 3 3" xfId="16762" xr:uid="{00000000-0005-0000-0000-00002A8B0000}"/>
    <cellStyle name="40% - Accent5 7 2 4 3 3 2" xfId="39364" xr:uid="{00000000-0005-0000-0000-00002B8B0000}"/>
    <cellStyle name="40% - Accent5 7 2 4 3 4" xfId="28063" xr:uid="{00000000-0005-0000-0000-00002C8B0000}"/>
    <cellStyle name="40% - Accent5 7 2 4 4" xfId="7882" xr:uid="{00000000-0005-0000-0000-00002D8B0000}"/>
    <cellStyle name="40% - Accent5 7 2 4 4 2" xfId="19183" xr:uid="{00000000-0005-0000-0000-00002E8B0000}"/>
    <cellStyle name="40% - Accent5 7 2 4 4 2 2" xfId="41785" xr:uid="{00000000-0005-0000-0000-00002F8B0000}"/>
    <cellStyle name="40% - Accent5 7 2 4 4 3" xfId="30484" xr:uid="{00000000-0005-0000-0000-0000308B0000}"/>
    <cellStyle name="40% - Accent5 7 2 4 5" xfId="13533" xr:uid="{00000000-0005-0000-0000-0000318B0000}"/>
    <cellStyle name="40% - Accent5 7 2 4 5 2" xfId="36135" xr:uid="{00000000-0005-0000-0000-0000328B0000}"/>
    <cellStyle name="40% - Accent5 7 2 4 6" xfId="24834" xr:uid="{00000000-0005-0000-0000-0000338B0000}"/>
    <cellStyle name="40% - Accent5 7 2 5" xfId="2442" xr:uid="{00000000-0005-0000-0000-0000348B0000}"/>
    <cellStyle name="40% - Accent5 7 2 5 2" xfId="8278" xr:uid="{00000000-0005-0000-0000-0000358B0000}"/>
    <cellStyle name="40% - Accent5 7 2 5 2 2" xfId="19579" xr:uid="{00000000-0005-0000-0000-0000368B0000}"/>
    <cellStyle name="40% - Accent5 7 2 5 2 2 2" xfId="42181" xr:uid="{00000000-0005-0000-0000-0000378B0000}"/>
    <cellStyle name="40% - Accent5 7 2 5 2 3" xfId="30880" xr:uid="{00000000-0005-0000-0000-0000388B0000}"/>
    <cellStyle name="40% - Accent5 7 2 5 3" xfId="13929" xr:uid="{00000000-0005-0000-0000-0000398B0000}"/>
    <cellStyle name="40% - Accent5 7 2 5 3 2" xfId="36531" xr:uid="{00000000-0005-0000-0000-00003A8B0000}"/>
    <cellStyle name="40% - Accent5 7 2 5 4" xfId="25230" xr:uid="{00000000-0005-0000-0000-00003B8B0000}"/>
    <cellStyle name="40% - Accent5 7 2 6" xfId="4227" xr:uid="{00000000-0005-0000-0000-00003C8B0000}"/>
    <cellStyle name="40% - Accent5 7 2 6 2" xfId="9877" xr:uid="{00000000-0005-0000-0000-00003D8B0000}"/>
    <cellStyle name="40% - Accent5 7 2 6 2 2" xfId="21178" xr:uid="{00000000-0005-0000-0000-00003E8B0000}"/>
    <cellStyle name="40% - Accent5 7 2 6 2 2 2" xfId="43780" xr:uid="{00000000-0005-0000-0000-00003F8B0000}"/>
    <cellStyle name="40% - Accent5 7 2 6 2 3" xfId="32479" xr:uid="{00000000-0005-0000-0000-0000408B0000}"/>
    <cellStyle name="40% - Accent5 7 2 6 3" xfId="15528" xr:uid="{00000000-0005-0000-0000-0000418B0000}"/>
    <cellStyle name="40% - Accent5 7 2 6 3 2" xfId="38130" xr:uid="{00000000-0005-0000-0000-0000428B0000}"/>
    <cellStyle name="40% - Accent5 7 2 6 4" xfId="26829" xr:uid="{00000000-0005-0000-0000-0000438B0000}"/>
    <cellStyle name="40% - Accent5 7 2 7" xfId="6707" xr:uid="{00000000-0005-0000-0000-0000448B0000}"/>
    <cellStyle name="40% - Accent5 7 2 7 2" xfId="18008" xr:uid="{00000000-0005-0000-0000-0000458B0000}"/>
    <cellStyle name="40% - Accent5 7 2 7 2 2" xfId="40610" xr:uid="{00000000-0005-0000-0000-0000468B0000}"/>
    <cellStyle name="40% - Accent5 7 2 7 3" xfId="29309" xr:uid="{00000000-0005-0000-0000-0000478B0000}"/>
    <cellStyle name="40% - Accent5 7 2 8" xfId="12358" xr:uid="{00000000-0005-0000-0000-0000488B0000}"/>
    <cellStyle name="40% - Accent5 7 2 8 2" xfId="34960" xr:uid="{00000000-0005-0000-0000-0000498B0000}"/>
    <cellStyle name="40% - Accent5 7 2 9" xfId="23659" xr:uid="{00000000-0005-0000-0000-00004A8B0000}"/>
    <cellStyle name="40% - Accent5 7 3" xfId="1214" xr:uid="{00000000-0005-0000-0000-00004B8B0000}"/>
    <cellStyle name="40% - Accent5 7 3 2" xfId="2028" xr:uid="{00000000-0005-0000-0000-00004C8B0000}"/>
    <cellStyle name="40% - Accent5 7 3 2 2" xfId="3282" xr:uid="{00000000-0005-0000-0000-00004D8B0000}"/>
    <cellStyle name="40% - Accent5 7 3 2 2 2" xfId="6254" xr:uid="{00000000-0005-0000-0000-00004E8B0000}"/>
    <cellStyle name="40% - Accent5 7 3 2 2 2 2" xfId="11904" xr:uid="{00000000-0005-0000-0000-00004F8B0000}"/>
    <cellStyle name="40% - Accent5 7 3 2 2 2 2 2" xfId="23205" xr:uid="{00000000-0005-0000-0000-0000508B0000}"/>
    <cellStyle name="40% - Accent5 7 3 2 2 2 2 2 2" xfId="45807" xr:uid="{00000000-0005-0000-0000-0000518B0000}"/>
    <cellStyle name="40% - Accent5 7 3 2 2 2 2 3" xfId="34506" xr:uid="{00000000-0005-0000-0000-0000528B0000}"/>
    <cellStyle name="40% - Accent5 7 3 2 2 2 3" xfId="17555" xr:uid="{00000000-0005-0000-0000-0000538B0000}"/>
    <cellStyle name="40% - Accent5 7 3 2 2 2 3 2" xfId="40157" xr:uid="{00000000-0005-0000-0000-0000548B0000}"/>
    <cellStyle name="40% - Accent5 7 3 2 2 2 4" xfId="28856" xr:uid="{00000000-0005-0000-0000-0000558B0000}"/>
    <cellStyle name="40% - Accent5 7 3 2 2 3" xfId="9072" xr:uid="{00000000-0005-0000-0000-0000568B0000}"/>
    <cellStyle name="40% - Accent5 7 3 2 2 3 2" xfId="20373" xr:uid="{00000000-0005-0000-0000-0000578B0000}"/>
    <cellStyle name="40% - Accent5 7 3 2 2 3 2 2" xfId="42975" xr:uid="{00000000-0005-0000-0000-0000588B0000}"/>
    <cellStyle name="40% - Accent5 7 3 2 2 3 3" xfId="31674" xr:uid="{00000000-0005-0000-0000-0000598B0000}"/>
    <cellStyle name="40% - Accent5 7 3 2 2 4" xfId="14723" xr:uid="{00000000-0005-0000-0000-00005A8B0000}"/>
    <cellStyle name="40% - Accent5 7 3 2 2 4 2" xfId="37325" xr:uid="{00000000-0005-0000-0000-00005B8B0000}"/>
    <cellStyle name="40% - Accent5 7 3 2 2 5" xfId="26024" xr:uid="{00000000-0005-0000-0000-00005C8B0000}"/>
    <cellStyle name="40% - Accent5 7 3 2 3" xfId="5020" xr:uid="{00000000-0005-0000-0000-00005D8B0000}"/>
    <cellStyle name="40% - Accent5 7 3 2 3 2" xfId="10670" xr:uid="{00000000-0005-0000-0000-00005E8B0000}"/>
    <cellStyle name="40% - Accent5 7 3 2 3 2 2" xfId="21971" xr:uid="{00000000-0005-0000-0000-00005F8B0000}"/>
    <cellStyle name="40% - Accent5 7 3 2 3 2 2 2" xfId="44573" xr:uid="{00000000-0005-0000-0000-0000608B0000}"/>
    <cellStyle name="40% - Accent5 7 3 2 3 2 3" xfId="33272" xr:uid="{00000000-0005-0000-0000-0000618B0000}"/>
    <cellStyle name="40% - Accent5 7 3 2 3 3" xfId="16321" xr:uid="{00000000-0005-0000-0000-0000628B0000}"/>
    <cellStyle name="40% - Accent5 7 3 2 3 3 2" xfId="38923" xr:uid="{00000000-0005-0000-0000-0000638B0000}"/>
    <cellStyle name="40% - Accent5 7 3 2 3 4" xfId="27622" xr:uid="{00000000-0005-0000-0000-0000648B0000}"/>
    <cellStyle name="40% - Accent5 7 3 2 4" xfId="7884" xr:uid="{00000000-0005-0000-0000-0000658B0000}"/>
    <cellStyle name="40% - Accent5 7 3 2 4 2" xfId="19185" xr:uid="{00000000-0005-0000-0000-0000668B0000}"/>
    <cellStyle name="40% - Accent5 7 3 2 4 2 2" xfId="41787" xr:uid="{00000000-0005-0000-0000-0000678B0000}"/>
    <cellStyle name="40% - Accent5 7 3 2 4 3" xfId="30486" xr:uid="{00000000-0005-0000-0000-0000688B0000}"/>
    <cellStyle name="40% - Accent5 7 3 2 5" xfId="13535" xr:uid="{00000000-0005-0000-0000-0000698B0000}"/>
    <cellStyle name="40% - Accent5 7 3 2 5 2" xfId="36137" xr:uid="{00000000-0005-0000-0000-00006A8B0000}"/>
    <cellStyle name="40% - Accent5 7 3 2 6" xfId="24836" xr:uid="{00000000-0005-0000-0000-00006B8B0000}"/>
    <cellStyle name="40% - Accent5 7 3 3" xfId="2611" xr:uid="{00000000-0005-0000-0000-00006C8B0000}"/>
    <cellStyle name="40% - Accent5 7 3 3 2" xfId="5630" xr:uid="{00000000-0005-0000-0000-00006D8B0000}"/>
    <cellStyle name="40% - Accent5 7 3 3 2 2" xfId="11280" xr:uid="{00000000-0005-0000-0000-00006E8B0000}"/>
    <cellStyle name="40% - Accent5 7 3 3 2 2 2" xfId="22581" xr:uid="{00000000-0005-0000-0000-00006F8B0000}"/>
    <cellStyle name="40% - Accent5 7 3 3 2 2 2 2" xfId="45183" xr:uid="{00000000-0005-0000-0000-0000708B0000}"/>
    <cellStyle name="40% - Accent5 7 3 3 2 2 3" xfId="33882" xr:uid="{00000000-0005-0000-0000-0000718B0000}"/>
    <cellStyle name="40% - Accent5 7 3 3 2 3" xfId="16931" xr:uid="{00000000-0005-0000-0000-0000728B0000}"/>
    <cellStyle name="40% - Accent5 7 3 3 2 3 2" xfId="39533" xr:uid="{00000000-0005-0000-0000-0000738B0000}"/>
    <cellStyle name="40% - Accent5 7 3 3 2 4" xfId="28232" xr:uid="{00000000-0005-0000-0000-0000748B0000}"/>
    <cellStyle name="40% - Accent5 7 3 3 3" xfId="8447" xr:uid="{00000000-0005-0000-0000-0000758B0000}"/>
    <cellStyle name="40% - Accent5 7 3 3 3 2" xfId="19748" xr:uid="{00000000-0005-0000-0000-0000768B0000}"/>
    <cellStyle name="40% - Accent5 7 3 3 3 2 2" xfId="42350" xr:uid="{00000000-0005-0000-0000-0000778B0000}"/>
    <cellStyle name="40% - Accent5 7 3 3 3 3" xfId="31049" xr:uid="{00000000-0005-0000-0000-0000788B0000}"/>
    <cellStyle name="40% - Accent5 7 3 3 4" xfId="14098" xr:uid="{00000000-0005-0000-0000-0000798B0000}"/>
    <cellStyle name="40% - Accent5 7 3 3 4 2" xfId="36700" xr:uid="{00000000-0005-0000-0000-00007A8B0000}"/>
    <cellStyle name="40% - Accent5 7 3 3 5" xfId="25399" xr:uid="{00000000-0005-0000-0000-00007B8B0000}"/>
    <cellStyle name="40% - Accent5 7 3 4" xfId="4396" xr:uid="{00000000-0005-0000-0000-00007C8B0000}"/>
    <cellStyle name="40% - Accent5 7 3 4 2" xfId="10046" xr:uid="{00000000-0005-0000-0000-00007D8B0000}"/>
    <cellStyle name="40% - Accent5 7 3 4 2 2" xfId="21347" xr:uid="{00000000-0005-0000-0000-00007E8B0000}"/>
    <cellStyle name="40% - Accent5 7 3 4 2 2 2" xfId="43949" xr:uid="{00000000-0005-0000-0000-00007F8B0000}"/>
    <cellStyle name="40% - Accent5 7 3 4 2 3" xfId="32648" xr:uid="{00000000-0005-0000-0000-0000808B0000}"/>
    <cellStyle name="40% - Accent5 7 3 4 3" xfId="15697" xr:uid="{00000000-0005-0000-0000-0000818B0000}"/>
    <cellStyle name="40% - Accent5 7 3 4 3 2" xfId="38299" xr:uid="{00000000-0005-0000-0000-0000828B0000}"/>
    <cellStyle name="40% - Accent5 7 3 4 4" xfId="26998" xr:uid="{00000000-0005-0000-0000-0000838B0000}"/>
    <cellStyle name="40% - Accent5 7 3 5" xfId="7193" xr:uid="{00000000-0005-0000-0000-0000848B0000}"/>
    <cellStyle name="40% - Accent5 7 3 5 2" xfId="18494" xr:uid="{00000000-0005-0000-0000-0000858B0000}"/>
    <cellStyle name="40% - Accent5 7 3 5 2 2" xfId="41096" xr:uid="{00000000-0005-0000-0000-0000868B0000}"/>
    <cellStyle name="40% - Accent5 7 3 5 3" xfId="29795" xr:uid="{00000000-0005-0000-0000-0000878B0000}"/>
    <cellStyle name="40% - Accent5 7 3 6" xfId="12844" xr:uid="{00000000-0005-0000-0000-0000888B0000}"/>
    <cellStyle name="40% - Accent5 7 3 6 2" xfId="35446" xr:uid="{00000000-0005-0000-0000-0000898B0000}"/>
    <cellStyle name="40% - Accent5 7 3 7" xfId="24145" xr:uid="{00000000-0005-0000-0000-00008A8B0000}"/>
    <cellStyle name="40% - Accent5 7 4" xfId="905" xr:uid="{00000000-0005-0000-0000-00008B8B0000}"/>
    <cellStyle name="40% - Accent5 7 4 2" xfId="2975" xr:uid="{00000000-0005-0000-0000-00008C8B0000}"/>
    <cellStyle name="40% - Accent5 7 4 2 2" xfId="5947" xr:uid="{00000000-0005-0000-0000-00008D8B0000}"/>
    <cellStyle name="40% - Accent5 7 4 2 2 2" xfId="11597" xr:uid="{00000000-0005-0000-0000-00008E8B0000}"/>
    <cellStyle name="40% - Accent5 7 4 2 2 2 2" xfId="22898" xr:uid="{00000000-0005-0000-0000-00008F8B0000}"/>
    <cellStyle name="40% - Accent5 7 4 2 2 2 2 2" xfId="45500" xr:uid="{00000000-0005-0000-0000-0000908B0000}"/>
    <cellStyle name="40% - Accent5 7 4 2 2 2 3" xfId="34199" xr:uid="{00000000-0005-0000-0000-0000918B0000}"/>
    <cellStyle name="40% - Accent5 7 4 2 2 3" xfId="17248" xr:uid="{00000000-0005-0000-0000-0000928B0000}"/>
    <cellStyle name="40% - Accent5 7 4 2 2 3 2" xfId="39850" xr:uid="{00000000-0005-0000-0000-0000938B0000}"/>
    <cellStyle name="40% - Accent5 7 4 2 2 4" xfId="28549" xr:uid="{00000000-0005-0000-0000-0000948B0000}"/>
    <cellStyle name="40% - Accent5 7 4 2 3" xfId="8765" xr:uid="{00000000-0005-0000-0000-0000958B0000}"/>
    <cellStyle name="40% - Accent5 7 4 2 3 2" xfId="20066" xr:uid="{00000000-0005-0000-0000-0000968B0000}"/>
    <cellStyle name="40% - Accent5 7 4 2 3 2 2" xfId="42668" xr:uid="{00000000-0005-0000-0000-0000978B0000}"/>
    <cellStyle name="40% - Accent5 7 4 2 3 3" xfId="31367" xr:uid="{00000000-0005-0000-0000-0000988B0000}"/>
    <cellStyle name="40% - Accent5 7 4 2 4" xfId="14416" xr:uid="{00000000-0005-0000-0000-0000998B0000}"/>
    <cellStyle name="40% - Accent5 7 4 2 4 2" xfId="37018" xr:uid="{00000000-0005-0000-0000-00009A8B0000}"/>
    <cellStyle name="40% - Accent5 7 4 2 5" xfId="25717" xr:uid="{00000000-0005-0000-0000-00009B8B0000}"/>
    <cellStyle name="40% - Accent5 7 4 3" xfId="4713" xr:uid="{00000000-0005-0000-0000-00009C8B0000}"/>
    <cellStyle name="40% - Accent5 7 4 3 2" xfId="10363" xr:uid="{00000000-0005-0000-0000-00009D8B0000}"/>
    <cellStyle name="40% - Accent5 7 4 3 2 2" xfId="21664" xr:uid="{00000000-0005-0000-0000-00009E8B0000}"/>
    <cellStyle name="40% - Accent5 7 4 3 2 2 2" xfId="44266" xr:uid="{00000000-0005-0000-0000-00009F8B0000}"/>
    <cellStyle name="40% - Accent5 7 4 3 2 3" xfId="32965" xr:uid="{00000000-0005-0000-0000-0000A08B0000}"/>
    <cellStyle name="40% - Accent5 7 4 3 3" xfId="16014" xr:uid="{00000000-0005-0000-0000-0000A18B0000}"/>
    <cellStyle name="40% - Accent5 7 4 3 3 2" xfId="38616" xr:uid="{00000000-0005-0000-0000-0000A28B0000}"/>
    <cellStyle name="40% - Accent5 7 4 3 4" xfId="27315" xr:uid="{00000000-0005-0000-0000-0000A38B0000}"/>
    <cellStyle name="40% - Accent5 7 4 4" xfId="6900" xr:uid="{00000000-0005-0000-0000-0000A48B0000}"/>
    <cellStyle name="40% - Accent5 7 4 4 2" xfId="18201" xr:uid="{00000000-0005-0000-0000-0000A58B0000}"/>
    <cellStyle name="40% - Accent5 7 4 4 2 2" xfId="40803" xr:uid="{00000000-0005-0000-0000-0000A68B0000}"/>
    <cellStyle name="40% - Accent5 7 4 4 3" xfId="29502" xr:uid="{00000000-0005-0000-0000-0000A78B0000}"/>
    <cellStyle name="40% - Accent5 7 4 5" xfId="12551" xr:uid="{00000000-0005-0000-0000-0000A88B0000}"/>
    <cellStyle name="40% - Accent5 7 4 5 2" xfId="35153" xr:uid="{00000000-0005-0000-0000-0000A98B0000}"/>
    <cellStyle name="40% - Accent5 7 4 6" xfId="23852" xr:uid="{00000000-0005-0000-0000-0000AA8B0000}"/>
    <cellStyle name="40% - Accent5 7 5" xfId="2025" xr:uid="{00000000-0005-0000-0000-0000AB8B0000}"/>
    <cellStyle name="40% - Accent5 7 5 2" xfId="3814" xr:uid="{00000000-0005-0000-0000-0000AC8B0000}"/>
    <cellStyle name="40% - Accent5 7 5 2 2" xfId="9524" xr:uid="{00000000-0005-0000-0000-0000AD8B0000}"/>
    <cellStyle name="40% - Accent5 7 5 2 2 2" xfId="20825" xr:uid="{00000000-0005-0000-0000-0000AE8B0000}"/>
    <cellStyle name="40% - Accent5 7 5 2 2 2 2" xfId="43427" xr:uid="{00000000-0005-0000-0000-0000AF8B0000}"/>
    <cellStyle name="40% - Accent5 7 5 2 2 3" xfId="32126" xr:uid="{00000000-0005-0000-0000-0000B08B0000}"/>
    <cellStyle name="40% - Accent5 7 5 2 3" xfId="15175" xr:uid="{00000000-0005-0000-0000-0000B18B0000}"/>
    <cellStyle name="40% - Accent5 7 5 2 3 2" xfId="37777" xr:uid="{00000000-0005-0000-0000-0000B28B0000}"/>
    <cellStyle name="40% - Accent5 7 5 2 4" xfId="26476" xr:uid="{00000000-0005-0000-0000-0000B38B0000}"/>
    <cellStyle name="40% - Accent5 7 5 3" xfId="5323" xr:uid="{00000000-0005-0000-0000-0000B48B0000}"/>
    <cellStyle name="40% - Accent5 7 5 3 2" xfId="10973" xr:uid="{00000000-0005-0000-0000-0000B58B0000}"/>
    <cellStyle name="40% - Accent5 7 5 3 2 2" xfId="22274" xr:uid="{00000000-0005-0000-0000-0000B68B0000}"/>
    <cellStyle name="40% - Accent5 7 5 3 2 2 2" xfId="44876" xr:uid="{00000000-0005-0000-0000-0000B78B0000}"/>
    <cellStyle name="40% - Accent5 7 5 3 2 3" xfId="33575" xr:uid="{00000000-0005-0000-0000-0000B88B0000}"/>
    <cellStyle name="40% - Accent5 7 5 3 3" xfId="16624" xr:uid="{00000000-0005-0000-0000-0000B98B0000}"/>
    <cellStyle name="40% - Accent5 7 5 3 3 2" xfId="39226" xr:uid="{00000000-0005-0000-0000-0000BA8B0000}"/>
    <cellStyle name="40% - Accent5 7 5 3 4" xfId="27925" xr:uid="{00000000-0005-0000-0000-0000BB8B0000}"/>
    <cellStyle name="40% - Accent5 7 5 4" xfId="7881" xr:uid="{00000000-0005-0000-0000-0000BC8B0000}"/>
    <cellStyle name="40% - Accent5 7 5 4 2" xfId="19182" xr:uid="{00000000-0005-0000-0000-0000BD8B0000}"/>
    <cellStyle name="40% - Accent5 7 5 4 2 2" xfId="41784" xr:uid="{00000000-0005-0000-0000-0000BE8B0000}"/>
    <cellStyle name="40% - Accent5 7 5 4 3" xfId="30483" xr:uid="{00000000-0005-0000-0000-0000BF8B0000}"/>
    <cellStyle name="40% - Accent5 7 5 5" xfId="13532" xr:uid="{00000000-0005-0000-0000-0000C08B0000}"/>
    <cellStyle name="40% - Accent5 7 5 5 2" xfId="36134" xr:uid="{00000000-0005-0000-0000-0000C18B0000}"/>
    <cellStyle name="40% - Accent5 7 5 6" xfId="24833" xr:uid="{00000000-0005-0000-0000-0000C28B0000}"/>
    <cellStyle name="40% - Accent5 7 6" xfId="2302" xr:uid="{00000000-0005-0000-0000-0000C38B0000}"/>
    <cellStyle name="40% - Accent5 7 6 2" xfId="8138" xr:uid="{00000000-0005-0000-0000-0000C48B0000}"/>
    <cellStyle name="40% - Accent5 7 6 2 2" xfId="19439" xr:uid="{00000000-0005-0000-0000-0000C58B0000}"/>
    <cellStyle name="40% - Accent5 7 6 2 2 2" xfId="42041" xr:uid="{00000000-0005-0000-0000-0000C68B0000}"/>
    <cellStyle name="40% - Accent5 7 6 2 3" xfId="30740" xr:uid="{00000000-0005-0000-0000-0000C78B0000}"/>
    <cellStyle name="40% - Accent5 7 6 3" xfId="13789" xr:uid="{00000000-0005-0000-0000-0000C88B0000}"/>
    <cellStyle name="40% - Accent5 7 6 3 2" xfId="36391" xr:uid="{00000000-0005-0000-0000-0000C98B0000}"/>
    <cellStyle name="40% - Accent5 7 6 4" xfId="25090" xr:uid="{00000000-0005-0000-0000-0000CA8B0000}"/>
    <cellStyle name="40% - Accent5 7 7" xfId="4089" xr:uid="{00000000-0005-0000-0000-0000CB8B0000}"/>
    <cellStyle name="40% - Accent5 7 7 2" xfId="9739" xr:uid="{00000000-0005-0000-0000-0000CC8B0000}"/>
    <cellStyle name="40% - Accent5 7 7 2 2" xfId="21040" xr:uid="{00000000-0005-0000-0000-0000CD8B0000}"/>
    <cellStyle name="40% - Accent5 7 7 2 2 2" xfId="43642" xr:uid="{00000000-0005-0000-0000-0000CE8B0000}"/>
    <cellStyle name="40% - Accent5 7 7 2 3" xfId="32341" xr:uid="{00000000-0005-0000-0000-0000CF8B0000}"/>
    <cellStyle name="40% - Accent5 7 7 3" xfId="15390" xr:uid="{00000000-0005-0000-0000-0000D08B0000}"/>
    <cellStyle name="40% - Accent5 7 7 3 2" xfId="37992" xr:uid="{00000000-0005-0000-0000-0000D18B0000}"/>
    <cellStyle name="40% - Accent5 7 7 4" xfId="26691" xr:uid="{00000000-0005-0000-0000-0000D28B0000}"/>
    <cellStyle name="40% - Accent5 7 8" xfId="6540" xr:uid="{00000000-0005-0000-0000-0000D38B0000}"/>
    <cellStyle name="40% - Accent5 7 8 2" xfId="17841" xr:uid="{00000000-0005-0000-0000-0000D48B0000}"/>
    <cellStyle name="40% - Accent5 7 8 2 2" xfId="40443" xr:uid="{00000000-0005-0000-0000-0000D58B0000}"/>
    <cellStyle name="40% - Accent5 7 8 3" xfId="29142" xr:uid="{00000000-0005-0000-0000-0000D68B0000}"/>
    <cellStyle name="40% - Accent5 7 9" xfId="12191" xr:uid="{00000000-0005-0000-0000-0000D78B0000}"/>
    <cellStyle name="40% - Accent5 7 9 2" xfId="34793" xr:uid="{00000000-0005-0000-0000-0000D88B0000}"/>
    <cellStyle name="40% - Accent5 8" xfId="500" xr:uid="{00000000-0005-0000-0000-0000D98B0000}"/>
    <cellStyle name="40% - Accent5 8 2" xfId="1271" xr:uid="{00000000-0005-0000-0000-0000DA8B0000}"/>
    <cellStyle name="40% - Accent5 8 2 2" xfId="2030" xr:uid="{00000000-0005-0000-0000-0000DB8B0000}"/>
    <cellStyle name="40% - Accent5 8 2 2 2" xfId="3340" xr:uid="{00000000-0005-0000-0000-0000DC8B0000}"/>
    <cellStyle name="40% - Accent5 8 2 2 2 2" xfId="6312" xr:uid="{00000000-0005-0000-0000-0000DD8B0000}"/>
    <cellStyle name="40% - Accent5 8 2 2 2 2 2" xfId="11962" xr:uid="{00000000-0005-0000-0000-0000DE8B0000}"/>
    <cellStyle name="40% - Accent5 8 2 2 2 2 2 2" xfId="23263" xr:uid="{00000000-0005-0000-0000-0000DF8B0000}"/>
    <cellStyle name="40% - Accent5 8 2 2 2 2 2 2 2" xfId="45865" xr:uid="{00000000-0005-0000-0000-0000E08B0000}"/>
    <cellStyle name="40% - Accent5 8 2 2 2 2 2 3" xfId="34564" xr:uid="{00000000-0005-0000-0000-0000E18B0000}"/>
    <cellStyle name="40% - Accent5 8 2 2 2 2 3" xfId="17613" xr:uid="{00000000-0005-0000-0000-0000E28B0000}"/>
    <cellStyle name="40% - Accent5 8 2 2 2 2 3 2" xfId="40215" xr:uid="{00000000-0005-0000-0000-0000E38B0000}"/>
    <cellStyle name="40% - Accent5 8 2 2 2 2 4" xfId="28914" xr:uid="{00000000-0005-0000-0000-0000E48B0000}"/>
    <cellStyle name="40% - Accent5 8 2 2 2 3" xfId="9130" xr:uid="{00000000-0005-0000-0000-0000E58B0000}"/>
    <cellStyle name="40% - Accent5 8 2 2 2 3 2" xfId="20431" xr:uid="{00000000-0005-0000-0000-0000E68B0000}"/>
    <cellStyle name="40% - Accent5 8 2 2 2 3 2 2" xfId="43033" xr:uid="{00000000-0005-0000-0000-0000E78B0000}"/>
    <cellStyle name="40% - Accent5 8 2 2 2 3 3" xfId="31732" xr:uid="{00000000-0005-0000-0000-0000E88B0000}"/>
    <cellStyle name="40% - Accent5 8 2 2 2 4" xfId="14781" xr:uid="{00000000-0005-0000-0000-0000E98B0000}"/>
    <cellStyle name="40% - Accent5 8 2 2 2 4 2" xfId="37383" xr:uid="{00000000-0005-0000-0000-0000EA8B0000}"/>
    <cellStyle name="40% - Accent5 8 2 2 2 5" xfId="26082" xr:uid="{00000000-0005-0000-0000-0000EB8B0000}"/>
    <cellStyle name="40% - Accent5 8 2 2 3" xfId="5078" xr:uid="{00000000-0005-0000-0000-0000EC8B0000}"/>
    <cellStyle name="40% - Accent5 8 2 2 3 2" xfId="10728" xr:uid="{00000000-0005-0000-0000-0000ED8B0000}"/>
    <cellStyle name="40% - Accent5 8 2 2 3 2 2" xfId="22029" xr:uid="{00000000-0005-0000-0000-0000EE8B0000}"/>
    <cellStyle name="40% - Accent5 8 2 2 3 2 2 2" xfId="44631" xr:uid="{00000000-0005-0000-0000-0000EF8B0000}"/>
    <cellStyle name="40% - Accent5 8 2 2 3 2 3" xfId="33330" xr:uid="{00000000-0005-0000-0000-0000F08B0000}"/>
    <cellStyle name="40% - Accent5 8 2 2 3 3" xfId="16379" xr:uid="{00000000-0005-0000-0000-0000F18B0000}"/>
    <cellStyle name="40% - Accent5 8 2 2 3 3 2" xfId="38981" xr:uid="{00000000-0005-0000-0000-0000F28B0000}"/>
    <cellStyle name="40% - Accent5 8 2 2 3 4" xfId="27680" xr:uid="{00000000-0005-0000-0000-0000F38B0000}"/>
    <cellStyle name="40% - Accent5 8 2 2 4" xfId="7886" xr:uid="{00000000-0005-0000-0000-0000F48B0000}"/>
    <cellStyle name="40% - Accent5 8 2 2 4 2" xfId="19187" xr:uid="{00000000-0005-0000-0000-0000F58B0000}"/>
    <cellStyle name="40% - Accent5 8 2 2 4 2 2" xfId="41789" xr:uid="{00000000-0005-0000-0000-0000F68B0000}"/>
    <cellStyle name="40% - Accent5 8 2 2 4 3" xfId="30488" xr:uid="{00000000-0005-0000-0000-0000F78B0000}"/>
    <cellStyle name="40% - Accent5 8 2 2 5" xfId="13537" xr:uid="{00000000-0005-0000-0000-0000F88B0000}"/>
    <cellStyle name="40% - Accent5 8 2 2 5 2" xfId="36139" xr:uid="{00000000-0005-0000-0000-0000F98B0000}"/>
    <cellStyle name="40% - Accent5 8 2 2 6" xfId="24838" xr:uid="{00000000-0005-0000-0000-0000FA8B0000}"/>
    <cellStyle name="40% - Accent5 8 2 3" xfId="2669" xr:uid="{00000000-0005-0000-0000-0000FB8B0000}"/>
    <cellStyle name="40% - Accent5 8 2 3 2" xfId="5688" xr:uid="{00000000-0005-0000-0000-0000FC8B0000}"/>
    <cellStyle name="40% - Accent5 8 2 3 2 2" xfId="11338" xr:uid="{00000000-0005-0000-0000-0000FD8B0000}"/>
    <cellStyle name="40% - Accent5 8 2 3 2 2 2" xfId="22639" xr:uid="{00000000-0005-0000-0000-0000FE8B0000}"/>
    <cellStyle name="40% - Accent5 8 2 3 2 2 2 2" xfId="45241" xr:uid="{00000000-0005-0000-0000-0000FF8B0000}"/>
    <cellStyle name="40% - Accent5 8 2 3 2 2 3" xfId="33940" xr:uid="{00000000-0005-0000-0000-0000008C0000}"/>
    <cellStyle name="40% - Accent5 8 2 3 2 3" xfId="16989" xr:uid="{00000000-0005-0000-0000-0000018C0000}"/>
    <cellStyle name="40% - Accent5 8 2 3 2 3 2" xfId="39591" xr:uid="{00000000-0005-0000-0000-0000028C0000}"/>
    <cellStyle name="40% - Accent5 8 2 3 2 4" xfId="28290" xr:uid="{00000000-0005-0000-0000-0000038C0000}"/>
    <cellStyle name="40% - Accent5 8 2 3 3" xfId="8505" xr:uid="{00000000-0005-0000-0000-0000048C0000}"/>
    <cellStyle name="40% - Accent5 8 2 3 3 2" xfId="19806" xr:uid="{00000000-0005-0000-0000-0000058C0000}"/>
    <cellStyle name="40% - Accent5 8 2 3 3 2 2" xfId="42408" xr:uid="{00000000-0005-0000-0000-0000068C0000}"/>
    <cellStyle name="40% - Accent5 8 2 3 3 3" xfId="31107" xr:uid="{00000000-0005-0000-0000-0000078C0000}"/>
    <cellStyle name="40% - Accent5 8 2 3 4" xfId="14156" xr:uid="{00000000-0005-0000-0000-0000088C0000}"/>
    <cellStyle name="40% - Accent5 8 2 3 4 2" xfId="36758" xr:uid="{00000000-0005-0000-0000-0000098C0000}"/>
    <cellStyle name="40% - Accent5 8 2 3 5" xfId="25457" xr:uid="{00000000-0005-0000-0000-00000A8C0000}"/>
    <cellStyle name="40% - Accent5 8 2 4" xfId="4454" xr:uid="{00000000-0005-0000-0000-00000B8C0000}"/>
    <cellStyle name="40% - Accent5 8 2 4 2" xfId="10104" xr:uid="{00000000-0005-0000-0000-00000C8C0000}"/>
    <cellStyle name="40% - Accent5 8 2 4 2 2" xfId="21405" xr:uid="{00000000-0005-0000-0000-00000D8C0000}"/>
    <cellStyle name="40% - Accent5 8 2 4 2 2 2" xfId="44007" xr:uid="{00000000-0005-0000-0000-00000E8C0000}"/>
    <cellStyle name="40% - Accent5 8 2 4 2 3" xfId="32706" xr:uid="{00000000-0005-0000-0000-00000F8C0000}"/>
    <cellStyle name="40% - Accent5 8 2 4 3" xfId="15755" xr:uid="{00000000-0005-0000-0000-0000108C0000}"/>
    <cellStyle name="40% - Accent5 8 2 4 3 2" xfId="38357" xr:uid="{00000000-0005-0000-0000-0000118C0000}"/>
    <cellStyle name="40% - Accent5 8 2 4 4" xfId="27056" xr:uid="{00000000-0005-0000-0000-0000128C0000}"/>
    <cellStyle name="40% - Accent5 8 2 5" xfId="7250" xr:uid="{00000000-0005-0000-0000-0000138C0000}"/>
    <cellStyle name="40% - Accent5 8 2 5 2" xfId="18551" xr:uid="{00000000-0005-0000-0000-0000148C0000}"/>
    <cellStyle name="40% - Accent5 8 2 5 2 2" xfId="41153" xr:uid="{00000000-0005-0000-0000-0000158C0000}"/>
    <cellStyle name="40% - Accent5 8 2 5 3" xfId="29852" xr:uid="{00000000-0005-0000-0000-0000168C0000}"/>
    <cellStyle name="40% - Accent5 8 2 6" xfId="12901" xr:uid="{00000000-0005-0000-0000-0000178C0000}"/>
    <cellStyle name="40% - Accent5 8 2 6 2" xfId="35503" xr:uid="{00000000-0005-0000-0000-0000188C0000}"/>
    <cellStyle name="40% - Accent5 8 2 7" xfId="24202" xr:uid="{00000000-0005-0000-0000-0000198C0000}"/>
    <cellStyle name="40% - Accent5 8 3" xfId="968" xr:uid="{00000000-0005-0000-0000-00001A8C0000}"/>
    <cellStyle name="40% - Accent5 8 3 2" xfId="3032" xr:uid="{00000000-0005-0000-0000-00001B8C0000}"/>
    <cellStyle name="40% - Accent5 8 3 2 2" xfId="6004" xr:uid="{00000000-0005-0000-0000-00001C8C0000}"/>
    <cellStyle name="40% - Accent5 8 3 2 2 2" xfId="11654" xr:uid="{00000000-0005-0000-0000-00001D8C0000}"/>
    <cellStyle name="40% - Accent5 8 3 2 2 2 2" xfId="22955" xr:uid="{00000000-0005-0000-0000-00001E8C0000}"/>
    <cellStyle name="40% - Accent5 8 3 2 2 2 2 2" xfId="45557" xr:uid="{00000000-0005-0000-0000-00001F8C0000}"/>
    <cellStyle name="40% - Accent5 8 3 2 2 2 3" xfId="34256" xr:uid="{00000000-0005-0000-0000-0000208C0000}"/>
    <cellStyle name="40% - Accent5 8 3 2 2 3" xfId="17305" xr:uid="{00000000-0005-0000-0000-0000218C0000}"/>
    <cellStyle name="40% - Accent5 8 3 2 2 3 2" xfId="39907" xr:uid="{00000000-0005-0000-0000-0000228C0000}"/>
    <cellStyle name="40% - Accent5 8 3 2 2 4" xfId="28606" xr:uid="{00000000-0005-0000-0000-0000238C0000}"/>
    <cellStyle name="40% - Accent5 8 3 2 3" xfId="8822" xr:uid="{00000000-0005-0000-0000-0000248C0000}"/>
    <cellStyle name="40% - Accent5 8 3 2 3 2" xfId="20123" xr:uid="{00000000-0005-0000-0000-0000258C0000}"/>
    <cellStyle name="40% - Accent5 8 3 2 3 2 2" xfId="42725" xr:uid="{00000000-0005-0000-0000-0000268C0000}"/>
    <cellStyle name="40% - Accent5 8 3 2 3 3" xfId="31424" xr:uid="{00000000-0005-0000-0000-0000278C0000}"/>
    <cellStyle name="40% - Accent5 8 3 2 4" xfId="14473" xr:uid="{00000000-0005-0000-0000-0000288C0000}"/>
    <cellStyle name="40% - Accent5 8 3 2 4 2" xfId="37075" xr:uid="{00000000-0005-0000-0000-0000298C0000}"/>
    <cellStyle name="40% - Accent5 8 3 2 5" xfId="25774" xr:uid="{00000000-0005-0000-0000-00002A8C0000}"/>
    <cellStyle name="40% - Accent5 8 3 3" xfId="4770" xr:uid="{00000000-0005-0000-0000-00002B8C0000}"/>
    <cellStyle name="40% - Accent5 8 3 3 2" xfId="10420" xr:uid="{00000000-0005-0000-0000-00002C8C0000}"/>
    <cellStyle name="40% - Accent5 8 3 3 2 2" xfId="21721" xr:uid="{00000000-0005-0000-0000-00002D8C0000}"/>
    <cellStyle name="40% - Accent5 8 3 3 2 2 2" xfId="44323" xr:uid="{00000000-0005-0000-0000-00002E8C0000}"/>
    <cellStyle name="40% - Accent5 8 3 3 2 3" xfId="33022" xr:uid="{00000000-0005-0000-0000-00002F8C0000}"/>
    <cellStyle name="40% - Accent5 8 3 3 3" xfId="16071" xr:uid="{00000000-0005-0000-0000-0000308C0000}"/>
    <cellStyle name="40% - Accent5 8 3 3 3 2" xfId="38673" xr:uid="{00000000-0005-0000-0000-0000318C0000}"/>
    <cellStyle name="40% - Accent5 8 3 3 4" xfId="27372" xr:uid="{00000000-0005-0000-0000-0000328C0000}"/>
    <cellStyle name="40% - Accent5 8 3 4" xfId="6957" xr:uid="{00000000-0005-0000-0000-0000338C0000}"/>
    <cellStyle name="40% - Accent5 8 3 4 2" xfId="18258" xr:uid="{00000000-0005-0000-0000-0000348C0000}"/>
    <cellStyle name="40% - Accent5 8 3 4 2 2" xfId="40860" xr:uid="{00000000-0005-0000-0000-0000358C0000}"/>
    <cellStyle name="40% - Accent5 8 3 4 3" xfId="29559" xr:uid="{00000000-0005-0000-0000-0000368C0000}"/>
    <cellStyle name="40% - Accent5 8 3 5" xfId="12608" xr:uid="{00000000-0005-0000-0000-0000378C0000}"/>
    <cellStyle name="40% - Accent5 8 3 5 2" xfId="35210" xr:uid="{00000000-0005-0000-0000-0000388C0000}"/>
    <cellStyle name="40% - Accent5 8 3 6" xfId="23909" xr:uid="{00000000-0005-0000-0000-0000398C0000}"/>
    <cellStyle name="40% - Accent5 8 4" xfId="2029" xr:uid="{00000000-0005-0000-0000-00003A8C0000}"/>
    <cellStyle name="40% - Accent5 8 4 2" xfId="3816" xr:uid="{00000000-0005-0000-0000-00003B8C0000}"/>
    <cellStyle name="40% - Accent5 8 4 2 2" xfId="9526" xr:uid="{00000000-0005-0000-0000-00003C8C0000}"/>
    <cellStyle name="40% - Accent5 8 4 2 2 2" xfId="20827" xr:uid="{00000000-0005-0000-0000-00003D8C0000}"/>
    <cellStyle name="40% - Accent5 8 4 2 2 2 2" xfId="43429" xr:uid="{00000000-0005-0000-0000-00003E8C0000}"/>
    <cellStyle name="40% - Accent5 8 4 2 2 3" xfId="32128" xr:uid="{00000000-0005-0000-0000-00003F8C0000}"/>
    <cellStyle name="40% - Accent5 8 4 2 3" xfId="15177" xr:uid="{00000000-0005-0000-0000-0000408C0000}"/>
    <cellStyle name="40% - Accent5 8 4 2 3 2" xfId="37779" xr:uid="{00000000-0005-0000-0000-0000418C0000}"/>
    <cellStyle name="40% - Accent5 8 4 2 4" xfId="26478" xr:uid="{00000000-0005-0000-0000-0000428C0000}"/>
    <cellStyle name="40% - Accent5 8 4 3" xfId="5380" xr:uid="{00000000-0005-0000-0000-0000438C0000}"/>
    <cellStyle name="40% - Accent5 8 4 3 2" xfId="11030" xr:uid="{00000000-0005-0000-0000-0000448C0000}"/>
    <cellStyle name="40% - Accent5 8 4 3 2 2" xfId="22331" xr:uid="{00000000-0005-0000-0000-0000458C0000}"/>
    <cellStyle name="40% - Accent5 8 4 3 2 2 2" xfId="44933" xr:uid="{00000000-0005-0000-0000-0000468C0000}"/>
    <cellStyle name="40% - Accent5 8 4 3 2 3" xfId="33632" xr:uid="{00000000-0005-0000-0000-0000478C0000}"/>
    <cellStyle name="40% - Accent5 8 4 3 3" xfId="16681" xr:uid="{00000000-0005-0000-0000-0000488C0000}"/>
    <cellStyle name="40% - Accent5 8 4 3 3 2" xfId="39283" xr:uid="{00000000-0005-0000-0000-0000498C0000}"/>
    <cellStyle name="40% - Accent5 8 4 3 4" xfId="27982" xr:uid="{00000000-0005-0000-0000-00004A8C0000}"/>
    <cellStyle name="40% - Accent5 8 4 4" xfId="7885" xr:uid="{00000000-0005-0000-0000-00004B8C0000}"/>
    <cellStyle name="40% - Accent5 8 4 4 2" xfId="19186" xr:uid="{00000000-0005-0000-0000-00004C8C0000}"/>
    <cellStyle name="40% - Accent5 8 4 4 2 2" xfId="41788" xr:uid="{00000000-0005-0000-0000-00004D8C0000}"/>
    <cellStyle name="40% - Accent5 8 4 4 3" xfId="30487" xr:uid="{00000000-0005-0000-0000-00004E8C0000}"/>
    <cellStyle name="40% - Accent5 8 4 5" xfId="13536" xr:uid="{00000000-0005-0000-0000-00004F8C0000}"/>
    <cellStyle name="40% - Accent5 8 4 5 2" xfId="36138" xr:uid="{00000000-0005-0000-0000-0000508C0000}"/>
    <cellStyle name="40% - Accent5 8 4 6" xfId="24837" xr:uid="{00000000-0005-0000-0000-0000518C0000}"/>
    <cellStyle name="40% - Accent5 8 5" xfId="2361" xr:uid="{00000000-0005-0000-0000-0000528C0000}"/>
    <cellStyle name="40% - Accent5 8 5 2" xfId="8197" xr:uid="{00000000-0005-0000-0000-0000538C0000}"/>
    <cellStyle name="40% - Accent5 8 5 2 2" xfId="19498" xr:uid="{00000000-0005-0000-0000-0000548C0000}"/>
    <cellStyle name="40% - Accent5 8 5 2 2 2" xfId="42100" xr:uid="{00000000-0005-0000-0000-0000558C0000}"/>
    <cellStyle name="40% - Accent5 8 5 2 3" xfId="30799" xr:uid="{00000000-0005-0000-0000-0000568C0000}"/>
    <cellStyle name="40% - Accent5 8 5 3" xfId="13848" xr:uid="{00000000-0005-0000-0000-0000578C0000}"/>
    <cellStyle name="40% - Accent5 8 5 3 2" xfId="36450" xr:uid="{00000000-0005-0000-0000-0000588C0000}"/>
    <cellStyle name="40% - Accent5 8 5 4" xfId="25149" xr:uid="{00000000-0005-0000-0000-0000598C0000}"/>
    <cellStyle name="40% - Accent5 8 6" xfId="4146" xr:uid="{00000000-0005-0000-0000-00005A8C0000}"/>
    <cellStyle name="40% - Accent5 8 6 2" xfId="9796" xr:uid="{00000000-0005-0000-0000-00005B8C0000}"/>
    <cellStyle name="40% - Accent5 8 6 2 2" xfId="21097" xr:uid="{00000000-0005-0000-0000-00005C8C0000}"/>
    <cellStyle name="40% - Accent5 8 6 2 2 2" xfId="43699" xr:uid="{00000000-0005-0000-0000-00005D8C0000}"/>
    <cellStyle name="40% - Accent5 8 6 2 3" xfId="32398" xr:uid="{00000000-0005-0000-0000-00005E8C0000}"/>
    <cellStyle name="40% - Accent5 8 6 3" xfId="15447" xr:uid="{00000000-0005-0000-0000-00005F8C0000}"/>
    <cellStyle name="40% - Accent5 8 6 3 2" xfId="38049" xr:uid="{00000000-0005-0000-0000-0000608C0000}"/>
    <cellStyle name="40% - Accent5 8 6 4" xfId="26748" xr:uid="{00000000-0005-0000-0000-0000618C0000}"/>
    <cellStyle name="40% - Accent5 8 7" xfId="6597" xr:uid="{00000000-0005-0000-0000-0000628C0000}"/>
    <cellStyle name="40% - Accent5 8 7 2" xfId="17898" xr:uid="{00000000-0005-0000-0000-0000638C0000}"/>
    <cellStyle name="40% - Accent5 8 7 2 2" xfId="40500" xr:uid="{00000000-0005-0000-0000-0000648C0000}"/>
    <cellStyle name="40% - Accent5 8 7 3" xfId="29199" xr:uid="{00000000-0005-0000-0000-0000658C0000}"/>
    <cellStyle name="40% - Accent5 8 8" xfId="12248" xr:uid="{00000000-0005-0000-0000-0000668C0000}"/>
    <cellStyle name="40% - Accent5 8 8 2" xfId="34850" xr:uid="{00000000-0005-0000-0000-0000678C0000}"/>
    <cellStyle name="40% - Accent5 8 9" xfId="23549" xr:uid="{00000000-0005-0000-0000-0000688C0000}"/>
    <cellStyle name="40% - Accent5 9" xfId="702" xr:uid="{00000000-0005-0000-0000-0000698C0000}"/>
    <cellStyle name="40% - Accent5 9 2" xfId="765" xr:uid="{00000000-0005-0000-0000-00006A8C0000}"/>
    <cellStyle name="40% - Accent5 9 2 2" xfId="3172" xr:uid="{00000000-0005-0000-0000-00006B8C0000}"/>
    <cellStyle name="40% - Accent5 9 2 2 2" xfId="6144" xr:uid="{00000000-0005-0000-0000-00006C8C0000}"/>
    <cellStyle name="40% - Accent5 9 2 2 2 2" xfId="11794" xr:uid="{00000000-0005-0000-0000-00006D8C0000}"/>
    <cellStyle name="40% - Accent5 9 2 2 2 2 2" xfId="23095" xr:uid="{00000000-0005-0000-0000-00006E8C0000}"/>
    <cellStyle name="40% - Accent5 9 2 2 2 2 2 2" xfId="45697" xr:uid="{00000000-0005-0000-0000-00006F8C0000}"/>
    <cellStyle name="40% - Accent5 9 2 2 2 2 3" xfId="34396" xr:uid="{00000000-0005-0000-0000-0000708C0000}"/>
    <cellStyle name="40% - Accent5 9 2 2 2 3" xfId="17445" xr:uid="{00000000-0005-0000-0000-0000718C0000}"/>
    <cellStyle name="40% - Accent5 9 2 2 2 3 2" xfId="40047" xr:uid="{00000000-0005-0000-0000-0000728C0000}"/>
    <cellStyle name="40% - Accent5 9 2 2 2 4" xfId="28746" xr:uid="{00000000-0005-0000-0000-0000738C0000}"/>
    <cellStyle name="40% - Accent5 9 2 2 3" xfId="8962" xr:uid="{00000000-0005-0000-0000-0000748C0000}"/>
    <cellStyle name="40% - Accent5 9 2 2 3 2" xfId="20263" xr:uid="{00000000-0005-0000-0000-0000758C0000}"/>
    <cellStyle name="40% - Accent5 9 2 2 3 2 2" xfId="42865" xr:uid="{00000000-0005-0000-0000-0000768C0000}"/>
    <cellStyle name="40% - Accent5 9 2 2 3 3" xfId="31564" xr:uid="{00000000-0005-0000-0000-0000778C0000}"/>
    <cellStyle name="40% - Accent5 9 2 2 4" xfId="14613" xr:uid="{00000000-0005-0000-0000-0000788C0000}"/>
    <cellStyle name="40% - Accent5 9 2 2 4 2" xfId="37215" xr:uid="{00000000-0005-0000-0000-0000798C0000}"/>
    <cellStyle name="40% - Accent5 9 2 2 5" xfId="25914" xr:uid="{00000000-0005-0000-0000-00007A8C0000}"/>
    <cellStyle name="40% - Accent5 9 2 3" xfId="4910" xr:uid="{00000000-0005-0000-0000-00007B8C0000}"/>
    <cellStyle name="40% - Accent5 9 2 3 2" xfId="10560" xr:uid="{00000000-0005-0000-0000-00007C8C0000}"/>
    <cellStyle name="40% - Accent5 9 2 3 2 2" xfId="21861" xr:uid="{00000000-0005-0000-0000-00007D8C0000}"/>
    <cellStyle name="40% - Accent5 9 2 3 2 2 2" xfId="44463" xr:uid="{00000000-0005-0000-0000-00007E8C0000}"/>
    <cellStyle name="40% - Accent5 9 2 3 2 3" xfId="33162" xr:uid="{00000000-0005-0000-0000-00007F8C0000}"/>
    <cellStyle name="40% - Accent5 9 2 3 3" xfId="16211" xr:uid="{00000000-0005-0000-0000-0000808C0000}"/>
    <cellStyle name="40% - Accent5 9 2 3 3 2" xfId="38813" xr:uid="{00000000-0005-0000-0000-0000818C0000}"/>
    <cellStyle name="40% - Accent5 9 2 3 4" xfId="27512" xr:uid="{00000000-0005-0000-0000-0000828C0000}"/>
    <cellStyle name="40% - Accent5 9 2 4" xfId="6786" xr:uid="{00000000-0005-0000-0000-0000838C0000}"/>
    <cellStyle name="40% - Accent5 9 2 4 2" xfId="18087" xr:uid="{00000000-0005-0000-0000-0000848C0000}"/>
    <cellStyle name="40% - Accent5 9 2 4 2 2" xfId="40689" xr:uid="{00000000-0005-0000-0000-0000858C0000}"/>
    <cellStyle name="40% - Accent5 9 2 4 3" xfId="29388" xr:uid="{00000000-0005-0000-0000-0000868C0000}"/>
    <cellStyle name="40% - Accent5 9 2 5" xfId="12437" xr:uid="{00000000-0005-0000-0000-0000878C0000}"/>
    <cellStyle name="40% - Accent5 9 2 5 2" xfId="35039" xr:uid="{00000000-0005-0000-0000-0000888C0000}"/>
    <cellStyle name="40% - Accent5 9 2 6" xfId="23738" xr:uid="{00000000-0005-0000-0000-0000898C0000}"/>
    <cellStyle name="40% - Accent5 9 3" xfId="2031" xr:uid="{00000000-0005-0000-0000-00008A8C0000}"/>
    <cellStyle name="40% - Accent5 9 3 2" xfId="3817" xr:uid="{00000000-0005-0000-0000-00008B8C0000}"/>
    <cellStyle name="40% - Accent5 9 3 2 2" xfId="9527" xr:uid="{00000000-0005-0000-0000-00008C8C0000}"/>
    <cellStyle name="40% - Accent5 9 3 2 2 2" xfId="20828" xr:uid="{00000000-0005-0000-0000-00008D8C0000}"/>
    <cellStyle name="40% - Accent5 9 3 2 2 2 2" xfId="43430" xr:uid="{00000000-0005-0000-0000-00008E8C0000}"/>
    <cellStyle name="40% - Accent5 9 3 2 2 3" xfId="32129" xr:uid="{00000000-0005-0000-0000-00008F8C0000}"/>
    <cellStyle name="40% - Accent5 9 3 2 3" xfId="15178" xr:uid="{00000000-0005-0000-0000-0000908C0000}"/>
    <cellStyle name="40% - Accent5 9 3 2 3 2" xfId="37780" xr:uid="{00000000-0005-0000-0000-0000918C0000}"/>
    <cellStyle name="40% - Accent5 9 3 2 4" xfId="26479" xr:uid="{00000000-0005-0000-0000-0000928C0000}"/>
    <cellStyle name="40% - Accent5 9 3 3" xfId="5520" xr:uid="{00000000-0005-0000-0000-0000938C0000}"/>
    <cellStyle name="40% - Accent5 9 3 3 2" xfId="11170" xr:uid="{00000000-0005-0000-0000-0000948C0000}"/>
    <cellStyle name="40% - Accent5 9 3 3 2 2" xfId="22471" xr:uid="{00000000-0005-0000-0000-0000958C0000}"/>
    <cellStyle name="40% - Accent5 9 3 3 2 2 2" xfId="45073" xr:uid="{00000000-0005-0000-0000-0000968C0000}"/>
    <cellStyle name="40% - Accent5 9 3 3 2 3" xfId="33772" xr:uid="{00000000-0005-0000-0000-0000978C0000}"/>
    <cellStyle name="40% - Accent5 9 3 3 3" xfId="16821" xr:uid="{00000000-0005-0000-0000-0000988C0000}"/>
    <cellStyle name="40% - Accent5 9 3 3 3 2" xfId="39423" xr:uid="{00000000-0005-0000-0000-0000998C0000}"/>
    <cellStyle name="40% - Accent5 9 3 3 4" xfId="28122" xr:uid="{00000000-0005-0000-0000-00009A8C0000}"/>
    <cellStyle name="40% - Accent5 9 3 4" xfId="7887" xr:uid="{00000000-0005-0000-0000-00009B8C0000}"/>
    <cellStyle name="40% - Accent5 9 3 4 2" xfId="19188" xr:uid="{00000000-0005-0000-0000-00009C8C0000}"/>
    <cellStyle name="40% - Accent5 9 3 4 2 2" xfId="41790" xr:uid="{00000000-0005-0000-0000-00009D8C0000}"/>
    <cellStyle name="40% - Accent5 9 3 4 3" xfId="30489" xr:uid="{00000000-0005-0000-0000-00009E8C0000}"/>
    <cellStyle name="40% - Accent5 9 3 5" xfId="13538" xr:uid="{00000000-0005-0000-0000-00009F8C0000}"/>
    <cellStyle name="40% - Accent5 9 3 5 2" xfId="36140" xr:uid="{00000000-0005-0000-0000-0000A08C0000}"/>
    <cellStyle name="40% - Accent5 9 3 6" xfId="24839" xr:uid="{00000000-0005-0000-0000-0000A18C0000}"/>
    <cellStyle name="40% - Accent5 9 4" xfId="2501" xr:uid="{00000000-0005-0000-0000-0000A28C0000}"/>
    <cellStyle name="40% - Accent5 9 4 2" xfId="8337" xr:uid="{00000000-0005-0000-0000-0000A38C0000}"/>
    <cellStyle name="40% - Accent5 9 4 2 2" xfId="19638" xr:uid="{00000000-0005-0000-0000-0000A48C0000}"/>
    <cellStyle name="40% - Accent5 9 4 2 2 2" xfId="42240" xr:uid="{00000000-0005-0000-0000-0000A58C0000}"/>
    <cellStyle name="40% - Accent5 9 4 2 3" xfId="30939" xr:uid="{00000000-0005-0000-0000-0000A68C0000}"/>
    <cellStyle name="40% - Accent5 9 4 3" xfId="13988" xr:uid="{00000000-0005-0000-0000-0000A78C0000}"/>
    <cellStyle name="40% - Accent5 9 4 3 2" xfId="36590" xr:uid="{00000000-0005-0000-0000-0000A88C0000}"/>
    <cellStyle name="40% - Accent5 9 4 4" xfId="25289" xr:uid="{00000000-0005-0000-0000-0000A98C0000}"/>
    <cellStyle name="40% - Accent5 9 5" xfId="4286" xr:uid="{00000000-0005-0000-0000-0000AA8C0000}"/>
    <cellStyle name="40% - Accent5 9 5 2" xfId="9936" xr:uid="{00000000-0005-0000-0000-0000AB8C0000}"/>
    <cellStyle name="40% - Accent5 9 5 2 2" xfId="21237" xr:uid="{00000000-0005-0000-0000-0000AC8C0000}"/>
    <cellStyle name="40% - Accent5 9 5 2 2 2" xfId="43839" xr:uid="{00000000-0005-0000-0000-0000AD8C0000}"/>
    <cellStyle name="40% - Accent5 9 5 2 3" xfId="32538" xr:uid="{00000000-0005-0000-0000-0000AE8C0000}"/>
    <cellStyle name="40% - Accent5 9 5 3" xfId="15587" xr:uid="{00000000-0005-0000-0000-0000AF8C0000}"/>
    <cellStyle name="40% - Accent5 9 5 3 2" xfId="38189" xr:uid="{00000000-0005-0000-0000-0000B08C0000}"/>
    <cellStyle name="40% - Accent5 9 5 4" xfId="26888" xr:uid="{00000000-0005-0000-0000-0000B18C0000}"/>
    <cellStyle name="40% - Accent5 9 6" xfId="6765" xr:uid="{00000000-0005-0000-0000-0000B28C0000}"/>
    <cellStyle name="40% - Accent5 9 6 2" xfId="18066" xr:uid="{00000000-0005-0000-0000-0000B38C0000}"/>
    <cellStyle name="40% - Accent5 9 6 2 2" xfId="40668" xr:uid="{00000000-0005-0000-0000-0000B48C0000}"/>
    <cellStyle name="40% - Accent5 9 6 3" xfId="29367" xr:uid="{00000000-0005-0000-0000-0000B58C0000}"/>
    <cellStyle name="40% - Accent5 9 7" xfId="12416" xr:uid="{00000000-0005-0000-0000-0000B68C0000}"/>
    <cellStyle name="40% - Accent5 9 7 2" xfId="35018" xr:uid="{00000000-0005-0000-0000-0000B78C0000}"/>
    <cellStyle name="40% - Accent5 9 8" xfId="23717" xr:uid="{00000000-0005-0000-0000-0000B88C0000}"/>
    <cellStyle name="40% - Accent6" xfId="40" builtinId="51" customBuiltin="1"/>
    <cellStyle name="40% - Accent6 10" xfId="1505" xr:uid="{00000000-0005-0000-0000-0000BA8C0000}"/>
    <cellStyle name="40% - Accent6 10 2" xfId="2032" xr:uid="{00000000-0005-0000-0000-0000BB8C0000}"/>
    <cellStyle name="40% - Accent6 10 2 2" xfId="3469" xr:uid="{00000000-0005-0000-0000-0000BC8C0000}"/>
    <cellStyle name="40% - Accent6 10 2 2 2" xfId="6441" xr:uid="{00000000-0005-0000-0000-0000BD8C0000}"/>
    <cellStyle name="40% - Accent6 10 2 2 2 2" xfId="12091" xr:uid="{00000000-0005-0000-0000-0000BE8C0000}"/>
    <cellStyle name="40% - Accent6 10 2 2 2 2 2" xfId="23392" xr:uid="{00000000-0005-0000-0000-0000BF8C0000}"/>
    <cellStyle name="40% - Accent6 10 2 2 2 2 2 2" xfId="45994" xr:uid="{00000000-0005-0000-0000-0000C08C0000}"/>
    <cellStyle name="40% - Accent6 10 2 2 2 2 3" xfId="34693" xr:uid="{00000000-0005-0000-0000-0000C18C0000}"/>
    <cellStyle name="40% - Accent6 10 2 2 2 3" xfId="17742" xr:uid="{00000000-0005-0000-0000-0000C28C0000}"/>
    <cellStyle name="40% - Accent6 10 2 2 2 3 2" xfId="40344" xr:uid="{00000000-0005-0000-0000-0000C38C0000}"/>
    <cellStyle name="40% - Accent6 10 2 2 2 4" xfId="29043" xr:uid="{00000000-0005-0000-0000-0000C48C0000}"/>
    <cellStyle name="40% - Accent6 10 2 2 3" xfId="9259" xr:uid="{00000000-0005-0000-0000-0000C58C0000}"/>
    <cellStyle name="40% - Accent6 10 2 2 3 2" xfId="20560" xr:uid="{00000000-0005-0000-0000-0000C68C0000}"/>
    <cellStyle name="40% - Accent6 10 2 2 3 2 2" xfId="43162" xr:uid="{00000000-0005-0000-0000-0000C78C0000}"/>
    <cellStyle name="40% - Accent6 10 2 2 3 3" xfId="31861" xr:uid="{00000000-0005-0000-0000-0000C88C0000}"/>
    <cellStyle name="40% - Accent6 10 2 2 4" xfId="14910" xr:uid="{00000000-0005-0000-0000-0000C98C0000}"/>
    <cellStyle name="40% - Accent6 10 2 2 4 2" xfId="37512" xr:uid="{00000000-0005-0000-0000-0000CA8C0000}"/>
    <cellStyle name="40% - Accent6 10 2 2 5" xfId="26211" xr:uid="{00000000-0005-0000-0000-0000CB8C0000}"/>
    <cellStyle name="40% - Accent6 10 2 3" xfId="5207" xr:uid="{00000000-0005-0000-0000-0000CC8C0000}"/>
    <cellStyle name="40% - Accent6 10 2 3 2" xfId="10857" xr:uid="{00000000-0005-0000-0000-0000CD8C0000}"/>
    <cellStyle name="40% - Accent6 10 2 3 2 2" xfId="22158" xr:uid="{00000000-0005-0000-0000-0000CE8C0000}"/>
    <cellStyle name="40% - Accent6 10 2 3 2 2 2" xfId="44760" xr:uid="{00000000-0005-0000-0000-0000CF8C0000}"/>
    <cellStyle name="40% - Accent6 10 2 3 2 3" xfId="33459" xr:uid="{00000000-0005-0000-0000-0000D08C0000}"/>
    <cellStyle name="40% - Accent6 10 2 3 3" xfId="16508" xr:uid="{00000000-0005-0000-0000-0000D18C0000}"/>
    <cellStyle name="40% - Accent6 10 2 3 3 2" xfId="39110" xr:uid="{00000000-0005-0000-0000-0000D28C0000}"/>
    <cellStyle name="40% - Accent6 10 2 3 4" xfId="27809" xr:uid="{00000000-0005-0000-0000-0000D38C0000}"/>
    <cellStyle name="40% - Accent6 10 2 4" xfId="7888" xr:uid="{00000000-0005-0000-0000-0000D48C0000}"/>
    <cellStyle name="40% - Accent6 10 2 4 2" xfId="19189" xr:uid="{00000000-0005-0000-0000-0000D58C0000}"/>
    <cellStyle name="40% - Accent6 10 2 4 2 2" xfId="41791" xr:uid="{00000000-0005-0000-0000-0000D68C0000}"/>
    <cellStyle name="40% - Accent6 10 2 4 3" xfId="30490" xr:uid="{00000000-0005-0000-0000-0000D78C0000}"/>
    <cellStyle name="40% - Accent6 10 2 5" xfId="13539" xr:uid="{00000000-0005-0000-0000-0000D88C0000}"/>
    <cellStyle name="40% - Accent6 10 2 5 2" xfId="36141" xr:uid="{00000000-0005-0000-0000-0000D98C0000}"/>
    <cellStyle name="40% - Accent6 10 2 6" xfId="24840" xr:uid="{00000000-0005-0000-0000-0000DA8C0000}"/>
    <cellStyle name="40% - Accent6 10 3" xfId="2800" xr:uid="{00000000-0005-0000-0000-0000DB8C0000}"/>
    <cellStyle name="40% - Accent6 10 3 2" xfId="5817" xr:uid="{00000000-0005-0000-0000-0000DC8C0000}"/>
    <cellStyle name="40% - Accent6 10 3 2 2" xfId="11467" xr:uid="{00000000-0005-0000-0000-0000DD8C0000}"/>
    <cellStyle name="40% - Accent6 10 3 2 2 2" xfId="22768" xr:uid="{00000000-0005-0000-0000-0000DE8C0000}"/>
    <cellStyle name="40% - Accent6 10 3 2 2 2 2" xfId="45370" xr:uid="{00000000-0005-0000-0000-0000DF8C0000}"/>
    <cellStyle name="40% - Accent6 10 3 2 2 3" xfId="34069" xr:uid="{00000000-0005-0000-0000-0000E08C0000}"/>
    <cellStyle name="40% - Accent6 10 3 2 3" xfId="17118" xr:uid="{00000000-0005-0000-0000-0000E18C0000}"/>
    <cellStyle name="40% - Accent6 10 3 2 3 2" xfId="39720" xr:uid="{00000000-0005-0000-0000-0000E28C0000}"/>
    <cellStyle name="40% - Accent6 10 3 2 4" xfId="28419" xr:uid="{00000000-0005-0000-0000-0000E38C0000}"/>
    <cellStyle name="40% - Accent6 10 3 3" xfId="8634" xr:uid="{00000000-0005-0000-0000-0000E48C0000}"/>
    <cellStyle name="40% - Accent6 10 3 3 2" xfId="19935" xr:uid="{00000000-0005-0000-0000-0000E58C0000}"/>
    <cellStyle name="40% - Accent6 10 3 3 2 2" xfId="42537" xr:uid="{00000000-0005-0000-0000-0000E68C0000}"/>
    <cellStyle name="40% - Accent6 10 3 3 3" xfId="31236" xr:uid="{00000000-0005-0000-0000-0000E78C0000}"/>
    <cellStyle name="40% - Accent6 10 3 4" xfId="14285" xr:uid="{00000000-0005-0000-0000-0000E88C0000}"/>
    <cellStyle name="40% - Accent6 10 3 4 2" xfId="36887" xr:uid="{00000000-0005-0000-0000-0000E98C0000}"/>
    <cellStyle name="40% - Accent6 10 3 5" xfId="25586" xr:uid="{00000000-0005-0000-0000-0000EA8C0000}"/>
    <cellStyle name="40% - Accent6 10 4" xfId="4583" xr:uid="{00000000-0005-0000-0000-0000EB8C0000}"/>
    <cellStyle name="40% - Accent6 10 4 2" xfId="10233" xr:uid="{00000000-0005-0000-0000-0000EC8C0000}"/>
    <cellStyle name="40% - Accent6 10 4 2 2" xfId="21534" xr:uid="{00000000-0005-0000-0000-0000ED8C0000}"/>
    <cellStyle name="40% - Accent6 10 4 2 2 2" xfId="44136" xr:uid="{00000000-0005-0000-0000-0000EE8C0000}"/>
    <cellStyle name="40% - Accent6 10 4 2 3" xfId="32835" xr:uid="{00000000-0005-0000-0000-0000EF8C0000}"/>
    <cellStyle name="40% - Accent6 10 4 3" xfId="15884" xr:uid="{00000000-0005-0000-0000-0000F08C0000}"/>
    <cellStyle name="40% - Accent6 10 4 3 2" xfId="38486" xr:uid="{00000000-0005-0000-0000-0000F18C0000}"/>
    <cellStyle name="40% - Accent6 10 4 4" xfId="27185" xr:uid="{00000000-0005-0000-0000-0000F28C0000}"/>
    <cellStyle name="40% - Accent6 10 5" xfId="7392" xr:uid="{00000000-0005-0000-0000-0000F38C0000}"/>
    <cellStyle name="40% - Accent6 10 5 2" xfId="18693" xr:uid="{00000000-0005-0000-0000-0000F48C0000}"/>
    <cellStyle name="40% - Accent6 10 5 2 2" xfId="41295" xr:uid="{00000000-0005-0000-0000-0000F58C0000}"/>
    <cellStyle name="40% - Accent6 10 5 3" xfId="29994" xr:uid="{00000000-0005-0000-0000-0000F68C0000}"/>
    <cellStyle name="40% - Accent6 10 6" xfId="13043" xr:uid="{00000000-0005-0000-0000-0000F78C0000}"/>
    <cellStyle name="40% - Accent6 10 6 2" xfId="35645" xr:uid="{00000000-0005-0000-0000-0000F88C0000}"/>
    <cellStyle name="40% - Accent6 10 7" xfId="24344" xr:uid="{00000000-0005-0000-0000-0000F98C0000}"/>
    <cellStyle name="40% - Accent6 11" xfId="1486" xr:uid="{00000000-0005-0000-0000-0000FA8C0000}"/>
    <cellStyle name="40% - Accent6 11 2" xfId="2033" xr:uid="{00000000-0005-0000-0000-0000FB8C0000}"/>
    <cellStyle name="40% - Accent6 11 2 2" xfId="3818" xr:uid="{00000000-0005-0000-0000-0000FC8C0000}"/>
    <cellStyle name="40% - Accent6 11 2 2 2" xfId="9528" xr:uid="{00000000-0005-0000-0000-0000FD8C0000}"/>
    <cellStyle name="40% - Accent6 11 2 2 2 2" xfId="20829" xr:uid="{00000000-0005-0000-0000-0000FE8C0000}"/>
    <cellStyle name="40% - Accent6 11 2 2 2 2 2" xfId="43431" xr:uid="{00000000-0005-0000-0000-0000FF8C0000}"/>
    <cellStyle name="40% - Accent6 11 2 2 2 3" xfId="32130" xr:uid="{00000000-0005-0000-0000-0000008D0000}"/>
    <cellStyle name="40% - Accent6 11 2 2 3" xfId="15179" xr:uid="{00000000-0005-0000-0000-0000018D0000}"/>
    <cellStyle name="40% - Accent6 11 2 2 3 2" xfId="37781" xr:uid="{00000000-0005-0000-0000-0000028D0000}"/>
    <cellStyle name="40% - Accent6 11 2 2 4" xfId="26480" xr:uid="{00000000-0005-0000-0000-0000038D0000}"/>
    <cellStyle name="40% - Accent6 11 2 3" xfId="7889" xr:uid="{00000000-0005-0000-0000-0000048D0000}"/>
    <cellStyle name="40% - Accent6 11 2 3 2" xfId="19190" xr:uid="{00000000-0005-0000-0000-0000058D0000}"/>
    <cellStyle name="40% - Accent6 11 2 3 2 2" xfId="41792" xr:uid="{00000000-0005-0000-0000-0000068D0000}"/>
    <cellStyle name="40% - Accent6 11 2 3 3" xfId="30491" xr:uid="{00000000-0005-0000-0000-0000078D0000}"/>
    <cellStyle name="40% - Accent6 11 2 4" xfId="13540" xr:uid="{00000000-0005-0000-0000-0000088D0000}"/>
    <cellStyle name="40% - Accent6 11 2 4 2" xfId="36142" xr:uid="{00000000-0005-0000-0000-0000098D0000}"/>
    <cellStyle name="40% - Accent6 11 2 5" xfId="24841" xr:uid="{00000000-0005-0000-0000-00000A8D0000}"/>
    <cellStyle name="40% - Accent6 11 3" xfId="2185" xr:uid="{00000000-0005-0000-0000-00000B8D0000}"/>
    <cellStyle name="40% - Accent6 11 3 2" xfId="8029" xr:uid="{00000000-0005-0000-0000-00000C8D0000}"/>
    <cellStyle name="40% - Accent6 11 3 2 2" xfId="19330" xr:uid="{00000000-0005-0000-0000-00000D8D0000}"/>
    <cellStyle name="40% - Accent6 11 3 2 2 2" xfId="41932" xr:uid="{00000000-0005-0000-0000-00000E8D0000}"/>
    <cellStyle name="40% - Accent6 11 3 2 3" xfId="30631" xr:uid="{00000000-0005-0000-0000-00000F8D0000}"/>
    <cellStyle name="40% - Accent6 11 3 3" xfId="13680" xr:uid="{00000000-0005-0000-0000-0000108D0000}"/>
    <cellStyle name="40% - Accent6 11 3 3 2" xfId="36282" xr:uid="{00000000-0005-0000-0000-0000118D0000}"/>
    <cellStyle name="40% - Accent6 11 3 4" xfId="24981" xr:uid="{00000000-0005-0000-0000-0000128D0000}"/>
    <cellStyle name="40% - Accent6 11 4" xfId="3981" xr:uid="{00000000-0005-0000-0000-0000138D0000}"/>
    <cellStyle name="40% - Accent6 11 4 2" xfId="9631" xr:uid="{00000000-0005-0000-0000-0000148D0000}"/>
    <cellStyle name="40% - Accent6 11 4 2 2" xfId="20932" xr:uid="{00000000-0005-0000-0000-0000158D0000}"/>
    <cellStyle name="40% - Accent6 11 4 2 2 2" xfId="43534" xr:uid="{00000000-0005-0000-0000-0000168D0000}"/>
    <cellStyle name="40% - Accent6 11 4 2 3" xfId="32233" xr:uid="{00000000-0005-0000-0000-0000178D0000}"/>
    <cellStyle name="40% - Accent6 11 4 3" xfId="15282" xr:uid="{00000000-0005-0000-0000-0000188D0000}"/>
    <cellStyle name="40% - Accent6 11 4 3 2" xfId="37884" xr:uid="{00000000-0005-0000-0000-0000198D0000}"/>
    <cellStyle name="40% - Accent6 11 4 4" xfId="26583" xr:uid="{00000000-0005-0000-0000-00001A8D0000}"/>
    <cellStyle name="40% - Accent6 11 5" xfId="7388" xr:uid="{00000000-0005-0000-0000-00001B8D0000}"/>
    <cellStyle name="40% - Accent6 11 5 2" xfId="18689" xr:uid="{00000000-0005-0000-0000-00001C8D0000}"/>
    <cellStyle name="40% - Accent6 11 5 2 2" xfId="41291" xr:uid="{00000000-0005-0000-0000-00001D8D0000}"/>
    <cellStyle name="40% - Accent6 11 5 3" xfId="29990" xr:uid="{00000000-0005-0000-0000-00001E8D0000}"/>
    <cellStyle name="40% - Accent6 11 6" xfId="13039" xr:uid="{00000000-0005-0000-0000-00001F8D0000}"/>
    <cellStyle name="40% - Accent6 11 6 2" xfId="35641" xr:uid="{00000000-0005-0000-0000-0000208D0000}"/>
    <cellStyle name="40% - Accent6 11 7" xfId="24340" xr:uid="{00000000-0005-0000-0000-0000218D0000}"/>
    <cellStyle name="40% - Accent6 12" xfId="1530" xr:uid="{00000000-0005-0000-0000-0000228D0000}"/>
    <cellStyle name="40% - Accent6 12 2" xfId="3954" xr:uid="{00000000-0005-0000-0000-0000238D0000}"/>
    <cellStyle name="40% - Accent6 12 2 2" xfId="9616" xr:uid="{00000000-0005-0000-0000-0000248D0000}"/>
    <cellStyle name="40% - Accent6 12 2 2 2" xfId="20917" xr:uid="{00000000-0005-0000-0000-0000258D0000}"/>
    <cellStyle name="40% - Accent6 12 2 2 2 2" xfId="43519" xr:uid="{00000000-0005-0000-0000-0000268D0000}"/>
    <cellStyle name="40% - Accent6 12 2 2 3" xfId="32218" xr:uid="{00000000-0005-0000-0000-0000278D0000}"/>
    <cellStyle name="40% - Accent6 12 2 3" xfId="15267" xr:uid="{00000000-0005-0000-0000-0000288D0000}"/>
    <cellStyle name="40% - Accent6 12 2 3 2" xfId="37869" xr:uid="{00000000-0005-0000-0000-0000298D0000}"/>
    <cellStyle name="40% - Accent6 12 2 4" xfId="26568" xr:uid="{00000000-0005-0000-0000-00002A8D0000}"/>
    <cellStyle name="40% - Accent6 13" xfId="3489" xr:uid="{00000000-0005-0000-0000-00002B8D0000}"/>
    <cellStyle name="40% - Accent6 14" xfId="114" xr:uid="{00000000-0005-0000-0000-00002C8D0000}"/>
    <cellStyle name="40% - Accent6 2" xfId="57" xr:uid="{00000000-0005-0000-0000-00002D8D0000}"/>
    <cellStyle name="40% - Accent6 2 2" xfId="280" xr:uid="{00000000-0005-0000-0000-00002E8D0000}"/>
    <cellStyle name="40% - Accent6 2 2 10" xfId="23444" xr:uid="{00000000-0005-0000-0000-00002F8D0000}"/>
    <cellStyle name="40% - Accent6 2 2 2" xfId="593" xr:uid="{00000000-0005-0000-0000-0000308D0000}"/>
    <cellStyle name="40% - Accent6 2 2 2 2" xfId="1304" xr:uid="{00000000-0005-0000-0000-0000318D0000}"/>
    <cellStyle name="40% - Accent6 2 2 2 2 2" xfId="2036" xr:uid="{00000000-0005-0000-0000-0000328D0000}"/>
    <cellStyle name="40% - Accent6 2 2 2 2 2 2" xfId="3373" xr:uid="{00000000-0005-0000-0000-0000338D0000}"/>
    <cellStyle name="40% - Accent6 2 2 2 2 2 2 2" xfId="6345" xr:uid="{00000000-0005-0000-0000-0000348D0000}"/>
    <cellStyle name="40% - Accent6 2 2 2 2 2 2 2 2" xfId="11995" xr:uid="{00000000-0005-0000-0000-0000358D0000}"/>
    <cellStyle name="40% - Accent6 2 2 2 2 2 2 2 2 2" xfId="23296" xr:uid="{00000000-0005-0000-0000-0000368D0000}"/>
    <cellStyle name="40% - Accent6 2 2 2 2 2 2 2 2 2 2" xfId="45898" xr:uid="{00000000-0005-0000-0000-0000378D0000}"/>
    <cellStyle name="40% - Accent6 2 2 2 2 2 2 2 2 3" xfId="34597" xr:uid="{00000000-0005-0000-0000-0000388D0000}"/>
    <cellStyle name="40% - Accent6 2 2 2 2 2 2 2 3" xfId="17646" xr:uid="{00000000-0005-0000-0000-0000398D0000}"/>
    <cellStyle name="40% - Accent6 2 2 2 2 2 2 2 3 2" xfId="40248" xr:uid="{00000000-0005-0000-0000-00003A8D0000}"/>
    <cellStyle name="40% - Accent6 2 2 2 2 2 2 2 4" xfId="28947" xr:uid="{00000000-0005-0000-0000-00003B8D0000}"/>
    <cellStyle name="40% - Accent6 2 2 2 2 2 2 3" xfId="9163" xr:uid="{00000000-0005-0000-0000-00003C8D0000}"/>
    <cellStyle name="40% - Accent6 2 2 2 2 2 2 3 2" xfId="20464" xr:uid="{00000000-0005-0000-0000-00003D8D0000}"/>
    <cellStyle name="40% - Accent6 2 2 2 2 2 2 3 2 2" xfId="43066" xr:uid="{00000000-0005-0000-0000-00003E8D0000}"/>
    <cellStyle name="40% - Accent6 2 2 2 2 2 2 3 3" xfId="31765" xr:uid="{00000000-0005-0000-0000-00003F8D0000}"/>
    <cellStyle name="40% - Accent6 2 2 2 2 2 2 4" xfId="14814" xr:uid="{00000000-0005-0000-0000-0000408D0000}"/>
    <cellStyle name="40% - Accent6 2 2 2 2 2 2 4 2" xfId="37416" xr:uid="{00000000-0005-0000-0000-0000418D0000}"/>
    <cellStyle name="40% - Accent6 2 2 2 2 2 2 5" xfId="26115" xr:uid="{00000000-0005-0000-0000-0000428D0000}"/>
    <cellStyle name="40% - Accent6 2 2 2 2 2 3" xfId="5111" xr:uid="{00000000-0005-0000-0000-0000438D0000}"/>
    <cellStyle name="40% - Accent6 2 2 2 2 2 3 2" xfId="10761" xr:uid="{00000000-0005-0000-0000-0000448D0000}"/>
    <cellStyle name="40% - Accent6 2 2 2 2 2 3 2 2" xfId="22062" xr:uid="{00000000-0005-0000-0000-0000458D0000}"/>
    <cellStyle name="40% - Accent6 2 2 2 2 2 3 2 2 2" xfId="44664" xr:uid="{00000000-0005-0000-0000-0000468D0000}"/>
    <cellStyle name="40% - Accent6 2 2 2 2 2 3 2 3" xfId="33363" xr:uid="{00000000-0005-0000-0000-0000478D0000}"/>
    <cellStyle name="40% - Accent6 2 2 2 2 2 3 3" xfId="16412" xr:uid="{00000000-0005-0000-0000-0000488D0000}"/>
    <cellStyle name="40% - Accent6 2 2 2 2 2 3 3 2" xfId="39014" xr:uid="{00000000-0005-0000-0000-0000498D0000}"/>
    <cellStyle name="40% - Accent6 2 2 2 2 2 3 4" xfId="27713" xr:uid="{00000000-0005-0000-0000-00004A8D0000}"/>
    <cellStyle name="40% - Accent6 2 2 2 2 2 4" xfId="7892" xr:uid="{00000000-0005-0000-0000-00004B8D0000}"/>
    <cellStyle name="40% - Accent6 2 2 2 2 2 4 2" xfId="19193" xr:uid="{00000000-0005-0000-0000-00004C8D0000}"/>
    <cellStyle name="40% - Accent6 2 2 2 2 2 4 2 2" xfId="41795" xr:uid="{00000000-0005-0000-0000-00004D8D0000}"/>
    <cellStyle name="40% - Accent6 2 2 2 2 2 4 3" xfId="30494" xr:uid="{00000000-0005-0000-0000-00004E8D0000}"/>
    <cellStyle name="40% - Accent6 2 2 2 2 2 5" xfId="13543" xr:uid="{00000000-0005-0000-0000-00004F8D0000}"/>
    <cellStyle name="40% - Accent6 2 2 2 2 2 5 2" xfId="36145" xr:uid="{00000000-0005-0000-0000-0000508D0000}"/>
    <cellStyle name="40% - Accent6 2 2 2 2 2 6" xfId="24844" xr:uid="{00000000-0005-0000-0000-0000518D0000}"/>
    <cellStyle name="40% - Accent6 2 2 2 2 3" xfId="2702" xr:uid="{00000000-0005-0000-0000-0000528D0000}"/>
    <cellStyle name="40% - Accent6 2 2 2 2 3 2" xfId="5721" xr:uid="{00000000-0005-0000-0000-0000538D0000}"/>
    <cellStyle name="40% - Accent6 2 2 2 2 3 2 2" xfId="11371" xr:uid="{00000000-0005-0000-0000-0000548D0000}"/>
    <cellStyle name="40% - Accent6 2 2 2 2 3 2 2 2" xfId="22672" xr:uid="{00000000-0005-0000-0000-0000558D0000}"/>
    <cellStyle name="40% - Accent6 2 2 2 2 3 2 2 2 2" xfId="45274" xr:uid="{00000000-0005-0000-0000-0000568D0000}"/>
    <cellStyle name="40% - Accent6 2 2 2 2 3 2 2 3" xfId="33973" xr:uid="{00000000-0005-0000-0000-0000578D0000}"/>
    <cellStyle name="40% - Accent6 2 2 2 2 3 2 3" xfId="17022" xr:uid="{00000000-0005-0000-0000-0000588D0000}"/>
    <cellStyle name="40% - Accent6 2 2 2 2 3 2 3 2" xfId="39624" xr:uid="{00000000-0005-0000-0000-0000598D0000}"/>
    <cellStyle name="40% - Accent6 2 2 2 2 3 2 4" xfId="28323" xr:uid="{00000000-0005-0000-0000-00005A8D0000}"/>
    <cellStyle name="40% - Accent6 2 2 2 2 3 3" xfId="8538" xr:uid="{00000000-0005-0000-0000-00005B8D0000}"/>
    <cellStyle name="40% - Accent6 2 2 2 2 3 3 2" xfId="19839" xr:uid="{00000000-0005-0000-0000-00005C8D0000}"/>
    <cellStyle name="40% - Accent6 2 2 2 2 3 3 2 2" xfId="42441" xr:uid="{00000000-0005-0000-0000-00005D8D0000}"/>
    <cellStyle name="40% - Accent6 2 2 2 2 3 3 3" xfId="31140" xr:uid="{00000000-0005-0000-0000-00005E8D0000}"/>
    <cellStyle name="40% - Accent6 2 2 2 2 3 4" xfId="14189" xr:uid="{00000000-0005-0000-0000-00005F8D0000}"/>
    <cellStyle name="40% - Accent6 2 2 2 2 3 4 2" xfId="36791" xr:uid="{00000000-0005-0000-0000-0000608D0000}"/>
    <cellStyle name="40% - Accent6 2 2 2 2 3 5" xfId="25490" xr:uid="{00000000-0005-0000-0000-0000618D0000}"/>
    <cellStyle name="40% - Accent6 2 2 2 2 4" xfId="4487" xr:uid="{00000000-0005-0000-0000-0000628D0000}"/>
    <cellStyle name="40% - Accent6 2 2 2 2 4 2" xfId="10137" xr:uid="{00000000-0005-0000-0000-0000638D0000}"/>
    <cellStyle name="40% - Accent6 2 2 2 2 4 2 2" xfId="21438" xr:uid="{00000000-0005-0000-0000-0000648D0000}"/>
    <cellStyle name="40% - Accent6 2 2 2 2 4 2 2 2" xfId="44040" xr:uid="{00000000-0005-0000-0000-0000658D0000}"/>
    <cellStyle name="40% - Accent6 2 2 2 2 4 2 3" xfId="32739" xr:uid="{00000000-0005-0000-0000-0000668D0000}"/>
    <cellStyle name="40% - Accent6 2 2 2 2 4 3" xfId="15788" xr:uid="{00000000-0005-0000-0000-0000678D0000}"/>
    <cellStyle name="40% - Accent6 2 2 2 2 4 3 2" xfId="38390" xr:uid="{00000000-0005-0000-0000-0000688D0000}"/>
    <cellStyle name="40% - Accent6 2 2 2 2 4 4" xfId="27089" xr:uid="{00000000-0005-0000-0000-0000698D0000}"/>
    <cellStyle name="40% - Accent6 2 2 2 2 5" xfId="7283" xr:uid="{00000000-0005-0000-0000-00006A8D0000}"/>
    <cellStyle name="40% - Accent6 2 2 2 2 5 2" xfId="18584" xr:uid="{00000000-0005-0000-0000-00006B8D0000}"/>
    <cellStyle name="40% - Accent6 2 2 2 2 5 2 2" xfId="41186" xr:uid="{00000000-0005-0000-0000-00006C8D0000}"/>
    <cellStyle name="40% - Accent6 2 2 2 2 5 3" xfId="29885" xr:uid="{00000000-0005-0000-0000-00006D8D0000}"/>
    <cellStyle name="40% - Accent6 2 2 2 2 6" xfId="12934" xr:uid="{00000000-0005-0000-0000-00006E8D0000}"/>
    <cellStyle name="40% - Accent6 2 2 2 2 6 2" xfId="35536" xr:uid="{00000000-0005-0000-0000-00006F8D0000}"/>
    <cellStyle name="40% - Accent6 2 2 2 2 7" xfId="24235" xr:uid="{00000000-0005-0000-0000-0000708D0000}"/>
    <cellStyle name="40% - Accent6 2 2 2 3" xfId="1002" xr:uid="{00000000-0005-0000-0000-0000718D0000}"/>
    <cellStyle name="40% - Accent6 2 2 2 3 2" xfId="3065" xr:uid="{00000000-0005-0000-0000-0000728D0000}"/>
    <cellStyle name="40% - Accent6 2 2 2 3 2 2" xfId="6037" xr:uid="{00000000-0005-0000-0000-0000738D0000}"/>
    <cellStyle name="40% - Accent6 2 2 2 3 2 2 2" xfId="11687" xr:uid="{00000000-0005-0000-0000-0000748D0000}"/>
    <cellStyle name="40% - Accent6 2 2 2 3 2 2 2 2" xfId="22988" xr:uid="{00000000-0005-0000-0000-0000758D0000}"/>
    <cellStyle name="40% - Accent6 2 2 2 3 2 2 2 2 2" xfId="45590" xr:uid="{00000000-0005-0000-0000-0000768D0000}"/>
    <cellStyle name="40% - Accent6 2 2 2 3 2 2 2 3" xfId="34289" xr:uid="{00000000-0005-0000-0000-0000778D0000}"/>
    <cellStyle name="40% - Accent6 2 2 2 3 2 2 3" xfId="17338" xr:uid="{00000000-0005-0000-0000-0000788D0000}"/>
    <cellStyle name="40% - Accent6 2 2 2 3 2 2 3 2" xfId="39940" xr:uid="{00000000-0005-0000-0000-0000798D0000}"/>
    <cellStyle name="40% - Accent6 2 2 2 3 2 2 4" xfId="28639" xr:uid="{00000000-0005-0000-0000-00007A8D0000}"/>
    <cellStyle name="40% - Accent6 2 2 2 3 2 3" xfId="8855" xr:uid="{00000000-0005-0000-0000-00007B8D0000}"/>
    <cellStyle name="40% - Accent6 2 2 2 3 2 3 2" xfId="20156" xr:uid="{00000000-0005-0000-0000-00007C8D0000}"/>
    <cellStyle name="40% - Accent6 2 2 2 3 2 3 2 2" xfId="42758" xr:uid="{00000000-0005-0000-0000-00007D8D0000}"/>
    <cellStyle name="40% - Accent6 2 2 2 3 2 3 3" xfId="31457" xr:uid="{00000000-0005-0000-0000-00007E8D0000}"/>
    <cellStyle name="40% - Accent6 2 2 2 3 2 4" xfId="14506" xr:uid="{00000000-0005-0000-0000-00007F8D0000}"/>
    <cellStyle name="40% - Accent6 2 2 2 3 2 4 2" xfId="37108" xr:uid="{00000000-0005-0000-0000-0000808D0000}"/>
    <cellStyle name="40% - Accent6 2 2 2 3 2 5" xfId="25807" xr:uid="{00000000-0005-0000-0000-0000818D0000}"/>
    <cellStyle name="40% - Accent6 2 2 2 3 3" xfId="4803" xr:uid="{00000000-0005-0000-0000-0000828D0000}"/>
    <cellStyle name="40% - Accent6 2 2 2 3 3 2" xfId="10453" xr:uid="{00000000-0005-0000-0000-0000838D0000}"/>
    <cellStyle name="40% - Accent6 2 2 2 3 3 2 2" xfId="21754" xr:uid="{00000000-0005-0000-0000-0000848D0000}"/>
    <cellStyle name="40% - Accent6 2 2 2 3 3 2 2 2" xfId="44356" xr:uid="{00000000-0005-0000-0000-0000858D0000}"/>
    <cellStyle name="40% - Accent6 2 2 2 3 3 2 3" xfId="33055" xr:uid="{00000000-0005-0000-0000-0000868D0000}"/>
    <cellStyle name="40% - Accent6 2 2 2 3 3 3" xfId="16104" xr:uid="{00000000-0005-0000-0000-0000878D0000}"/>
    <cellStyle name="40% - Accent6 2 2 2 3 3 3 2" xfId="38706" xr:uid="{00000000-0005-0000-0000-0000888D0000}"/>
    <cellStyle name="40% - Accent6 2 2 2 3 3 4" xfId="27405" xr:uid="{00000000-0005-0000-0000-0000898D0000}"/>
    <cellStyle name="40% - Accent6 2 2 2 3 4" xfId="6990" xr:uid="{00000000-0005-0000-0000-00008A8D0000}"/>
    <cellStyle name="40% - Accent6 2 2 2 3 4 2" xfId="18291" xr:uid="{00000000-0005-0000-0000-00008B8D0000}"/>
    <cellStyle name="40% - Accent6 2 2 2 3 4 2 2" xfId="40893" xr:uid="{00000000-0005-0000-0000-00008C8D0000}"/>
    <cellStyle name="40% - Accent6 2 2 2 3 4 3" xfId="29592" xr:uid="{00000000-0005-0000-0000-00008D8D0000}"/>
    <cellStyle name="40% - Accent6 2 2 2 3 5" xfId="12641" xr:uid="{00000000-0005-0000-0000-00008E8D0000}"/>
    <cellStyle name="40% - Accent6 2 2 2 3 5 2" xfId="35243" xr:uid="{00000000-0005-0000-0000-00008F8D0000}"/>
    <cellStyle name="40% - Accent6 2 2 2 3 6" xfId="23942" xr:uid="{00000000-0005-0000-0000-0000908D0000}"/>
    <cellStyle name="40% - Accent6 2 2 2 4" xfId="2035" xr:uid="{00000000-0005-0000-0000-0000918D0000}"/>
    <cellStyle name="40% - Accent6 2 2 2 4 2" xfId="3820" xr:uid="{00000000-0005-0000-0000-0000928D0000}"/>
    <cellStyle name="40% - Accent6 2 2 2 4 2 2" xfId="9530" xr:uid="{00000000-0005-0000-0000-0000938D0000}"/>
    <cellStyle name="40% - Accent6 2 2 2 4 2 2 2" xfId="20831" xr:uid="{00000000-0005-0000-0000-0000948D0000}"/>
    <cellStyle name="40% - Accent6 2 2 2 4 2 2 2 2" xfId="43433" xr:uid="{00000000-0005-0000-0000-0000958D0000}"/>
    <cellStyle name="40% - Accent6 2 2 2 4 2 2 3" xfId="32132" xr:uid="{00000000-0005-0000-0000-0000968D0000}"/>
    <cellStyle name="40% - Accent6 2 2 2 4 2 3" xfId="15181" xr:uid="{00000000-0005-0000-0000-0000978D0000}"/>
    <cellStyle name="40% - Accent6 2 2 2 4 2 3 2" xfId="37783" xr:uid="{00000000-0005-0000-0000-0000988D0000}"/>
    <cellStyle name="40% - Accent6 2 2 2 4 2 4" xfId="26482" xr:uid="{00000000-0005-0000-0000-0000998D0000}"/>
    <cellStyle name="40% - Accent6 2 2 2 4 3" xfId="5413" xr:uid="{00000000-0005-0000-0000-00009A8D0000}"/>
    <cellStyle name="40% - Accent6 2 2 2 4 3 2" xfId="11063" xr:uid="{00000000-0005-0000-0000-00009B8D0000}"/>
    <cellStyle name="40% - Accent6 2 2 2 4 3 2 2" xfId="22364" xr:uid="{00000000-0005-0000-0000-00009C8D0000}"/>
    <cellStyle name="40% - Accent6 2 2 2 4 3 2 2 2" xfId="44966" xr:uid="{00000000-0005-0000-0000-00009D8D0000}"/>
    <cellStyle name="40% - Accent6 2 2 2 4 3 2 3" xfId="33665" xr:uid="{00000000-0005-0000-0000-00009E8D0000}"/>
    <cellStyle name="40% - Accent6 2 2 2 4 3 3" xfId="16714" xr:uid="{00000000-0005-0000-0000-00009F8D0000}"/>
    <cellStyle name="40% - Accent6 2 2 2 4 3 3 2" xfId="39316" xr:uid="{00000000-0005-0000-0000-0000A08D0000}"/>
    <cellStyle name="40% - Accent6 2 2 2 4 3 4" xfId="28015" xr:uid="{00000000-0005-0000-0000-0000A18D0000}"/>
    <cellStyle name="40% - Accent6 2 2 2 4 4" xfId="7891" xr:uid="{00000000-0005-0000-0000-0000A28D0000}"/>
    <cellStyle name="40% - Accent6 2 2 2 4 4 2" xfId="19192" xr:uid="{00000000-0005-0000-0000-0000A38D0000}"/>
    <cellStyle name="40% - Accent6 2 2 2 4 4 2 2" xfId="41794" xr:uid="{00000000-0005-0000-0000-0000A48D0000}"/>
    <cellStyle name="40% - Accent6 2 2 2 4 4 3" xfId="30493" xr:uid="{00000000-0005-0000-0000-0000A58D0000}"/>
    <cellStyle name="40% - Accent6 2 2 2 4 5" xfId="13542" xr:uid="{00000000-0005-0000-0000-0000A68D0000}"/>
    <cellStyle name="40% - Accent6 2 2 2 4 5 2" xfId="36144" xr:uid="{00000000-0005-0000-0000-0000A78D0000}"/>
    <cellStyle name="40% - Accent6 2 2 2 4 6" xfId="24843" xr:uid="{00000000-0005-0000-0000-0000A88D0000}"/>
    <cellStyle name="40% - Accent6 2 2 2 5" xfId="2394" xr:uid="{00000000-0005-0000-0000-0000A98D0000}"/>
    <cellStyle name="40% - Accent6 2 2 2 5 2" xfId="8230" xr:uid="{00000000-0005-0000-0000-0000AA8D0000}"/>
    <cellStyle name="40% - Accent6 2 2 2 5 2 2" xfId="19531" xr:uid="{00000000-0005-0000-0000-0000AB8D0000}"/>
    <cellStyle name="40% - Accent6 2 2 2 5 2 2 2" xfId="42133" xr:uid="{00000000-0005-0000-0000-0000AC8D0000}"/>
    <cellStyle name="40% - Accent6 2 2 2 5 2 3" xfId="30832" xr:uid="{00000000-0005-0000-0000-0000AD8D0000}"/>
    <cellStyle name="40% - Accent6 2 2 2 5 3" xfId="13881" xr:uid="{00000000-0005-0000-0000-0000AE8D0000}"/>
    <cellStyle name="40% - Accent6 2 2 2 5 3 2" xfId="36483" xr:uid="{00000000-0005-0000-0000-0000AF8D0000}"/>
    <cellStyle name="40% - Accent6 2 2 2 5 4" xfId="25182" xr:uid="{00000000-0005-0000-0000-0000B08D0000}"/>
    <cellStyle name="40% - Accent6 2 2 2 6" xfId="4179" xr:uid="{00000000-0005-0000-0000-0000B18D0000}"/>
    <cellStyle name="40% - Accent6 2 2 2 6 2" xfId="9829" xr:uid="{00000000-0005-0000-0000-0000B28D0000}"/>
    <cellStyle name="40% - Accent6 2 2 2 6 2 2" xfId="21130" xr:uid="{00000000-0005-0000-0000-0000B38D0000}"/>
    <cellStyle name="40% - Accent6 2 2 2 6 2 2 2" xfId="43732" xr:uid="{00000000-0005-0000-0000-0000B48D0000}"/>
    <cellStyle name="40% - Accent6 2 2 2 6 2 3" xfId="32431" xr:uid="{00000000-0005-0000-0000-0000B58D0000}"/>
    <cellStyle name="40% - Accent6 2 2 2 6 3" xfId="15480" xr:uid="{00000000-0005-0000-0000-0000B68D0000}"/>
    <cellStyle name="40% - Accent6 2 2 2 6 3 2" xfId="38082" xr:uid="{00000000-0005-0000-0000-0000B78D0000}"/>
    <cellStyle name="40% - Accent6 2 2 2 6 4" xfId="26781" xr:uid="{00000000-0005-0000-0000-0000B88D0000}"/>
    <cellStyle name="40% - Accent6 2 2 2 7" xfId="6659" xr:uid="{00000000-0005-0000-0000-0000B98D0000}"/>
    <cellStyle name="40% - Accent6 2 2 2 7 2" xfId="17960" xr:uid="{00000000-0005-0000-0000-0000BA8D0000}"/>
    <cellStyle name="40% - Accent6 2 2 2 7 2 2" xfId="40562" xr:uid="{00000000-0005-0000-0000-0000BB8D0000}"/>
    <cellStyle name="40% - Accent6 2 2 2 7 3" xfId="29261" xr:uid="{00000000-0005-0000-0000-0000BC8D0000}"/>
    <cellStyle name="40% - Accent6 2 2 2 8" xfId="12310" xr:uid="{00000000-0005-0000-0000-0000BD8D0000}"/>
    <cellStyle name="40% - Accent6 2 2 2 8 2" xfId="34912" xr:uid="{00000000-0005-0000-0000-0000BE8D0000}"/>
    <cellStyle name="40% - Accent6 2 2 2 9" xfId="23611" xr:uid="{00000000-0005-0000-0000-0000BF8D0000}"/>
    <cellStyle name="40% - Accent6 2 2 3" xfId="1166" xr:uid="{00000000-0005-0000-0000-0000C08D0000}"/>
    <cellStyle name="40% - Accent6 2 2 3 2" xfId="2037" xr:uid="{00000000-0005-0000-0000-0000C18D0000}"/>
    <cellStyle name="40% - Accent6 2 2 3 2 2" xfId="3234" xr:uid="{00000000-0005-0000-0000-0000C28D0000}"/>
    <cellStyle name="40% - Accent6 2 2 3 2 2 2" xfId="6206" xr:uid="{00000000-0005-0000-0000-0000C38D0000}"/>
    <cellStyle name="40% - Accent6 2 2 3 2 2 2 2" xfId="11856" xr:uid="{00000000-0005-0000-0000-0000C48D0000}"/>
    <cellStyle name="40% - Accent6 2 2 3 2 2 2 2 2" xfId="23157" xr:uid="{00000000-0005-0000-0000-0000C58D0000}"/>
    <cellStyle name="40% - Accent6 2 2 3 2 2 2 2 2 2" xfId="45759" xr:uid="{00000000-0005-0000-0000-0000C68D0000}"/>
    <cellStyle name="40% - Accent6 2 2 3 2 2 2 2 3" xfId="34458" xr:uid="{00000000-0005-0000-0000-0000C78D0000}"/>
    <cellStyle name="40% - Accent6 2 2 3 2 2 2 3" xfId="17507" xr:uid="{00000000-0005-0000-0000-0000C88D0000}"/>
    <cellStyle name="40% - Accent6 2 2 3 2 2 2 3 2" xfId="40109" xr:uid="{00000000-0005-0000-0000-0000C98D0000}"/>
    <cellStyle name="40% - Accent6 2 2 3 2 2 2 4" xfId="28808" xr:uid="{00000000-0005-0000-0000-0000CA8D0000}"/>
    <cellStyle name="40% - Accent6 2 2 3 2 2 3" xfId="9024" xr:uid="{00000000-0005-0000-0000-0000CB8D0000}"/>
    <cellStyle name="40% - Accent6 2 2 3 2 2 3 2" xfId="20325" xr:uid="{00000000-0005-0000-0000-0000CC8D0000}"/>
    <cellStyle name="40% - Accent6 2 2 3 2 2 3 2 2" xfId="42927" xr:uid="{00000000-0005-0000-0000-0000CD8D0000}"/>
    <cellStyle name="40% - Accent6 2 2 3 2 2 3 3" xfId="31626" xr:uid="{00000000-0005-0000-0000-0000CE8D0000}"/>
    <cellStyle name="40% - Accent6 2 2 3 2 2 4" xfId="14675" xr:uid="{00000000-0005-0000-0000-0000CF8D0000}"/>
    <cellStyle name="40% - Accent6 2 2 3 2 2 4 2" xfId="37277" xr:uid="{00000000-0005-0000-0000-0000D08D0000}"/>
    <cellStyle name="40% - Accent6 2 2 3 2 2 5" xfId="25976" xr:uid="{00000000-0005-0000-0000-0000D18D0000}"/>
    <cellStyle name="40% - Accent6 2 2 3 2 3" xfId="4972" xr:uid="{00000000-0005-0000-0000-0000D28D0000}"/>
    <cellStyle name="40% - Accent6 2 2 3 2 3 2" xfId="10622" xr:uid="{00000000-0005-0000-0000-0000D38D0000}"/>
    <cellStyle name="40% - Accent6 2 2 3 2 3 2 2" xfId="21923" xr:uid="{00000000-0005-0000-0000-0000D48D0000}"/>
    <cellStyle name="40% - Accent6 2 2 3 2 3 2 2 2" xfId="44525" xr:uid="{00000000-0005-0000-0000-0000D58D0000}"/>
    <cellStyle name="40% - Accent6 2 2 3 2 3 2 3" xfId="33224" xr:uid="{00000000-0005-0000-0000-0000D68D0000}"/>
    <cellStyle name="40% - Accent6 2 2 3 2 3 3" xfId="16273" xr:uid="{00000000-0005-0000-0000-0000D78D0000}"/>
    <cellStyle name="40% - Accent6 2 2 3 2 3 3 2" xfId="38875" xr:uid="{00000000-0005-0000-0000-0000D88D0000}"/>
    <cellStyle name="40% - Accent6 2 2 3 2 3 4" xfId="27574" xr:uid="{00000000-0005-0000-0000-0000D98D0000}"/>
    <cellStyle name="40% - Accent6 2 2 3 2 4" xfId="7893" xr:uid="{00000000-0005-0000-0000-0000DA8D0000}"/>
    <cellStyle name="40% - Accent6 2 2 3 2 4 2" xfId="19194" xr:uid="{00000000-0005-0000-0000-0000DB8D0000}"/>
    <cellStyle name="40% - Accent6 2 2 3 2 4 2 2" xfId="41796" xr:uid="{00000000-0005-0000-0000-0000DC8D0000}"/>
    <cellStyle name="40% - Accent6 2 2 3 2 4 3" xfId="30495" xr:uid="{00000000-0005-0000-0000-0000DD8D0000}"/>
    <cellStyle name="40% - Accent6 2 2 3 2 5" xfId="13544" xr:uid="{00000000-0005-0000-0000-0000DE8D0000}"/>
    <cellStyle name="40% - Accent6 2 2 3 2 5 2" xfId="36146" xr:uid="{00000000-0005-0000-0000-0000DF8D0000}"/>
    <cellStyle name="40% - Accent6 2 2 3 2 6" xfId="24845" xr:uid="{00000000-0005-0000-0000-0000E08D0000}"/>
    <cellStyle name="40% - Accent6 2 2 3 3" xfId="2563" xr:uid="{00000000-0005-0000-0000-0000E18D0000}"/>
    <cellStyle name="40% - Accent6 2 2 3 3 2" xfId="5582" xr:uid="{00000000-0005-0000-0000-0000E28D0000}"/>
    <cellStyle name="40% - Accent6 2 2 3 3 2 2" xfId="11232" xr:uid="{00000000-0005-0000-0000-0000E38D0000}"/>
    <cellStyle name="40% - Accent6 2 2 3 3 2 2 2" xfId="22533" xr:uid="{00000000-0005-0000-0000-0000E48D0000}"/>
    <cellStyle name="40% - Accent6 2 2 3 3 2 2 2 2" xfId="45135" xr:uid="{00000000-0005-0000-0000-0000E58D0000}"/>
    <cellStyle name="40% - Accent6 2 2 3 3 2 2 3" xfId="33834" xr:uid="{00000000-0005-0000-0000-0000E68D0000}"/>
    <cellStyle name="40% - Accent6 2 2 3 3 2 3" xfId="16883" xr:uid="{00000000-0005-0000-0000-0000E78D0000}"/>
    <cellStyle name="40% - Accent6 2 2 3 3 2 3 2" xfId="39485" xr:uid="{00000000-0005-0000-0000-0000E88D0000}"/>
    <cellStyle name="40% - Accent6 2 2 3 3 2 4" xfId="28184" xr:uid="{00000000-0005-0000-0000-0000E98D0000}"/>
    <cellStyle name="40% - Accent6 2 2 3 3 3" xfId="8399" xr:uid="{00000000-0005-0000-0000-0000EA8D0000}"/>
    <cellStyle name="40% - Accent6 2 2 3 3 3 2" xfId="19700" xr:uid="{00000000-0005-0000-0000-0000EB8D0000}"/>
    <cellStyle name="40% - Accent6 2 2 3 3 3 2 2" xfId="42302" xr:uid="{00000000-0005-0000-0000-0000EC8D0000}"/>
    <cellStyle name="40% - Accent6 2 2 3 3 3 3" xfId="31001" xr:uid="{00000000-0005-0000-0000-0000ED8D0000}"/>
    <cellStyle name="40% - Accent6 2 2 3 3 4" xfId="14050" xr:uid="{00000000-0005-0000-0000-0000EE8D0000}"/>
    <cellStyle name="40% - Accent6 2 2 3 3 4 2" xfId="36652" xr:uid="{00000000-0005-0000-0000-0000EF8D0000}"/>
    <cellStyle name="40% - Accent6 2 2 3 3 5" xfId="25351" xr:uid="{00000000-0005-0000-0000-0000F08D0000}"/>
    <cellStyle name="40% - Accent6 2 2 3 4" xfId="4348" xr:uid="{00000000-0005-0000-0000-0000F18D0000}"/>
    <cellStyle name="40% - Accent6 2 2 3 4 2" xfId="9998" xr:uid="{00000000-0005-0000-0000-0000F28D0000}"/>
    <cellStyle name="40% - Accent6 2 2 3 4 2 2" xfId="21299" xr:uid="{00000000-0005-0000-0000-0000F38D0000}"/>
    <cellStyle name="40% - Accent6 2 2 3 4 2 2 2" xfId="43901" xr:uid="{00000000-0005-0000-0000-0000F48D0000}"/>
    <cellStyle name="40% - Accent6 2 2 3 4 2 3" xfId="32600" xr:uid="{00000000-0005-0000-0000-0000F58D0000}"/>
    <cellStyle name="40% - Accent6 2 2 3 4 3" xfId="15649" xr:uid="{00000000-0005-0000-0000-0000F68D0000}"/>
    <cellStyle name="40% - Accent6 2 2 3 4 3 2" xfId="38251" xr:uid="{00000000-0005-0000-0000-0000F78D0000}"/>
    <cellStyle name="40% - Accent6 2 2 3 4 4" xfId="26950" xr:uid="{00000000-0005-0000-0000-0000F88D0000}"/>
    <cellStyle name="40% - Accent6 2 2 3 5" xfId="7145" xr:uid="{00000000-0005-0000-0000-0000F98D0000}"/>
    <cellStyle name="40% - Accent6 2 2 3 5 2" xfId="18446" xr:uid="{00000000-0005-0000-0000-0000FA8D0000}"/>
    <cellStyle name="40% - Accent6 2 2 3 5 2 2" xfId="41048" xr:uid="{00000000-0005-0000-0000-0000FB8D0000}"/>
    <cellStyle name="40% - Accent6 2 2 3 5 3" xfId="29747" xr:uid="{00000000-0005-0000-0000-0000FC8D0000}"/>
    <cellStyle name="40% - Accent6 2 2 3 6" xfId="12796" xr:uid="{00000000-0005-0000-0000-0000FD8D0000}"/>
    <cellStyle name="40% - Accent6 2 2 3 6 2" xfId="35398" xr:uid="{00000000-0005-0000-0000-0000FE8D0000}"/>
    <cellStyle name="40% - Accent6 2 2 3 7" xfId="24097" xr:uid="{00000000-0005-0000-0000-0000FF8D0000}"/>
    <cellStyle name="40% - Accent6 2 2 4" xfId="846" xr:uid="{00000000-0005-0000-0000-0000008E0000}"/>
    <cellStyle name="40% - Accent6 2 2 4 2" xfId="2927" xr:uid="{00000000-0005-0000-0000-0000018E0000}"/>
    <cellStyle name="40% - Accent6 2 2 4 2 2" xfId="5899" xr:uid="{00000000-0005-0000-0000-0000028E0000}"/>
    <cellStyle name="40% - Accent6 2 2 4 2 2 2" xfId="11549" xr:uid="{00000000-0005-0000-0000-0000038E0000}"/>
    <cellStyle name="40% - Accent6 2 2 4 2 2 2 2" xfId="22850" xr:uid="{00000000-0005-0000-0000-0000048E0000}"/>
    <cellStyle name="40% - Accent6 2 2 4 2 2 2 2 2" xfId="45452" xr:uid="{00000000-0005-0000-0000-0000058E0000}"/>
    <cellStyle name="40% - Accent6 2 2 4 2 2 2 3" xfId="34151" xr:uid="{00000000-0005-0000-0000-0000068E0000}"/>
    <cellStyle name="40% - Accent6 2 2 4 2 2 3" xfId="17200" xr:uid="{00000000-0005-0000-0000-0000078E0000}"/>
    <cellStyle name="40% - Accent6 2 2 4 2 2 3 2" xfId="39802" xr:uid="{00000000-0005-0000-0000-0000088E0000}"/>
    <cellStyle name="40% - Accent6 2 2 4 2 2 4" xfId="28501" xr:uid="{00000000-0005-0000-0000-0000098E0000}"/>
    <cellStyle name="40% - Accent6 2 2 4 2 3" xfId="8717" xr:uid="{00000000-0005-0000-0000-00000A8E0000}"/>
    <cellStyle name="40% - Accent6 2 2 4 2 3 2" xfId="20018" xr:uid="{00000000-0005-0000-0000-00000B8E0000}"/>
    <cellStyle name="40% - Accent6 2 2 4 2 3 2 2" xfId="42620" xr:uid="{00000000-0005-0000-0000-00000C8E0000}"/>
    <cellStyle name="40% - Accent6 2 2 4 2 3 3" xfId="31319" xr:uid="{00000000-0005-0000-0000-00000D8E0000}"/>
    <cellStyle name="40% - Accent6 2 2 4 2 4" xfId="14368" xr:uid="{00000000-0005-0000-0000-00000E8E0000}"/>
    <cellStyle name="40% - Accent6 2 2 4 2 4 2" xfId="36970" xr:uid="{00000000-0005-0000-0000-00000F8E0000}"/>
    <cellStyle name="40% - Accent6 2 2 4 2 5" xfId="25669" xr:uid="{00000000-0005-0000-0000-0000108E0000}"/>
    <cellStyle name="40% - Accent6 2 2 4 3" xfId="4665" xr:uid="{00000000-0005-0000-0000-0000118E0000}"/>
    <cellStyle name="40% - Accent6 2 2 4 3 2" xfId="10315" xr:uid="{00000000-0005-0000-0000-0000128E0000}"/>
    <cellStyle name="40% - Accent6 2 2 4 3 2 2" xfId="21616" xr:uid="{00000000-0005-0000-0000-0000138E0000}"/>
    <cellStyle name="40% - Accent6 2 2 4 3 2 2 2" xfId="44218" xr:uid="{00000000-0005-0000-0000-0000148E0000}"/>
    <cellStyle name="40% - Accent6 2 2 4 3 2 3" xfId="32917" xr:uid="{00000000-0005-0000-0000-0000158E0000}"/>
    <cellStyle name="40% - Accent6 2 2 4 3 3" xfId="15966" xr:uid="{00000000-0005-0000-0000-0000168E0000}"/>
    <cellStyle name="40% - Accent6 2 2 4 3 3 2" xfId="38568" xr:uid="{00000000-0005-0000-0000-0000178E0000}"/>
    <cellStyle name="40% - Accent6 2 2 4 3 4" xfId="27267" xr:uid="{00000000-0005-0000-0000-0000188E0000}"/>
    <cellStyle name="40% - Accent6 2 2 4 4" xfId="6851" xr:uid="{00000000-0005-0000-0000-0000198E0000}"/>
    <cellStyle name="40% - Accent6 2 2 4 4 2" xfId="18152" xr:uid="{00000000-0005-0000-0000-00001A8E0000}"/>
    <cellStyle name="40% - Accent6 2 2 4 4 2 2" xfId="40754" xr:uid="{00000000-0005-0000-0000-00001B8E0000}"/>
    <cellStyle name="40% - Accent6 2 2 4 4 3" xfId="29453" xr:uid="{00000000-0005-0000-0000-00001C8E0000}"/>
    <cellStyle name="40% - Accent6 2 2 4 5" xfId="12502" xr:uid="{00000000-0005-0000-0000-00001D8E0000}"/>
    <cellStyle name="40% - Accent6 2 2 4 5 2" xfId="35104" xr:uid="{00000000-0005-0000-0000-00001E8E0000}"/>
    <cellStyle name="40% - Accent6 2 2 4 6" xfId="23803" xr:uid="{00000000-0005-0000-0000-00001F8E0000}"/>
    <cellStyle name="40% - Accent6 2 2 5" xfId="2034" xr:uid="{00000000-0005-0000-0000-0000208E0000}"/>
    <cellStyle name="40% - Accent6 2 2 5 2" xfId="3819" xr:uid="{00000000-0005-0000-0000-0000218E0000}"/>
    <cellStyle name="40% - Accent6 2 2 5 2 2" xfId="9529" xr:uid="{00000000-0005-0000-0000-0000228E0000}"/>
    <cellStyle name="40% - Accent6 2 2 5 2 2 2" xfId="20830" xr:uid="{00000000-0005-0000-0000-0000238E0000}"/>
    <cellStyle name="40% - Accent6 2 2 5 2 2 2 2" xfId="43432" xr:uid="{00000000-0005-0000-0000-0000248E0000}"/>
    <cellStyle name="40% - Accent6 2 2 5 2 2 3" xfId="32131" xr:uid="{00000000-0005-0000-0000-0000258E0000}"/>
    <cellStyle name="40% - Accent6 2 2 5 2 3" xfId="15180" xr:uid="{00000000-0005-0000-0000-0000268E0000}"/>
    <cellStyle name="40% - Accent6 2 2 5 2 3 2" xfId="37782" xr:uid="{00000000-0005-0000-0000-0000278E0000}"/>
    <cellStyle name="40% - Accent6 2 2 5 2 4" xfId="26481" xr:uid="{00000000-0005-0000-0000-0000288E0000}"/>
    <cellStyle name="40% - Accent6 2 2 5 3" xfId="5275" xr:uid="{00000000-0005-0000-0000-0000298E0000}"/>
    <cellStyle name="40% - Accent6 2 2 5 3 2" xfId="10925" xr:uid="{00000000-0005-0000-0000-00002A8E0000}"/>
    <cellStyle name="40% - Accent6 2 2 5 3 2 2" xfId="22226" xr:uid="{00000000-0005-0000-0000-00002B8E0000}"/>
    <cellStyle name="40% - Accent6 2 2 5 3 2 2 2" xfId="44828" xr:uid="{00000000-0005-0000-0000-00002C8E0000}"/>
    <cellStyle name="40% - Accent6 2 2 5 3 2 3" xfId="33527" xr:uid="{00000000-0005-0000-0000-00002D8E0000}"/>
    <cellStyle name="40% - Accent6 2 2 5 3 3" xfId="16576" xr:uid="{00000000-0005-0000-0000-00002E8E0000}"/>
    <cellStyle name="40% - Accent6 2 2 5 3 3 2" xfId="39178" xr:uid="{00000000-0005-0000-0000-00002F8E0000}"/>
    <cellStyle name="40% - Accent6 2 2 5 3 4" xfId="27877" xr:uid="{00000000-0005-0000-0000-0000308E0000}"/>
    <cellStyle name="40% - Accent6 2 2 5 4" xfId="7890" xr:uid="{00000000-0005-0000-0000-0000318E0000}"/>
    <cellStyle name="40% - Accent6 2 2 5 4 2" xfId="19191" xr:uid="{00000000-0005-0000-0000-0000328E0000}"/>
    <cellStyle name="40% - Accent6 2 2 5 4 2 2" xfId="41793" xr:uid="{00000000-0005-0000-0000-0000338E0000}"/>
    <cellStyle name="40% - Accent6 2 2 5 4 3" xfId="30492" xr:uid="{00000000-0005-0000-0000-0000348E0000}"/>
    <cellStyle name="40% - Accent6 2 2 5 5" xfId="13541" xr:uid="{00000000-0005-0000-0000-0000358E0000}"/>
    <cellStyle name="40% - Accent6 2 2 5 5 2" xfId="36143" xr:uid="{00000000-0005-0000-0000-0000368E0000}"/>
    <cellStyle name="40% - Accent6 2 2 5 6" xfId="24842" xr:uid="{00000000-0005-0000-0000-0000378E0000}"/>
    <cellStyle name="40% - Accent6 2 2 6" xfId="2248" xr:uid="{00000000-0005-0000-0000-0000388E0000}"/>
    <cellStyle name="40% - Accent6 2 2 6 2" xfId="8089" xr:uid="{00000000-0005-0000-0000-0000398E0000}"/>
    <cellStyle name="40% - Accent6 2 2 6 2 2" xfId="19390" xr:uid="{00000000-0005-0000-0000-00003A8E0000}"/>
    <cellStyle name="40% - Accent6 2 2 6 2 2 2" xfId="41992" xr:uid="{00000000-0005-0000-0000-00003B8E0000}"/>
    <cellStyle name="40% - Accent6 2 2 6 2 3" xfId="30691" xr:uid="{00000000-0005-0000-0000-00003C8E0000}"/>
    <cellStyle name="40% - Accent6 2 2 6 3" xfId="13740" xr:uid="{00000000-0005-0000-0000-00003D8E0000}"/>
    <cellStyle name="40% - Accent6 2 2 6 3 2" xfId="36342" xr:uid="{00000000-0005-0000-0000-00003E8E0000}"/>
    <cellStyle name="40% - Accent6 2 2 6 4" xfId="25041" xr:uid="{00000000-0005-0000-0000-00003F8E0000}"/>
    <cellStyle name="40% - Accent6 2 2 7" xfId="4041" xr:uid="{00000000-0005-0000-0000-0000408E0000}"/>
    <cellStyle name="40% - Accent6 2 2 7 2" xfId="9691" xr:uid="{00000000-0005-0000-0000-0000418E0000}"/>
    <cellStyle name="40% - Accent6 2 2 7 2 2" xfId="20992" xr:uid="{00000000-0005-0000-0000-0000428E0000}"/>
    <cellStyle name="40% - Accent6 2 2 7 2 2 2" xfId="43594" xr:uid="{00000000-0005-0000-0000-0000438E0000}"/>
    <cellStyle name="40% - Accent6 2 2 7 2 3" xfId="32293" xr:uid="{00000000-0005-0000-0000-0000448E0000}"/>
    <cellStyle name="40% - Accent6 2 2 7 3" xfId="15342" xr:uid="{00000000-0005-0000-0000-0000458E0000}"/>
    <cellStyle name="40% - Accent6 2 2 7 3 2" xfId="37944" xr:uid="{00000000-0005-0000-0000-0000468E0000}"/>
    <cellStyle name="40% - Accent6 2 2 7 4" xfId="26643" xr:uid="{00000000-0005-0000-0000-0000478E0000}"/>
    <cellStyle name="40% - Accent6 2 2 8" xfId="6492" xr:uid="{00000000-0005-0000-0000-0000488E0000}"/>
    <cellStyle name="40% - Accent6 2 2 8 2" xfId="17793" xr:uid="{00000000-0005-0000-0000-0000498E0000}"/>
    <cellStyle name="40% - Accent6 2 2 8 2 2" xfId="40395" xr:uid="{00000000-0005-0000-0000-00004A8E0000}"/>
    <cellStyle name="40% - Accent6 2 2 8 3" xfId="29094" xr:uid="{00000000-0005-0000-0000-00004B8E0000}"/>
    <cellStyle name="40% - Accent6 2 2 9" xfId="12143" xr:uid="{00000000-0005-0000-0000-00004C8E0000}"/>
    <cellStyle name="40% - Accent6 2 2 9 2" xfId="34745" xr:uid="{00000000-0005-0000-0000-00004D8E0000}"/>
    <cellStyle name="40% - Accent6 2 3" xfId="2821" xr:uid="{00000000-0005-0000-0000-00004E8E0000}"/>
    <cellStyle name="40% - Accent6 2 3 2" xfId="3891" xr:uid="{00000000-0005-0000-0000-00004F8E0000}"/>
    <cellStyle name="40% - Accent6 2 3 2 2" xfId="5836" xr:uid="{00000000-0005-0000-0000-0000508E0000}"/>
    <cellStyle name="40% - Accent6 2 3 2 2 2" xfId="11486" xr:uid="{00000000-0005-0000-0000-0000518E0000}"/>
    <cellStyle name="40% - Accent6 2 3 2 2 2 2" xfId="22787" xr:uid="{00000000-0005-0000-0000-0000528E0000}"/>
    <cellStyle name="40% - Accent6 2 3 2 2 2 2 2" xfId="45389" xr:uid="{00000000-0005-0000-0000-0000538E0000}"/>
    <cellStyle name="40% - Accent6 2 3 2 2 2 3" xfId="34088" xr:uid="{00000000-0005-0000-0000-0000548E0000}"/>
    <cellStyle name="40% - Accent6 2 3 2 2 3" xfId="17137" xr:uid="{00000000-0005-0000-0000-0000558E0000}"/>
    <cellStyle name="40% - Accent6 2 3 2 2 3 2" xfId="39739" xr:uid="{00000000-0005-0000-0000-0000568E0000}"/>
    <cellStyle name="40% - Accent6 2 3 2 2 4" xfId="28438" xr:uid="{00000000-0005-0000-0000-0000578E0000}"/>
    <cellStyle name="40% - Accent6 2 3 2 3" xfId="9595" xr:uid="{00000000-0005-0000-0000-0000588E0000}"/>
    <cellStyle name="40% - Accent6 2 3 2 3 2" xfId="20896" xr:uid="{00000000-0005-0000-0000-0000598E0000}"/>
    <cellStyle name="40% - Accent6 2 3 2 3 2 2" xfId="43498" xr:uid="{00000000-0005-0000-0000-00005A8E0000}"/>
    <cellStyle name="40% - Accent6 2 3 2 3 3" xfId="32197" xr:uid="{00000000-0005-0000-0000-00005B8E0000}"/>
    <cellStyle name="40% - Accent6 2 3 2 4" xfId="15246" xr:uid="{00000000-0005-0000-0000-00005C8E0000}"/>
    <cellStyle name="40% - Accent6 2 3 2 4 2" xfId="37848" xr:uid="{00000000-0005-0000-0000-00005D8E0000}"/>
    <cellStyle name="40% - Accent6 2 3 2 5" xfId="26547" xr:uid="{00000000-0005-0000-0000-00005E8E0000}"/>
    <cellStyle name="40% - Accent6 2 3 3" xfId="4602" xr:uid="{00000000-0005-0000-0000-00005F8E0000}"/>
    <cellStyle name="40% - Accent6 2 3 3 2" xfId="10252" xr:uid="{00000000-0005-0000-0000-0000608E0000}"/>
    <cellStyle name="40% - Accent6 2 3 3 2 2" xfId="21553" xr:uid="{00000000-0005-0000-0000-0000618E0000}"/>
    <cellStyle name="40% - Accent6 2 3 3 2 2 2" xfId="44155" xr:uid="{00000000-0005-0000-0000-0000628E0000}"/>
    <cellStyle name="40% - Accent6 2 3 3 2 3" xfId="32854" xr:uid="{00000000-0005-0000-0000-0000638E0000}"/>
    <cellStyle name="40% - Accent6 2 3 3 3" xfId="15903" xr:uid="{00000000-0005-0000-0000-0000648E0000}"/>
    <cellStyle name="40% - Accent6 2 3 3 3 2" xfId="38505" xr:uid="{00000000-0005-0000-0000-0000658E0000}"/>
    <cellStyle name="40% - Accent6 2 3 3 4" xfId="27204" xr:uid="{00000000-0005-0000-0000-0000668E0000}"/>
    <cellStyle name="40% - Accent6 2 3 4" xfId="8654" xr:uid="{00000000-0005-0000-0000-0000678E0000}"/>
    <cellStyle name="40% - Accent6 2 3 4 2" xfId="19955" xr:uid="{00000000-0005-0000-0000-0000688E0000}"/>
    <cellStyle name="40% - Accent6 2 3 4 2 2" xfId="42557" xr:uid="{00000000-0005-0000-0000-0000698E0000}"/>
    <cellStyle name="40% - Accent6 2 3 4 3" xfId="31256" xr:uid="{00000000-0005-0000-0000-00006A8E0000}"/>
    <cellStyle name="40% - Accent6 2 3 5" xfId="14305" xr:uid="{00000000-0005-0000-0000-00006B8E0000}"/>
    <cellStyle name="40% - Accent6 2 3 5 2" xfId="36907" xr:uid="{00000000-0005-0000-0000-00006C8E0000}"/>
    <cellStyle name="40% - Accent6 2 3 6" xfId="25606" xr:uid="{00000000-0005-0000-0000-00006D8E0000}"/>
    <cellStyle name="40% - Accent6 2 4" xfId="2828" xr:uid="{00000000-0005-0000-0000-00006E8E0000}"/>
    <cellStyle name="40% - Accent6 2 5" xfId="3942" xr:uid="{00000000-0005-0000-0000-00006F8E0000}"/>
    <cellStyle name="40% - Accent6 2 5 2" xfId="9613" xr:uid="{00000000-0005-0000-0000-0000708E0000}"/>
    <cellStyle name="40% - Accent6 2 5 2 2" xfId="20914" xr:uid="{00000000-0005-0000-0000-0000718E0000}"/>
    <cellStyle name="40% - Accent6 2 5 2 2 2" xfId="43516" xr:uid="{00000000-0005-0000-0000-0000728E0000}"/>
    <cellStyle name="40% - Accent6 2 5 2 3" xfId="32215" xr:uid="{00000000-0005-0000-0000-0000738E0000}"/>
    <cellStyle name="40% - Accent6 2 5 3" xfId="15264" xr:uid="{00000000-0005-0000-0000-0000748E0000}"/>
    <cellStyle name="40% - Accent6 2 5 3 2" xfId="37866" xr:uid="{00000000-0005-0000-0000-0000758E0000}"/>
    <cellStyle name="40% - Accent6 2 5 4" xfId="26565" xr:uid="{00000000-0005-0000-0000-0000768E0000}"/>
    <cellStyle name="40% - Accent6 2 6" xfId="3546" xr:uid="{00000000-0005-0000-0000-0000778E0000}"/>
    <cellStyle name="40% - Accent6 2 7" xfId="148" xr:uid="{00000000-0005-0000-0000-0000788E0000}"/>
    <cellStyle name="40% - Accent6 3" xfId="228" xr:uid="{00000000-0005-0000-0000-0000798E0000}"/>
    <cellStyle name="40% - Accent6 3 2" xfId="352" xr:uid="{00000000-0005-0000-0000-00007A8E0000}"/>
    <cellStyle name="40% - Accent6 3 2 10" xfId="23461" xr:uid="{00000000-0005-0000-0000-00007B8E0000}"/>
    <cellStyle name="40% - Accent6 3 2 2" xfId="611" xr:uid="{00000000-0005-0000-0000-00007C8E0000}"/>
    <cellStyle name="40% - Accent6 3 2 2 2" xfId="1321" xr:uid="{00000000-0005-0000-0000-00007D8E0000}"/>
    <cellStyle name="40% - Accent6 3 2 2 2 2" xfId="2040" xr:uid="{00000000-0005-0000-0000-00007E8E0000}"/>
    <cellStyle name="40% - Accent6 3 2 2 2 2 2" xfId="3390" xr:uid="{00000000-0005-0000-0000-00007F8E0000}"/>
    <cellStyle name="40% - Accent6 3 2 2 2 2 2 2" xfId="6362" xr:uid="{00000000-0005-0000-0000-0000808E0000}"/>
    <cellStyle name="40% - Accent6 3 2 2 2 2 2 2 2" xfId="12012" xr:uid="{00000000-0005-0000-0000-0000818E0000}"/>
    <cellStyle name="40% - Accent6 3 2 2 2 2 2 2 2 2" xfId="23313" xr:uid="{00000000-0005-0000-0000-0000828E0000}"/>
    <cellStyle name="40% - Accent6 3 2 2 2 2 2 2 2 2 2" xfId="45915" xr:uid="{00000000-0005-0000-0000-0000838E0000}"/>
    <cellStyle name="40% - Accent6 3 2 2 2 2 2 2 2 3" xfId="34614" xr:uid="{00000000-0005-0000-0000-0000848E0000}"/>
    <cellStyle name="40% - Accent6 3 2 2 2 2 2 2 3" xfId="17663" xr:uid="{00000000-0005-0000-0000-0000858E0000}"/>
    <cellStyle name="40% - Accent6 3 2 2 2 2 2 2 3 2" xfId="40265" xr:uid="{00000000-0005-0000-0000-0000868E0000}"/>
    <cellStyle name="40% - Accent6 3 2 2 2 2 2 2 4" xfId="28964" xr:uid="{00000000-0005-0000-0000-0000878E0000}"/>
    <cellStyle name="40% - Accent6 3 2 2 2 2 2 3" xfId="9180" xr:uid="{00000000-0005-0000-0000-0000888E0000}"/>
    <cellStyle name="40% - Accent6 3 2 2 2 2 2 3 2" xfId="20481" xr:uid="{00000000-0005-0000-0000-0000898E0000}"/>
    <cellStyle name="40% - Accent6 3 2 2 2 2 2 3 2 2" xfId="43083" xr:uid="{00000000-0005-0000-0000-00008A8E0000}"/>
    <cellStyle name="40% - Accent6 3 2 2 2 2 2 3 3" xfId="31782" xr:uid="{00000000-0005-0000-0000-00008B8E0000}"/>
    <cellStyle name="40% - Accent6 3 2 2 2 2 2 4" xfId="14831" xr:uid="{00000000-0005-0000-0000-00008C8E0000}"/>
    <cellStyle name="40% - Accent6 3 2 2 2 2 2 4 2" xfId="37433" xr:uid="{00000000-0005-0000-0000-00008D8E0000}"/>
    <cellStyle name="40% - Accent6 3 2 2 2 2 2 5" xfId="26132" xr:uid="{00000000-0005-0000-0000-00008E8E0000}"/>
    <cellStyle name="40% - Accent6 3 2 2 2 2 3" xfId="5128" xr:uid="{00000000-0005-0000-0000-00008F8E0000}"/>
    <cellStyle name="40% - Accent6 3 2 2 2 2 3 2" xfId="10778" xr:uid="{00000000-0005-0000-0000-0000908E0000}"/>
    <cellStyle name="40% - Accent6 3 2 2 2 2 3 2 2" xfId="22079" xr:uid="{00000000-0005-0000-0000-0000918E0000}"/>
    <cellStyle name="40% - Accent6 3 2 2 2 2 3 2 2 2" xfId="44681" xr:uid="{00000000-0005-0000-0000-0000928E0000}"/>
    <cellStyle name="40% - Accent6 3 2 2 2 2 3 2 3" xfId="33380" xr:uid="{00000000-0005-0000-0000-0000938E0000}"/>
    <cellStyle name="40% - Accent6 3 2 2 2 2 3 3" xfId="16429" xr:uid="{00000000-0005-0000-0000-0000948E0000}"/>
    <cellStyle name="40% - Accent6 3 2 2 2 2 3 3 2" xfId="39031" xr:uid="{00000000-0005-0000-0000-0000958E0000}"/>
    <cellStyle name="40% - Accent6 3 2 2 2 2 3 4" xfId="27730" xr:uid="{00000000-0005-0000-0000-0000968E0000}"/>
    <cellStyle name="40% - Accent6 3 2 2 2 2 4" xfId="7896" xr:uid="{00000000-0005-0000-0000-0000978E0000}"/>
    <cellStyle name="40% - Accent6 3 2 2 2 2 4 2" xfId="19197" xr:uid="{00000000-0005-0000-0000-0000988E0000}"/>
    <cellStyle name="40% - Accent6 3 2 2 2 2 4 2 2" xfId="41799" xr:uid="{00000000-0005-0000-0000-0000998E0000}"/>
    <cellStyle name="40% - Accent6 3 2 2 2 2 4 3" xfId="30498" xr:uid="{00000000-0005-0000-0000-00009A8E0000}"/>
    <cellStyle name="40% - Accent6 3 2 2 2 2 5" xfId="13547" xr:uid="{00000000-0005-0000-0000-00009B8E0000}"/>
    <cellStyle name="40% - Accent6 3 2 2 2 2 5 2" xfId="36149" xr:uid="{00000000-0005-0000-0000-00009C8E0000}"/>
    <cellStyle name="40% - Accent6 3 2 2 2 2 6" xfId="24848" xr:uid="{00000000-0005-0000-0000-00009D8E0000}"/>
    <cellStyle name="40% - Accent6 3 2 2 2 3" xfId="2719" xr:uid="{00000000-0005-0000-0000-00009E8E0000}"/>
    <cellStyle name="40% - Accent6 3 2 2 2 3 2" xfId="5738" xr:uid="{00000000-0005-0000-0000-00009F8E0000}"/>
    <cellStyle name="40% - Accent6 3 2 2 2 3 2 2" xfId="11388" xr:uid="{00000000-0005-0000-0000-0000A08E0000}"/>
    <cellStyle name="40% - Accent6 3 2 2 2 3 2 2 2" xfId="22689" xr:uid="{00000000-0005-0000-0000-0000A18E0000}"/>
    <cellStyle name="40% - Accent6 3 2 2 2 3 2 2 2 2" xfId="45291" xr:uid="{00000000-0005-0000-0000-0000A28E0000}"/>
    <cellStyle name="40% - Accent6 3 2 2 2 3 2 2 3" xfId="33990" xr:uid="{00000000-0005-0000-0000-0000A38E0000}"/>
    <cellStyle name="40% - Accent6 3 2 2 2 3 2 3" xfId="17039" xr:uid="{00000000-0005-0000-0000-0000A48E0000}"/>
    <cellStyle name="40% - Accent6 3 2 2 2 3 2 3 2" xfId="39641" xr:uid="{00000000-0005-0000-0000-0000A58E0000}"/>
    <cellStyle name="40% - Accent6 3 2 2 2 3 2 4" xfId="28340" xr:uid="{00000000-0005-0000-0000-0000A68E0000}"/>
    <cellStyle name="40% - Accent6 3 2 2 2 3 3" xfId="8555" xr:uid="{00000000-0005-0000-0000-0000A78E0000}"/>
    <cellStyle name="40% - Accent6 3 2 2 2 3 3 2" xfId="19856" xr:uid="{00000000-0005-0000-0000-0000A88E0000}"/>
    <cellStyle name="40% - Accent6 3 2 2 2 3 3 2 2" xfId="42458" xr:uid="{00000000-0005-0000-0000-0000A98E0000}"/>
    <cellStyle name="40% - Accent6 3 2 2 2 3 3 3" xfId="31157" xr:uid="{00000000-0005-0000-0000-0000AA8E0000}"/>
    <cellStyle name="40% - Accent6 3 2 2 2 3 4" xfId="14206" xr:uid="{00000000-0005-0000-0000-0000AB8E0000}"/>
    <cellStyle name="40% - Accent6 3 2 2 2 3 4 2" xfId="36808" xr:uid="{00000000-0005-0000-0000-0000AC8E0000}"/>
    <cellStyle name="40% - Accent6 3 2 2 2 3 5" xfId="25507" xr:uid="{00000000-0005-0000-0000-0000AD8E0000}"/>
    <cellStyle name="40% - Accent6 3 2 2 2 4" xfId="4504" xr:uid="{00000000-0005-0000-0000-0000AE8E0000}"/>
    <cellStyle name="40% - Accent6 3 2 2 2 4 2" xfId="10154" xr:uid="{00000000-0005-0000-0000-0000AF8E0000}"/>
    <cellStyle name="40% - Accent6 3 2 2 2 4 2 2" xfId="21455" xr:uid="{00000000-0005-0000-0000-0000B08E0000}"/>
    <cellStyle name="40% - Accent6 3 2 2 2 4 2 2 2" xfId="44057" xr:uid="{00000000-0005-0000-0000-0000B18E0000}"/>
    <cellStyle name="40% - Accent6 3 2 2 2 4 2 3" xfId="32756" xr:uid="{00000000-0005-0000-0000-0000B28E0000}"/>
    <cellStyle name="40% - Accent6 3 2 2 2 4 3" xfId="15805" xr:uid="{00000000-0005-0000-0000-0000B38E0000}"/>
    <cellStyle name="40% - Accent6 3 2 2 2 4 3 2" xfId="38407" xr:uid="{00000000-0005-0000-0000-0000B48E0000}"/>
    <cellStyle name="40% - Accent6 3 2 2 2 4 4" xfId="27106" xr:uid="{00000000-0005-0000-0000-0000B58E0000}"/>
    <cellStyle name="40% - Accent6 3 2 2 2 5" xfId="7300" xr:uid="{00000000-0005-0000-0000-0000B68E0000}"/>
    <cellStyle name="40% - Accent6 3 2 2 2 5 2" xfId="18601" xr:uid="{00000000-0005-0000-0000-0000B78E0000}"/>
    <cellStyle name="40% - Accent6 3 2 2 2 5 2 2" xfId="41203" xr:uid="{00000000-0005-0000-0000-0000B88E0000}"/>
    <cellStyle name="40% - Accent6 3 2 2 2 5 3" xfId="29902" xr:uid="{00000000-0005-0000-0000-0000B98E0000}"/>
    <cellStyle name="40% - Accent6 3 2 2 2 6" xfId="12951" xr:uid="{00000000-0005-0000-0000-0000BA8E0000}"/>
    <cellStyle name="40% - Accent6 3 2 2 2 6 2" xfId="35553" xr:uid="{00000000-0005-0000-0000-0000BB8E0000}"/>
    <cellStyle name="40% - Accent6 3 2 2 2 7" xfId="24252" xr:uid="{00000000-0005-0000-0000-0000BC8E0000}"/>
    <cellStyle name="40% - Accent6 3 2 2 3" xfId="1019" xr:uid="{00000000-0005-0000-0000-0000BD8E0000}"/>
    <cellStyle name="40% - Accent6 3 2 2 3 2" xfId="3082" xr:uid="{00000000-0005-0000-0000-0000BE8E0000}"/>
    <cellStyle name="40% - Accent6 3 2 2 3 2 2" xfId="6054" xr:uid="{00000000-0005-0000-0000-0000BF8E0000}"/>
    <cellStyle name="40% - Accent6 3 2 2 3 2 2 2" xfId="11704" xr:uid="{00000000-0005-0000-0000-0000C08E0000}"/>
    <cellStyle name="40% - Accent6 3 2 2 3 2 2 2 2" xfId="23005" xr:uid="{00000000-0005-0000-0000-0000C18E0000}"/>
    <cellStyle name="40% - Accent6 3 2 2 3 2 2 2 2 2" xfId="45607" xr:uid="{00000000-0005-0000-0000-0000C28E0000}"/>
    <cellStyle name="40% - Accent6 3 2 2 3 2 2 2 3" xfId="34306" xr:uid="{00000000-0005-0000-0000-0000C38E0000}"/>
    <cellStyle name="40% - Accent6 3 2 2 3 2 2 3" xfId="17355" xr:uid="{00000000-0005-0000-0000-0000C48E0000}"/>
    <cellStyle name="40% - Accent6 3 2 2 3 2 2 3 2" xfId="39957" xr:uid="{00000000-0005-0000-0000-0000C58E0000}"/>
    <cellStyle name="40% - Accent6 3 2 2 3 2 2 4" xfId="28656" xr:uid="{00000000-0005-0000-0000-0000C68E0000}"/>
    <cellStyle name="40% - Accent6 3 2 2 3 2 3" xfId="8872" xr:uid="{00000000-0005-0000-0000-0000C78E0000}"/>
    <cellStyle name="40% - Accent6 3 2 2 3 2 3 2" xfId="20173" xr:uid="{00000000-0005-0000-0000-0000C88E0000}"/>
    <cellStyle name="40% - Accent6 3 2 2 3 2 3 2 2" xfId="42775" xr:uid="{00000000-0005-0000-0000-0000C98E0000}"/>
    <cellStyle name="40% - Accent6 3 2 2 3 2 3 3" xfId="31474" xr:uid="{00000000-0005-0000-0000-0000CA8E0000}"/>
    <cellStyle name="40% - Accent6 3 2 2 3 2 4" xfId="14523" xr:uid="{00000000-0005-0000-0000-0000CB8E0000}"/>
    <cellStyle name="40% - Accent6 3 2 2 3 2 4 2" xfId="37125" xr:uid="{00000000-0005-0000-0000-0000CC8E0000}"/>
    <cellStyle name="40% - Accent6 3 2 2 3 2 5" xfId="25824" xr:uid="{00000000-0005-0000-0000-0000CD8E0000}"/>
    <cellStyle name="40% - Accent6 3 2 2 3 3" xfId="4820" xr:uid="{00000000-0005-0000-0000-0000CE8E0000}"/>
    <cellStyle name="40% - Accent6 3 2 2 3 3 2" xfId="10470" xr:uid="{00000000-0005-0000-0000-0000CF8E0000}"/>
    <cellStyle name="40% - Accent6 3 2 2 3 3 2 2" xfId="21771" xr:uid="{00000000-0005-0000-0000-0000D08E0000}"/>
    <cellStyle name="40% - Accent6 3 2 2 3 3 2 2 2" xfId="44373" xr:uid="{00000000-0005-0000-0000-0000D18E0000}"/>
    <cellStyle name="40% - Accent6 3 2 2 3 3 2 3" xfId="33072" xr:uid="{00000000-0005-0000-0000-0000D28E0000}"/>
    <cellStyle name="40% - Accent6 3 2 2 3 3 3" xfId="16121" xr:uid="{00000000-0005-0000-0000-0000D38E0000}"/>
    <cellStyle name="40% - Accent6 3 2 2 3 3 3 2" xfId="38723" xr:uid="{00000000-0005-0000-0000-0000D48E0000}"/>
    <cellStyle name="40% - Accent6 3 2 2 3 3 4" xfId="27422" xr:uid="{00000000-0005-0000-0000-0000D58E0000}"/>
    <cellStyle name="40% - Accent6 3 2 2 3 4" xfId="7007" xr:uid="{00000000-0005-0000-0000-0000D68E0000}"/>
    <cellStyle name="40% - Accent6 3 2 2 3 4 2" xfId="18308" xr:uid="{00000000-0005-0000-0000-0000D78E0000}"/>
    <cellStyle name="40% - Accent6 3 2 2 3 4 2 2" xfId="40910" xr:uid="{00000000-0005-0000-0000-0000D88E0000}"/>
    <cellStyle name="40% - Accent6 3 2 2 3 4 3" xfId="29609" xr:uid="{00000000-0005-0000-0000-0000D98E0000}"/>
    <cellStyle name="40% - Accent6 3 2 2 3 5" xfId="12658" xr:uid="{00000000-0005-0000-0000-0000DA8E0000}"/>
    <cellStyle name="40% - Accent6 3 2 2 3 5 2" xfId="35260" xr:uid="{00000000-0005-0000-0000-0000DB8E0000}"/>
    <cellStyle name="40% - Accent6 3 2 2 3 6" xfId="23959" xr:uid="{00000000-0005-0000-0000-0000DC8E0000}"/>
    <cellStyle name="40% - Accent6 3 2 2 4" xfId="2039" xr:uid="{00000000-0005-0000-0000-0000DD8E0000}"/>
    <cellStyle name="40% - Accent6 3 2 2 4 2" xfId="3823" xr:uid="{00000000-0005-0000-0000-0000DE8E0000}"/>
    <cellStyle name="40% - Accent6 3 2 2 4 2 2" xfId="9532" xr:uid="{00000000-0005-0000-0000-0000DF8E0000}"/>
    <cellStyle name="40% - Accent6 3 2 2 4 2 2 2" xfId="20833" xr:uid="{00000000-0005-0000-0000-0000E08E0000}"/>
    <cellStyle name="40% - Accent6 3 2 2 4 2 2 2 2" xfId="43435" xr:uid="{00000000-0005-0000-0000-0000E18E0000}"/>
    <cellStyle name="40% - Accent6 3 2 2 4 2 2 3" xfId="32134" xr:uid="{00000000-0005-0000-0000-0000E28E0000}"/>
    <cellStyle name="40% - Accent6 3 2 2 4 2 3" xfId="15183" xr:uid="{00000000-0005-0000-0000-0000E38E0000}"/>
    <cellStyle name="40% - Accent6 3 2 2 4 2 3 2" xfId="37785" xr:uid="{00000000-0005-0000-0000-0000E48E0000}"/>
    <cellStyle name="40% - Accent6 3 2 2 4 2 4" xfId="26484" xr:uid="{00000000-0005-0000-0000-0000E58E0000}"/>
    <cellStyle name="40% - Accent6 3 2 2 4 3" xfId="5430" xr:uid="{00000000-0005-0000-0000-0000E68E0000}"/>
    <cellStyle name="40% - Accent6 3 2 2 4 3 2" xfId="11080" xr:uid="{00000000-0005-0000-0000-0000E78E0000}"/>
    <cellStyle name="40% - Accent6 3 2 2 4 3 2 2" xfId="22381" xr:uid="{00000000-0005-0000-0000-0000E88E0000}"/>
    <cellStyle name="40% - Accent6 3 2 2 4 3 2 2 2" xfId="44983" xr:uid="{00000000-0005-0000-0000-0000E98E0000}"/>
    <cellStyle name="40% - Accent6 3 2 2 4 3 2 3" xfId="33682" xr:uid="{00000000-0005-0000-0000-0000EA8E0000}"/>
    <cellStyle name="40% - Accent6 3 2 2 4 3 3" xfId="16731" xr:uid="{00000000-0005-0000-0000-0000EB8E0000}"/>
    <cellStyle name="40% - Accent6 3 2 2 4 3 3 2" xfId="39333" xr:uid="{00000000-0005-0000-0000-0000EC8E0000}"/>
    <cellStyle name="40% - Accent6 3 2 2 4 3 4" xfId="28032" xr:uid="{00000000-0005-0000-0000-0000ED8E0000}"/>
    <cellStyle name="40% - Accent6 3 2 2 4 4" xfId="7895" xr:uid="{00000000-0005-0000-0000-0000EE8E0000}"/>
    <cellStyle name="40% - Accent6 3 2 2 4 4 2" xfId="19196" xr:uid="{00000000-0005-0000-0000-0000EF8E0000}"/>
    <cellStyle name="40% - Accent6 3 2 2 4 4 2 2" xfId="41798" xr:uid="{00000000-0005-0000-0000-0000F08E0000}"/>
    <cellStyle name="40% - Accent6 3 2 2 4 4 3" xfId="30497" xr:uid="{00000000-0005-0000-0000-0000F18E0000}"/>
    <cellStyle name="40% - Accent6 3 2 2 4 5" xfId="13546" xr:uid="{00000000-0005-0000-0000-0000F28E0000}"/>
    <cellStyle name="40% - Accent6 3 2 2 4 5 2" xfId="36148" xr:uid="{00000000-0005-0000-0000-0000F38E0000}"/>
    <cellStyle name="40% - Accent6 3 2 2 4 6" xfId="24847" xr:uid="{00000000-0005-0000-0000-0000F48E0000}"/>
    <cellStyle name="40% - Accent6 3 2 2 5" xfId="2411" xr:uid="{00000000-0005-0000-0000-0000F58E0000}"/>
    <cellStyle name="40% - Accent6 3 2 2 5 2" xfId="8247" xr:uid="{00000000-0005-0000-0000-0000F68E0000}"/>
    <cellStyle name="40% - Accent6 3 2 2 5 2 2" xfId="19548" xr:uid="{00000000-0005-0000-0000-0000F78E0000}"/>
    <cellStyle name="40% - Accent6 3 2 2 5 2 2 2" xfId="42150" xr:uid="{00000000-0005-0000-0000-0000F88E0000}"/>
    <cellStyle name="40% - Accent6 3 2 2 5 2 3" xfId="30849" xr:uid="{00000000-0005-0000-0000-0000F98E0000}"/>
    <cellStyle name="40% - Accent6 3 2 2 5 3" xfId="13898" xr:uid="{00000000-0005-0000-0000-0000FA8E0000}"/>
    <cellStyle name="40% - Accent6 3 2 2 5 3 2" xfId="36500" xr:uid="{00000000-0005-0000-0000-0000FB8E0000}"/>
    <cellStyle name="40% - Accent6 3 2 2 5 4" xfId="25199" xr:uid="{00000000-0005-0000-0000-0000FC8E0000}"/>
    <cellStyle name="40% - Accent6 3 2 2 6" xfId="4196" xr:uid="{00000000-0005-0000-0000-0000FD8E0000}"/>
    <cellStyle name="40% - Accent6 3 2 2 6 2" xfId="9846" xr:uid="{00000000-0005-0000-0000-0000FE8E0000}"/>
    <cellStyle name="40% - Accent6 3 2 2 6 2 2" xfId="21147" xr:uid="{00000000-0005-0000-0000-0000FF8E0000}"/>
    <cellStyle name="40% - Accent6 3 2 2 6 2 2 2" xfId="43749" xr:uid="{00000000-0005-0000-0000-0000008F0000}"/>
    <cellStyle name="40% - Accent6 3 2 2 6 2 3" xfId="32448" xr:uid="{00000000-0005-0000-0000-0000018F0000}"/>
    <cellStyle name="40% - Accent6 3 2 2 6 3" xfId="15497" xr:uid="{00000000-0005-0000-0000-0000028F0000}"/>
    <cellStyle name="40% - Accent6 3 2 2 6 3 2" xfId="38099" xr:uid="{00000000-0005-0000-0000-0000038F0000}"/>
    <cellStyle name="40% - Accent6 3 2 2 6 4" xfId="26798" xr:uid="{00000000-0005-0000-0000-0000048F0000}"/>
    <cellStyle name="40% - Accent6 3 2 2 7" xfId="6676" xr:uid="{00000000-0005-0000-0000-0000058F0000}"/>
    <cellStyle name="40% - Accent6 3 2 2 7 2" xfId="17977" xr:uid="{00000000-0005-0000-0000-0000068F0000}"/>
    <cellStyle name="40% - Accent6 3 2 2 7 2 2" xfId="40579" xr:uid="{00000000-0005-0000-0000-0000078F0000}"/>
    <cellStyle name="40% - Accent6 3 2 2 7 3" xfId="29278" xr:uid="{00000000-0005-0000-0000-0000088F0000}"/>
    <cellStyle name="40% - Accent6 3 2 2 8" xfId="12327" xr:uid="{00000000-0005-0000-0000-0000098F0000}"/>
    <cellStyle name="40% - Accent6 3 2 2 8 2" xfId="34929" xr:uid="{00000000-0005-0000-0000-00000A8F0000}"/>
    <cellStyle name="40% - Accent6 3 2 2 9" xfId="23628" xr:uid="{00000000-0005-0000-0000-00000B8F0000}"/>
    <cellStyle name="40% - Accent6 3 2 3" xfId="1183" xr:uid="{00000000-0005-0000-0000-00000C8F0000}"/>
    <cellStyle name="40% - Accent6 3 2 3 2" xfId="2041" xr:uid="{00000000-0005-0000-0000-00000D8F0000}"/>
    <cellStyle name="40% - Accent6 3 2 3 2 2" xfId="3251" xr:uid="{00000000-0005-0000-0000-00000E8F0000}"/>
    <cellStyle name="40% - Accent6 3 2 3 2 2 2" xfId="6223" xr:uid="{00000000-0005-0000-0000-00000F8F0000}"/>
    <cellStyle name="40% - Accent6 3 2 3 2 2 2 2" xfId="11873" xr:uid="{00000000-0005-0000-0000-0000108F0000}"/>
    <cellStyle name="40% - Accent6 3 2 3 2 2 2 2 2" xfId="23174" xr:uid="{00000000-0005-0000-0000-0000118F0000}"/>
    <cellStyle name="40% - Accent6 3 2 3 2 2 2 2 2 2" xfId="45776" xr:uid="{00000000-0005-0000-0000-0000128F0000}"/>
    <cellStyle name="40% - Accent6 3 2 3 2 2 2 2 3" xfId="34475" xr:uid="{00000000-0005-0000-0000-0000138F0000}"/>
    <cellStyle name="40% - Accent6 3 2 3 2 2 2 3" xfId="17524" xr:uid="{00000000-0005-0000-0000-0000148F0000}"/>
    <cellStyle name="40% - Accent6 3 2 3 2 2 2 3 2" xfId="40126" xr:uid="{00000000-0005-0000-0000-0000158F0000}"/>
    <cellStyle name="40% - Accent6 3 2 3 2 2 2 4" xfId="28825" xr:uid="{00000000-0005-0000-0000-0000168F0000}"/>
    <cellStyle name="40% - Accent6 3 2 3 2 2 3" xfId="9041" xr:uid="{00000000-0005-0000-0000-0000178F0000}"/>
    <cellStyle name="40% - Accent6 3 2 3 2 2 3 2" xfId="20342" xr:uid="{00000000-0005-0000-0000-0000188F0000}"/>
    <cellStyle name="40% - Accent6 3 2 3 2 2 3 2 2" xfId="42944" xr:uid="{00000000-0005-0000-0000-0000198F0000}"/>
    <cellStyle name="40% - Accent6 3 2 3 2 2 3 3" xfId="31643" xr:uid="{00000000-0005-0000-0000-00001A8F0000}"/>
    <cellStyle name="40% - Accent6 3 2 3 2 2 4" xfId="14692" xr:uid="{00000000-0005-0000-0000-00001B8F0000}"/>
    <cellStyle name="40% - Accent6 3 2 3 2 2 4 2" xfId="37294" xr:uid="{00000000-0005-0000-0000-00001C8F0000}"/>
    <cellStyle name="40% - Accent6 3 2 3 2 2 5" xfId="25993" xr:uid="{00000000-0005-0000-0000-00001D8F0000}"/>
    <cellStyle name="40% - Accent6 3 2 3 2 3" xfId="4989" xr:uid="{00000000-0005-0000-0000-00001E8F0000}"/>
    <cellStyle name="40% - Accent6 3 2 3 2 3 2" xfId="10639" xr:uid="{00000000-0005-0000-0000-00001F8F0000}"/>
    <cellStyle name="40% - Accent6 3 2 3 2 3 2 2" xfId="21940" xr:uid="{00000000-0005-0000-0000-0000208F0000}"/>
    <cellStyle name="40% - Accent6 3 2 3 2 3 2 2 2" xfId="44542" xr:uid="{00000000-0005-0000-0000-0000218F0000}"/>
    <cellStyle name="40% - Accent6 3 2 3 2 3 2 3" xfId="33241" xr:uid="{00000000-0005-0000-0000-0000228F0000}"/>
    <cellStyle name="40% - Accent6 3 2 3 2 3 3" xfId="16290" xr:uid="{00000000-0005-0000-0000-0000238F0000}"/>
    <cellStyle name="40% - Accent6 3 2 3 2 3 3 2" xfId="38892" xr:uid="{00000000-0005-0000-0000-0000248F0000}"/>
    <cellStyle name="40% - Accent6 3 2 3 2 3 4" xfId="27591" xr:uid="{00000000-0005-0000-0000-0000258F0000}"/>
    <cellStyle name="40% - Accent6 3 2 3 2 4" xfId="7897" xr:uid="{00000000-0005-0000-0000-0000268F0000}"/>
    <cellStyle name="40% - Accent6 3 2 3 2 4 2" xfId="19198" xr:uid="{00000000-0005-0000-0000-0000278F0000}"/>
    <cellStyle name="40% - Accent6 3 2 3 2 4 2 2" xfId="41800" xr:uid="{00000000-0005-0000-0000-0000288F0000}"/>
    <cellStyle name="40% - Accent6 3 2 3 2 4 3" xfId="30499" xr:uid="{00000000-0005-0000-0000-0000298F0000}"/>
    <cellStyle name="40% - Accent6 3 2 3 2 5" xfId="13548" xr:uid="{00000000-0005-0000-0000-00002A8F0000}"/>
    <cellStyle name="40% - Accent6 3 2 3 2 5 2" xfId="36150" xr:uid="{00000000-0005-0000-0000-00002B8F0000}"/>
    <cellStyle name="40% - Accent6 3 2 3 2 6" xfId="24849" xr:uid="{00000000-0005-0000-0000-00002C8F0000}"/>
    <cellStyle name="40% - Accent6 3 2 3 3" xfId="2580" xr:uid="{00000000-0005-0000-0000-00002D8F0000}"/>
    <cellStyle name="40% - Accent6 3 2 3 3 2" xfId="5599" xr:uid="{00000000-0005-0000-0000-00002E8F0000}"/>
    <cellStyle name="40% - Accent6 3 2 3 3 2 2" xfId="11249" xr:uid="{00000000-0005-0000-0000-00002F8F0000}"/>
    <cellStyle name="40% - Accent6 3 2 3 3 2 2 2" xfId="22550" xr:uid="{00000000-0005-0000-0000-0000308F0000}"/>
    <cellStyle name="40% - Accent6 3 2 3 3 2 2 2 2" xfId="45152" xr:uid="{00000000-0005-0000-0000-0000318F0000}"/>
    <cellStyle name="40% - Accent6 3 2 3 3 2 2 3" xfId="33851" xr:uid="{00000000-0005-0000-0000-0000328F0000}"/>
    <cellStyle name="40% - Accent6 3 2 3 3 2 3" xfId="16900" xr:uid="{00000000-0005-0000-0000-0000338F0000}"/>
    <cellStyle name="40% - Accent6 3 2 3 3 2 3 2" xfId="39502" xr:uid="{00000000-0005-0000-0000-0000348F0000}"/>
    <cellStyle name="40% - Accent6 3 2 3 3 2 4" xfId="28201" xr:uid="{00000000-0005-0000-0000-0000358F0000}"/>
    <cellStyle name="40% - Accent6 3 2 3 3 3" xfId="8416" xr:uid="{00000000-0005-0000-0000-0000368F0000}"/>
    <cellStyle name="40% - Accent6 3 2 3 3 3 2" xfId="19717" xr:uid="{00000000-0005-0000-0000-0000378F0000}"/>
    <cellStyle name="40% - Accent6 3 2 3 3 3 2 2" xfId="42319" xr:uid="{00000000-0005-0000-0000-0000388F0000}"/>
    <cellStyle name="40% - Accent6 3 2 3 3 3 3" xfId="31018" xr:uid="{00000000-0005-0000-0000-0000398F0000}"/>
    <cellStyle name="40% - Accent6 3 2 3 3 4" xfId="14067" xr:uid="{00000000-0005-0000-0000-00003A8F0000}"/>
    <cellStyle name="40% - Accent6 3 2 3 3 4 2" xfId="36669" xr:uid="{00000000-0005-0000-0000-00003B8F0000}"/>
    <cellStyle name="40% - Accent6 3 2 3 3 5" xfId="25368" xr:uid="{00000000-0005-0000-0000-00003C8F0000}"/>
    <cellStyle name="40% - Accent6 3 2 3 4" xfId="4365" xr:uid="{00000000-0005-0000-0000-00003D8F0000}"/>
    <cellStyle name="40% - Accent6 3 2 3 4 2" xfId="10015" xr:uid="{00000000-0005-0000-0000-00003E8F0000}"/>
    <cellStyle name="40% - Accent6 3 2 3 4 2 2" xfId="21316" xr:uid="{00000000-0005-0000-0000-00003F8F0000}"/>
    <cellStyle name="40% - Accent6 3 2 3 4 2 2 2" xfId="43918" xr:uid="{00000000-0005-0000-0000-0000408F0000}"/>
    <cellStyle name="40% - Accent6 3 2 3 4 2 3" xfId="32617" xr:uid="{00000000-0005-0000-0000-0000418F0000}"/>
    <cellStyle name="40% - Accent6 3 2 3 4 3" xfId="15666" xr:uid="{00000000-0005-0000-0000-0000428F0000}"/>
    <cellStyle name="40% - Accent6 3 2 3 4 3 2" xfId="38268" xr:uid="{00000000-0005-0000-0000-0000438F0000}"/>
    <cellStyle name="40% - Accent6 3 2 3 4 4" xfId="26967" xr:uid="{00000000-0005-0000-0000-0000448F0000}"/>
    <cellStyle name="40% - Accent6 3 2 3 5" xfId="7162" xr:uid="{00000000-0005-0000-0000-0000458F0000}"/>
    <cellStyle name="40% - Accent6 3 2 3 5 2" xfId="18463" xr:uid="{00000000-0005-0000-0000-0000468F0000}"/>
    <cellStyle name="40% - Accent6 3 2 3 5 2 2" xfId="41065" xr:uid="{00000000-0005-0000-0000-0000478F0000}"/>
    <cellStyle name="40% - Accent6 3 2 3 5 3" xfId="29764" xr:uid="{00000000-0005-0000-0000-0000488F0000}"/>
    <cellStyle name="40% - Accent6 3 2 3 6" xfId="12813" xr:uid="{00000000-0005-0000-0000-0000498F0000}"/>
    <cellStyle name="40% - Accent6 3 2 3 6 2" xfId="35415" xr:uid="{00000000-0005-0000-0000-00004A8F0000}"/>
    <cellStyle name="40% - Accent6 3 2 3 7" xfId="24114" xr:uid="{00000000-0005-0000-0000-00004B8F0000}"/>
    <cellStyle name="40% - Accent6 3 2 4" xfId="872" xr:uid="{00000000-0005-0000-0000-00004C8F0000}"/>
    <cellStyle name="40% - Accent6 3 2 4 2" xfId="2944" xr:uid="{00000000-0005-0000-0000-00004D8F0000}"/>
    <cellStyle name="40% - Accent6 3 2 4 2 2" xfId="5916" xr:uid="{00000000-0005-0000-0000-00004E8F0000}"/>
    <cellStyle name="40% - Accent6 3 2 4 2 2 2" xfId="11566" xr:uid="{00000000-0005-0000-0000-00004F8F0000}"/>
    <cellStyle name="40% - Accent6 3 2 4 2 2 2 2" xfId="22867" xr:uid="{00000000-0005-0000-0000-0000508F0000}"/>
    <cellStyle name="40% - Accent6 3 2 4 2 2 2 2 2" xfId="45469" xr:uid="{00000000-0005-0000-0000-0000518F0000}"/>
    <cellStyle name="40% - Accent6 3 2 4 2 2 2 3" xfId="34168" xr:uid="{00000000-0005-0000-0000-0000528F0000}"/>
    <cellStyle name="40% - Accent6 3 2 4 2 2 3" xfId="17217" xr:uid="{00000000-0005-0000-0000-0000538F0000}"/>
    <cellStyle name="40% - Accent6 3 2 4 2 2 3 2" xfId="39819" xr:uid="{00000000-0005-0000-0000-0000548F0000}"/>
    <cellStyle name="40% - Accent6 3 2 4 2 2 4" xfId="28518" xr:uid="{00000000-0005-0000-0000-0000558F0000}"/>
    <cellStyle name="40% - Accent6 3 2 4 2 3" xfId="8734" xr:uid="{00000000-0005-0000-0000-0000568F0000}"/>
    <cellStyle name="40% - Accent6 3 2 4 2 3 2" xfId="20035" xr:uid="{00000000-0005-0000-0000-0000578F0000}"/>
    <cellStyle name="40% - Accent6 3 2 4 2 3 2 2" xfId="42637" xr:uid="{00000000-0005-0000-0000-0000588F0000}"/>
    <cellStyle name="40% - Accent6 3 2 4 2 3 3" xfId="31336" xr:uid="{00000000-0005-0000-0000-0000598F0000}"/>
    <cellStyle name="40% - Accent6 3 2 4 2 4" xfId="14385" xr:uid="{00000000-0005-0000-0000-00005A8F0000}"/>
    <cellStyle name="40% - Accent6 3 2 4 2 4 2" xfId="36987" xr:uid="{00000000-0005-0000-0000-00005B8F0000}"/>
    <cellStyle name="40% - Accent6 3 2 4 2 5" xfId="25686" xr:uid="{00000000-0005-0000-0000-00005C8F0000}"/>
    <cellStyle name="40% - Accent6 3 2 4 3" xfId="4682" xr:uid="{00000000-0005-0000-0000-00005D8F0000}"/>
    <cellStyle name="40% - Accent6 3 2 4 3 2" xfId="10332" xr:uid="{00000000-0005-0000-0000-00005E8F0000}"/>
    <cellStyle name="40% - Accent6 3 2 4 3 2 2" xfId="21633" xr:uid="{00000000-0005-0000-0000-00005F8F0000}"/>
    <cellStyle name="40% - Accent6 3 2 4 3 2 2 2" xfId="44235" xr:uid="{00000000-0005-0000-0000-0000608F0000}"/>
    <cellStyle name="40% - Accent6 3 2 4 3 2 3" xfId="32934" xr:uid="{00000000-0005-0000-0000-0000618F0000}"/>
    <cellStyle name="40% - Accent6 3 2 4 3 3" xfId="15983" xr:uid="{00000000-0005-0000-0000-0000628F0000}"/>
    <cellStyle name="40% - Accent6 3 2 4 3 3 2" xfId="38585" xr:uid="{00000000-0005-0000-0000-0000638F0000}"/>
    <cellStyle name="40% - Accent6 3 2 4 3 4" xfId="27284" xr:uid="{00000000-0005-0000-0000-0000648F0000}"/>
    <cellStyle name="40% - Accent6 3 2 4 4" xfId="6869" xr:uid="{00000000-0005-0000-0000-0000658F0000}"/>
    <cellStyle name="40% - Accent6 3 2 4 4 2" xfId="18170" xr:uid="{00000000-0005-0000-0000-0000668F0000}"/>
    <cellStyle name="40% - Accent6 3 2 4 4 2 2" xfId="40772" xr:uid="{00000000-0005-0000-0000-0000678F0000}"/>
    <cellStyle name="40% - Accent6 3 2 4 4 3" xfId="29471" xr:uid="{00000000-0005-0000-0000-0000688F0000}"/>
    <cellStyle name="40% - Accent6 3 2 4 5" xfId="12520" xr:uid="{00000000-0005-0000-0000-0000698F0000}"/>
    <cellStyle name="40% - Accent6 3 2 4 5 2" xfId="35122" xr:uid="{00000000-0005-0000-0000-00006A8F0000}"/>
    <cellStyle name="40% - Accent6 3 2 4 6" xfId="23821" xr:uid="{00000000-0005-0000-0000-00006B8F0000}"/>
    <cellStyle name="40% - Accent6 3 2 5" xfId="2038" xr:uid="{00000000-0005-0000-0000-00006C8F0000}"/>
    <cellStyle name="40% - Accent6 3 2 5 2" xfId="3822" xr:uid="{00000000-0005-0000-0000-00006D8F0000}"/>
    <cellStyle name="40% - Accent6 3 2 5 2 2" xfId="9531" xr:uid="{00000000-0005-0000-0000-00006E8F0000}"/>
    <cellStyle name="40% - Accent6 3 2 5 2 2 2" xfId="20832" xr:uid="{00000000-0005-0000-0000-00006F8F0000}"/>
    <cellStyle name="40% - Accent6 3 2 5 2 2 2 2" xfId="43434" xr:uid="{00000000-0005-0000-0000-0000708F0000}"/>
    <cellStyle name="40% - Accent6 3 2 5 2 2 3" xfId="32133" xr:uid="{00000000-0005-0000-0000-0000718F0000}"/>
    <cellStyle name="40% - Accent6 3 2 5 2 3" xfId="15182" xr:uid="{00000000-0005-0000-0000-0000728F0000}"/>
    <cellStyle name="40% - Accent6 3 2 5 2 3 2" xfId="37784" xr:uid="{00000000-0005-0000-0000-0000738F0000}"/>
    <cellStyle name="40% - Accent6 3 2 5 2 4" xfId="26483" xr:uid="{00000000-0005-0000-0000-0000748F0000}"/>
    <cellStyle name="40% - Accent6 3 2 5 3" xfId="5292" xr:uid="{00000000-0005-0000-0000-0000758F0000}"/>
    <cellStyle name="40% - Accent6 3 2 5 3 2" xfId="10942" xr:uid="{00000000-0005-0000-0000-0000768F0000}"/>
    <cellStyle name="40% - Accent6 3 2 5 3 2 2" xfId="22243" xr:uid="{00000000-0005-0000-0000-0000778F0000}"/>
    <cellStyle name="40% - Accent6 3 2 5 3 2 2 2" xfId="44845" xr:uid="{00000000-0005-0000-0000-0000788F0000}"/>
    <cellStyle name="40% - Accent6 3 2 5 3 2 3" xfId="33544" xr:uid="{00000000-0005-0000-0000-0000798F0000}"/>
    <cellStyle name="40% - Accent6 3 2 5 3 3" xfId="16593" xr:uid="{00000000-0005-0000-0000-00007A8F0000}"/>
    <cellStyle name="40% - Accent6 3 2 5 3 3 2" xfId="39195" xr:uid="{00000000-0005-0000-0000-00007B8F0000}"/>
    <cellStyle name="40% - Accent6 3 2 5 3 4" xfId="27894" xr:uid="{00000000-0005-0000-0000-00007C8F0000}"/>
    <cellStyle name="40% - Accent6 3 2 5 4" xfId="7894" xr:uid="{00000000-0005-0000-0000-00007D8F0000}"/>
    <cellStyle name="40% - Accent6 3 2 5 4 2" xfId="19195" xr:uid="{00000000-0005-0000-0000-00007E8F0000}"/>
    <cellStyle name="40% - Accent6 3 2 5 4 2 2" xfId="41797" xr:uid="{00000000-0005-0000-0000-00007F8F0000}"/>
    <cellStyle name="40% - Accent6 3 2 5 4 3" xfId="30496" xr:uid="{00000000-0005-0000-0000-0000808F0000}"/>
    <cellStyle name="40% - Accent6 3 2 5 5" xfId="13545" xr:uid="{00000000-0005-0000-0000-0000818F0000}"/>
    <cellStyle name="40% - Accent6 3 2 5 5 2" xfId="36147" xr:uid="{00000000-0005-0000-0000-0000828F0000}"/>
    <cellStyle name="40% - Accent6 3 2 5 6" xfId="24846" xr:uid="{00000000-0005-0000-0000-0000838F0000}"/>
    <cellStyle name="40% - Accent6 3 2 6" xfId="2271" xr:uid="{00000000-0005-0000-0000-0000848F0000}"/>
    <cellStyle name="40% - Accent6 3 2 6 2" xfId="8107" xr:uid="{00000000-0005-0000-0000-0000858F0000}"/>
    <cellStyle name="40% - Accent6 3 2 6 2 2" xfId="19408" xr:uid="{00000000-0005-0000-0000-0000868F0000}"/>
    <cellStyle name="40% - Accent6 3 2 6 2 2 2" xfId="42010" xr:uid="{00000000-0005-0000-0000-0000878F0000}"/>
    <cellStyle name="40% - Accent6 3 2 6 2 3" xfId="30709" xr:uid="{00000000-0005-0000-0000-0000888F0000}"/>
    <cellStyle name="40% - Accent6 3 2 6 3" xfId="13758" xr:uid="{00000000-0005-0000-0000-0000898F0000}"/>
    <cellStyle name="40% - Accent6 3 2 6 3 2" xfId="36360" xr:uid="{00000000-0005-0000-0000-00008A8F0000}"/>
    <cellStyle name="40% - Accent6 3 2 6 4" xfId="25059" xr:uid="{00000000-0005-0000-0000-00008B8F0000}"/>
    <cellStyle name="40% - Accent6 3 2 7" xfId="4058" xr:uid="{00000000-0005-0000-0000-00008C8F0000}"/>
    <cellStyle name="40% - Accent6 3 2 7 2" xfId="9708" xr:uid="{00000000-0005-0000-0000-00008D8F0000}"/>
    <cellStyle name="40% - Accent6 3 2 7 2 2" xfId="21009" xr:uid="{00000000-0005-0000-0000-00008E8F0000}"/>
    <cellStyle name="40% - Accent6 3 2 7 2 2 2" xfId="43611" xr:uid="{00000000-0005-0000-0000-00008F8F0000}"/>
    <cellStyle name="40% - Accent6 3 2 7 2 3" xfId="32310" xr:uid="{00000000-0005-0000-0000-0000908F0000}"/>
    <cellStyle name="40% - Accent6 3 2 7 3" xfId="15359" xr:uid="{00000000-0005-0000-0000-0000918F0000}"/>
    <cellStyle name="40% - Accent6 3 2 7 3 2" xfId="37961" xr:uid="{00000000-0005-0000-0000-0000928F0000}"/>
    <cellStyle name="40% - Accent6 3 2 7 4" xfId="26660" xr:uid="{00000000-0005-0000-0000-0000938F0000}"/>
    <cellStyle name="40% - Accent6 3 2 8" xfId="6509" xr:uid="{00000000-0005-0000-0000-0000948F0000}"/>
    <cellStyle name="40% - Accent6 3 2 8 2" xfId="17810" xr:uid="{00000000-0005-0000-0000-0000958F0000}"/>
    <cellStyle name="40% - Accent6 3 2 8 2 2" xfId="40412" xr:uid="{00000000-0005-0000-0000-0000968F0000}"/>
    <cellStyle name="40% - Accent6 3 2 8 3" xfId="29111" xr:uid="{00000000-0005-0000-0000-0000978F0000}"/>
    <cellStyle name="40% - Accent6 3 2 9" xfId="12160" xr:uid="{00000000-0005-0000-0000-0000988F0000}"/>
    <cellStyle name="40% - Accent6 3 2 9 2" xfId="34762" xr:uid="{00000000-0005-0000-0000-0000998F0000}"/>
    <cellStyle name="40% - Accent6 3 3" xfId="415" xr:uid="{00000000-0005-0000-0000-00009A8F0000}"/>
    <cellStyle name="40% - Accent6 3 3 10" xfId="23510" xr:uid="{00000000-0005-0000-0000-00009B8F0000}"/>
    <cellStyle name="40% - Accent6 3 3 2" xfId="660" xr:uid="{00000000-0005-0000-0000-00009C8F0000}"/>
    <cellStyle name="40% - Accent6 3 3 2 2" xfId="1370" xr:uid="{00000000-0005-0000-0000-00009D8F0000}"/>
    <cellStyle name="40% - Accent6 3 3 2 2 2" xfId="2044" xr:uid="{00000000-0005-0000-0000-00009E8F0000}"/>
    <cellStyle name="40% - Accent6 3 3 2 2 2 2" xfId="3439" xr:uid="{00000000-0005-0000-0000-00009F8F0000}"/>
    <cellStyle name="40% - Accent6 3 3 2 2 2 2 2" xfId="6411" xr:uid="{00000000-0005-0000-0000-0000A08F0000}"/>
    <cellStyle name="40% - Accent6 3 3 2 2 2 2 2 2" xfId="12061" xr:uid="{00000000-0005-0000-0000-0000A18F0000}"/>
    <cellStyle name="40% - Accent6 3 3 2 2 2 2 2 2 2" xfId="23362" xr:uid="{00000000-0005-0000-0000-0000A28F0000}"/>
    <cellStyle name="40% - Accent6 3 3 2 2 2 2 2 2 2 2" xfId="45964" xr:uid="{00000000-0005-0000-0000-0000A38F0000}"/>
    <cellStyle name="40% - Accent6 3 3 2 2 2 2 2 2 3" xfId="34663" xr:uid="{00000000-0005-0000-0000-0000A48F0000}"/>
    <cellStyle name="40% - Accent6 3 3 2 2 2 2 2 3" xfId="17712" xr:uid="{00000000-0005-0000-0000-0000A58F0000}"/>
    <cellStyle name="40% - Accent6 3 3 2 2 2 2 2 3 2" xfId="40314" xr:uid="{00000000-0005-0000-0000-0000A68F0000}"/>
    <cellStyle name="40% - Accent6 3 3 2 2 2 2 2 4" xfId="29013" xr:uid="{00000000-0005-0000-0000-0000A78F0000}"/>
    <cellStyle name="40% - Accent6 3 3 2 2 2 2 3" xfId="9229" xr:uid="{00000000-0005-0000-0000-0000A88F0000}"/>
    <cellStyle name="40% - Accent6 3 3 2 2 2 2 3 2" xfId="20530" xr:uid="{00000000-0005-0000-0000-0000A98F0000}"/>
    <cellStyle name="40% - Accent6 3 3 2 2 2 2 3 2 2" xfId="43132" xr:uid="{00000000-0005-0000-0000-0000AA8F0000}"/>
    <cellStyle name="40% - Accent6 3 3 2 2 2 2 3 3" xfId="31831" xr:uid="{00000000-0005-0000-0000-0000AB8F0000}"/>
    <cellStyle name="40% - Accent6 3 3 2 2 2 2 4" xfId="14880" xr:uid="{00000000-0005-0000-0000-0000AC8F0000}"/>
    <cellStyle name="40% - Accent6 3 3 2 2 2 2 4 2" xfId="37482" xr:uid="{00000000-0005-0000-0000-0000AD8F0000}"/>
    <cellStyle name="40% - Accent6 3 3 2 2 2 2 5" xfId="26181" xr:uid="{00000000-0005-0000-0000-0000AE8F0000}"/>
    <cellStyle name="40% - Accent6 3 3 2 2 2 3" xfId="5177" xr:uid="{00000000-0005-0000-0000-0000AF8F0000}"/>
    <cellStyle name="40% - Accent6 3 3 2 2 2 3 2" xfId="10827" xr:uid="{00000000-0005-0000-0000-0000B08F0000}"/>
    <cellStyle name="40% - Accent6 3 3 2 2 2 3 2 2" xfId="22128" xr:uid="{00000000-0005-0000-0000-0000B18F0000}"/>
    <cellStyle name="40% - Accent6 3 3 2 2 2 3 2 2 2" xfId="44730" xr:uid="{00000000-0005-0000-0000-0000B28F0000}"/>
    <cellStyle name="40% - Accent6 3 3 2 2 2 3 2 3" xfId="33429" xr:uid="{00000000-0005-0000-0000-0000B38F0000}"/>
    <cellStyle name="40% - Accent6 3 3 2 2 2 3 3" xfId="16478" xr:uid="{00000000-0005-0000-0000-0000B48F0000}"/>
    <cellStyle name="40% - Accent6 3 3 2 2 2 3 3 2" xfId="39080" xr:uid="{00000000-0005-0000-0000-0000B58F0000}"/>
    <cellStyle name="40% - Accent6 3 3 2 2 2 3 4" xfId="27779" xr:uid="{00000000-0005-0000-0000-0000B68F0000}"/>
    <cellStyle name="40% - Accent6 3 3 2 2 2 4" xfId="7900" xr:uid="{00000000-0005-0000-0000-0000B78F0000}"/>
    <cellStyle name="40% - Accent6 3 3 2 2 2 4 2" xfId="19201" xr:uid="{00000000-0005-0000-0000-0000B88F0000}"/>
    <cellStyle name="40% - Accent6 3 3 2 2 2 4 2 2" xfId="41803" xr:uid="{00000000-0005-0000-0000-0000B98F0000}"/>
    <cellStyle name="40% - Accent6 3 3 2 2 2 4 3" xfId="30502" xr:uid="{00000000-0005-0000-0000-0000BA8F0000}"/>
    <cellStyle name="40% - Accent6 3 3 2 2 2 5" xfId="13551" xr:uid="{00000000-0005-0000-0000-0000BB8F0000}"/>
    <cellStyle name="40% - Accent6 3 3 2 2 2 5 2" xfId="36153" xr:uid="{00000000-0005-0000-0000-0000BC8F0000}"/>
    <cellStyle name="40% - Accent6 3 3 2 2 2 6" xfId="24852" xr:uid="{00000000-0005-0000-0000-0000BD8F0000}"/>
    <cellStyle name="40% - Accent6 3 3 2 2 3" xfId="2768" xr:uid="{00000000-0005-0000-0000-0000BE8F0000}"/>
    <cellStyle name="40% - Accent6 3 3 2 2 3 2" xfId="5787" xr:uid="{00000000-0005-0000-0000-0000BF8F0000}"/>
    <cellStyle name="40% - Accent6 3 3 2 2 3 2 2" xfId="11437" xr:uid="{00000000-0005-0000-0000-0000C08F0000}"/>
    <cellStyle name="40% - Accent6 3 3 2 2 3 2 2 2" xfId="22738" xr:uid="{00000000-0005-0000-0000-0000C18F0000}"/>
    <cellStyle name="40% - Accent6 3 3 2 2 3 2 2 2 2" xfId="45340" xr:uid="{00000000-0005-0000-0000-0000C28F0000}"/>
    <cellStyle name="40% - Accent6 3 3 2 2 3 2 2 3" xfId="34039" xr:uid="{00000000-0005-0000-0000-0000C38F0000}"/>
    <cellStyle name="40% - Accent6 3 3 2 2 3 2 3" xfId="17088" xr:uid="{00000000-0005-0000-0000-0000C48F0000}"/>
    <cellStyle name="40% - Accent6 3 3 2 2 3 2 3 2" xfId="39690" xr:uid="{00000000-0005-0000-0000-0000C58F0000}"/>
    <cellStyle name="40% - Accent6 3 3 2 2 3 2 4" xfId="28389" xr:uid="{00000000-0005-0000-0000-0000C68F0000}"/>
    <cellStyle name="40% - Accent6 3 3 2 2 3 3" xfId="8604" xr:uid="{00000000-0005-0000-0000-0000C78F0000}"/>
    <cellStyle name="40% - Accent6 3 3 2 2 3 3 2" xfId="19905" xr:uid="{00000000-0005-0000-0000-0000C88F0000}"/>
    <cellStyle name="40% - Accent6 3 3 2 2 3 3 2 2" xfId="42507" xr:uid="{00000000-0005-0000-0000-0000C98F0000}"/>
    <cellStyle name="40% - Accent6 3 3 2 2 3 3 3" xfId="31206" xr:uid="{00000000-0005-0000-0000-0000CA8F0000}"/>
    <cellStyle name="40% - Accent6 3 3 2 2 3 4" xfId="14255" xr:uid="{00000000-0005-0000-0000-0000CB8F0000}"/>
    <cellStyle name="40% - Accent6 3 3 2 2 3 4 2" xfId="36857" xr:uid="{00000000-0005-0000-0000-0000CC8F0000}"/>
    <cellStyle name="40% - Accent6 3 3 2 2 3 5" xfId="25556" xr:uid="{00000000-0005-0000-0000-0000CD8F0000}"/>
    <cellStyle name="40% - Accent6 3 3 2 2 4" xfId="4553" xr:uid="{00000000-0005-0000-0000-0000CE8F0000}"/>
    <cellStyle name="40% - Accent6 3 3 2 2 4 2" xfId="10203" xr:uid="{00000000-0005-0000-0000-0000CF8F0000}"/>
    <cellStyle name="40% - Accent6 3 3 2 2 4 2 2" xfId="21504" xr:uid="{00000000-0005-0000-0000-0000D08F0000}"/>
    <cellStyle name="40% - Accent6 3 3 2 2 4 2 2 2" xfId="44106" xr:uid="{00000000-0005-0000-0000-0000D18F0000}"/>
    <cellStyle name="40% - Accent6 3 3 2 2 4 2 3" xfId="32805" xr:uid="{00000000-0005-0000-0000-0000D28F0000}"/>
    <cellStyle name="40% - Accent6 3 3 2 2 4 3" xfId="15854" xr:uid="{00000000-0005-0000-0000-0000D38F0000}"/>
    <cellStyle name="40% - Accent6 3 3 2 2 4 3 2" xfId="38456" xr:uid="{00000000-0005-0000-0000-0000D48F0000}"/>
    <cellStyle name="40% - Accent6 3 3 2 2 4 4" xfId="27155" xr:uid="{00000000-0005-0000-0000-0000D58F0000}"/>
    <cellStyle name="40% - Accent6 3 3 2 2 5" xfId="7349" xr:uid="{00000000-0005-0000-0000-0000D68F0000}"/>
    <cellStyle name="40% - Accent6 3 3 2 2 5 2" xfId="18650" xr:uid="{00000000-0005-0000-0000-0000D78F0000}"/>
    <cellStyle name="40% - Accent6 3 3 2 2 5 2 2" xfId="41252" xr:uid="{00000000-0005-0000-0000-0000D88F0000}"/>
    <cellStyle name="40% - Accent6 3 3 2 2 5 3" xfId="29951" xr:uid="{00000000-0005-0000-0000-0000D98F0000}"/>
    <cellStyle name="40% - Accent6 3 3 2 2 6" xfId="13000" xr:uid="{00000000-0005-0000-0000-0000DA8F0000}"/>
    <cellStyle name="40% - Accent6 3 3 2 2 6 2" xfId="35602" xr:uid="{00000000-0005-0000-0000-0000DB8F0000}"/>
    <cellStyle name="40% - Accent6 3 3 2 2 7" xfId="24301" xr:uid="{00000000-0005-0000-0000-0000DC8F0000}"/>
    <cellStyle name="40% - Accent6 3 3 2 3" xfId="1068" xr:uid="{00000000-0005-0000-0000-0000DD8F0000}"/>
    <cellStyle name="40% - Accent6 3 3 2 3 2" xfId="3131" xr:uid="{00000000-0005-0000-0000-0000DE8F0000}"/>
    <cellStyle name="40% - Accent6 3 3 2 3 2 2" xfId="6103" xr:uid="{00000000-0005-0000-0000-0000DF8F0000}"/>
    <cellStyle name="40% - Accent6 3 3 2 3 2 2 2" xfId="11753" xr:uid="{00000000-0005-0000-0000-0000E08F0000}"/>
    <cellStyle name="40% - Accent6 3 3 2 3 2 2 2 2" xfId="23054" xr:uid="{00000000-0005-0000-0000-0000E18F0000}"/>
    <cellStyle name="40% - Accent6 3 3 2 3 2 2 2 2 2" xfId="45656" xr:uid="{00000000-0005-0000-0000-0000E28F0000}"/>
    <cellStyle name="40% - Accent6 3 3 2 3 2 2 2 3" xfId="34355" xr:uid="{00000000-0005-0000-0000-0000E38F0000}"/>
    <cellStyle name="40% - Accent6 3 3 2 3 2 2 3" xfId="17404" xr:uid="{00000000-0005-0000-0000-0000E48F0000}"/>
    <cellStyle name="40% - Accent6 3 3 2 3 2 2 3 2" xfId="40006" xr:uid="{00000000-0005-0000-0000-0000E58F0000}"/>
    <cellStyle name="40% - Accent6 3 3 2 3 2 2 4" xfId="28705" xr:uid="{00000000-0005-0000-0000-0000E68F0000}"/>
    <cellStyle name="40% - Accent6 3 3 2 3 2 3" xfId="8921" xr:uid="{00000000-0005-0000-0000-0000E78F0000}"/>
    <cellStyle name="40% - Accent6 3 3 2 3 2 3 2" xfId="20222" xr:uid="{00000000-0005-0000-0000-0000E88F0000}"/>
    <cellStyle name="40% - Accent6 3 3 2 3 2 3 2 2" xfId="42824" xr:uid="{00000000-0005-0000-0000-0000E98F0000}"/>
    <cellStyle name="40% - Accent6 3 3 2 3 2 3 3" xfId="31523" xr:uid="{00000000-0005-0000-0000-0000EA8F0000}"/>
    <cellStyle name="40% - Accent6 3 3 2 3 2 4" xfId="14572" xr:uid="{00000000-0005-0000-0000-0000EB8F0000}"/>
    <cellStyle name="40% - Accent6 3 3 2 3 2 4 2" xfId="37174" xr:uid="{00000000-0005-0000-0000-0000EC8F0000}"/>
    <cellStyle name="40% - Accent6 3 3 2 3 2 5" xfId="25873" xr:uid="{00000000-0005-0000-0000-0000ED8F0000}"/>
    <cellStyle name="40% - Accent6 3 3 2 3 3" xfId="4869" xr:uid="{00000000-0005-0000-0000-0000EE8F0000}"/>
    <cellStyle name="40% - Accent6 3 3 2 3 3 2" xfId="10519" xr:uid="{00000000-0005-0000-0000-0000EF8F0000}"/>
    <cellStyle name="40% - Accent6 3 3 2 3 3 2 2" xfId="21820" xr:uid="{00000000-0005-0000-0000-0000F08F0000}"/>
    <cellStyle name="40% - Accent6 3 3 2 3 3 2 2 2" xfId="44422" xr:uid="{00000000-0005-0000-0000-0000F18F0000}"/>
    <cellStyle name="40% - Accent6 3 3 2 3 3 2 3" xfId="33121" xr:uid="{00000000-0005-0000-0000-0000F28F0000}"/>
    <cellStyle name="40% - Accent6 3 3 2 3 3 3" xfId="16170" xr:uid="{00000000-0005-0000-0000-0000F38F0000}"/>
    <cellStyle name="40% - Accent6 3 3 2 3 3 3 2" xfId="38772" xr:uid="{00000000-0005-0000-0000-0000F48F0000}"/>
    <cellStyle name="40% - Accent6 3 3 2 3 3 4" xfId="27471" xr:uid="{00000000-0005-0000-0000-0000F58F0000}"/>
    <cellStyle name="40% - Accent6 3 3 2 3 4" xfId="7056" xr:uid="{00000000-0005-0000-0000-0000F68F0000}"/>
    <cellStyle name="40% - Accent6 3 3 2 3 4 2" xfId="18357" xr:uid="{00000000-0005-0000-0000-0000F78F0000}"/>
    <cellStyle name="40% - Accent6 3 3 2 3 4 2 2" xfId="40959" xr:uid="{00000000-0005-0000-0000-0000F88F0000}"/>
    <cellStyle name="40% - Accent6 3 3 2 3 4 3" xfId="29658" xr:uid="{00000000-0005-0000-0000-0000F98F0000}"/>
    <cellStyle name="40% - Accent6 3 3 2 3 5" xfId="12707" xr:uid="{00000000-0005-0000-0000-0000FA8F0000}"/>
    <cellStyle name="40% - Accent6 3 3 2 3 5 2" xfId="35309" xr:uid="{00000000-0005-0000-0000-0000FB8F0000}"/>
    <cellStyle name="40% - Accent6 3 3 2 3 6" xfId="24008" xr:uid="{00000000-0005-0000-0000-0000FC8F0000}"/>
    <cellStyle name="40% - Accent6 3 3 2 4" xfId="2043" xr:uid="{00000000-0005-0000-0000-0000FD8F0000}"/>
    <cellStyle name="40% - Accent6 3 3 2 4 2" xfId="3825" xr:uid="{00000000-0005-0000-0000-0000FE8F0000}"/>
    <cellStyle name="40% - Accent6 3 3 2 4 2 2" xfId="9534" xr:uid="{00000000-0005-0000-0000-0000FF8F0000}"/>
    <cellStyle name="40% - Accent6 3 3 2 4 2 2 2" xfId="20835" xr:uid="{00000000-0005-0000-0000-000000900000}"/>
    <cellStyle name="40% - Accent6 3 3 2 4 2 2 2 2" xfId="43437" xr:uid="{00000000-0005-0000-0000-000001900000}"/>
    <cellStyle name="40% - Accent6 3 3 2 4 2 2 3" xfId="32136" xr:uid="{00000000-0005-0000-0000-000002900000}"/>
    <cellStyle name="40% - Accent6 3 3 2 4 2 3" xfId="15185" xr:uid="{00000000-0005-0000-0000-000003900000}"/>
    <cellStyle name="40% - Accent6 3 3 2 4 2 3 2" xfId="37787" xr:uid="{00000000-0005-0000-0000-000004900000}"/>
    <cellStyle name="40% - Accent6 3 3 2 4 2 4" xfId="26486" xr:uid="{00000000-0005-0000-0000-000005900000}"/>
    <cellStyle name="40% - Accent6 3 3 2 4 3" xfId="5479" xr:uid="{00000000-0005-0000-0000-000006900000}"/>
    <cellStyle name="40% - Accent6 3 3 2 4 3 2" xfId="11129" xr:uid="{00000000-0005-0000-0000-000007900000}"/>
    <cellStyle name="40% - Accent6 3 3 2 4 3 2 2" xfId="22430" xr:uid="{00000000-0005-0000-0000-000008900000}"/>
    <cellStyle name="40% - Accent6 3 3 2 4 3 2 2 2" xfId="45032" xr:uid="{00000000-0005-0000-0000-000009900000}"/>
    <cellStyle name="40% - Accent6 3 3 2 4 3 2 3" xfId="33731" xr:uid="{00000000-0005-0000-0000-00000A900000}"/>
    <cellStyle name="40% - Accent6 3 3 2 4 3 3" xfId="16780" xr:uid="{00000000-0005-0000-0000-00000B900000}"/>
    <cellStyle name="40% - Accent6 3 3 2 4 3 3 2" xfId="39382" xr:uid="{00000000-0005-0000-0000-00000C900000}"/>
    <cellStyle name="40% - Accent6 3 3 2 4 3 4" xfId="28081" xr:uid="{00000000-0005-0000-0000-00000D900000}"/>
    <cellStyle name="40% - Accent6 3 3 2 4 4" xfId="7899" xr:uid="{00000000-0005-0000-0000-00000E900000}"/>
    <cellStyle name="40% - Accent6 3 3 2 4 4 2" xfId="19200" xr:uid="{00000000-0005-0000-0000-00000F900000}"/>
    <cellStyle name="40% - Accent6 3 3 2 4 4 2 2" xfId="41802" xr:uid="{00000000-0005-0000-0000-000010900000}"/>
    <cellStyle name="40% - Accent6 3 3 2 4 4 3" xfId="30501" xr:uid="{00000000-0005-0000-0000-000011900000}"/>
    <cellStyle name="40% - Accent6 3 3 2 4 5" xfId="13550" xr:uid="{00000000-0005-0000-0000-000012900000}"/>
    <cellStyle name="40% - Accent6 3 3 2 4 5 2" xfId="36152" xr:uid="{00000000-0005-0000-0000-000013900000}"/>
    <cellStyle name="40% - Accent6 3 3 2 4 6" xfId="24851" xr:uid="{00000000-0005-0000-0000-000014900000}"/>
    <cellStyle name="40% - Accent6 3 3 2 5" xfId="2460" xr:uid="{00000000-0005-0000-0000-000015900000}"/>
    <cellStyle name="40% - Accent6 3 3 2 5 2" xfId="8296" xr:uid="{00000000-0005-0000-0000-000016900000}"/>
    <cellStyle name="40% - Accent6 3 3 2 5 2 2" xfId="19597" xr:uid="{00000000-0005-0000-0000-000017900000}"/>
    <cellStyle name="40% - Accent6 3 3 2 5 2 2 2" xfId="42199" xr:uid="{00000000-0005-0000-0000-000018900000}"/>
    <cellStyle name="40% - Accent6 3 3 2 5 2 3" xfId="30898" xr:uid="{00000000-0005-0000-0000-000019900000}"/>
    <cellStyle name="40% - Accent6 3 3 2 5 3" xfId="13947" xr:uid="{00000000-0005-0000-0000-00001A900000}"/>
    <cellStyle name="40% - Accent6 3 3 2 5 3 2" xfId="36549" xr:uid="{00000000-0005-0000-0000-00001B900000}"/>
    <cellStyle name="40% - Accent6 3 3 2 5 4" xfId="25248" xr:uid="{00000000-0005-0000-0000-00001C900000}"/>
    <cellStyle name="40% - Accent6 3 3 2 6" xfId="4245" xr:uid="{00000000-0005-0000-0000-00001D900000}"/>
    <cellStyle name="40% - Accent6 3 3 2 6 2" xfId="9895" xr:uid="{00000000-0005-0000-0000-00001E900000}"/>
    <cellStyle name="40% - Accent6 3 3 2 6 2 2" xfId="21196" xr:uid="{00000000-0005-0000-0000-00001F900000}"/>
    <cellStyle name="40% - Accent6 3 3 2 6 2 2 2" xfId="43798" xr:uid="{00000000-0005-0000-0000-000020900000}"/>
    <cellStyle name="40% - Accent6 3 3 2 6 2 3" xfId="32497" xr:uid="{00000000-0005-0000-0000-000021900000}"/>
    <cellStyle name="40% - Accent6 3 3 2 6 3" xfId="15546" xr:uid="{00000000-0005-0000-0000-000022900000}"/>
    <cellStyle name="40% - Accent6 3 3 2 6 3 2" xfId="38148" xr:uid="{00000000-0005-0000-0000-000023900000}"/>
    <cellStyle name="40% - Accent6 3 3 2 6 4" xfId="26847" xr:uid="{00000000-0005-0000-0000-000024900000}"/>
    <cellStyle name="40% - Accent6 3 3 2 7" xfId="6725" xr:uid="{00000000-0005-0000-0000-000025900000}"/>
    <cellStyle name="40% - Accent6 3 3 2 7 2" xfId="18026" xr:uid="{00000000-0005-0000-0000-000026900000}"/>
    <cellStyle name="40% - Accent6 3 3 2 7 2 2" xfId="40628" xr:uid="{00000000-0005-0000-0000-000027900000}"/>
    <cellStyle name="40% - Accent6 3 3 2 7 3" xfId="29327" xr:uid="{00000000-0005-0000-0000-000028900000}"/>
    <cellStyle name="40% - Accent6 3 3 2 8" xfId="12376" xr:uid="{00000000-0005-0000-0000-000029900000}"/>
    <cellStyle name="40% - Accent6 3 3 2 8 2" xfId="34978" xr:uid="{00000000-0005-0000-0000-00002A900000}"/>
    <cellStyle name="40% - Accent6 3 3 2 9" xfId="23677" xr:uid="{00000000-0005-0000-0000-00002B900000}"/>
    <cellStyle name="40% - Accent6 3 3 3" xfId="1232" xr:uid="{00000000-0005-0000-0000-00002C900000}"/>
    <cellStyle name="40% - Accent6 3 3 3 2" xfId="2045" xr:uid="{00000000-0005-0000-0000-00002D900000}"/>
    <cellStyle name="40% - Accent6 3 3 3 2 2" xfId="3300" xr:uid="{00000000-0005-0000-0000-00002E900000}"/>
    <cellStyle name="40% - Accent6 3 3 3 2 2 2" xfId="6272" xr:uid="{00000000-0005-0000-0000-00002F900000}"/>
    <cellStyle name="40% - Accent6 3 3 3 2 2 2 2" xfId="11922" xr:uid="{00000000-0005-0000-0000-000030900000}"/>
    <cellStyle name="40% - Accent6 3 3 3 2 2 2 2 2" xfId="23223" xr:uid="{00000000-0005-0000-0000-000031900000}"/>
    <cellStyle name="40% - Accent6 3 3 3 2 2 2 2 2 2" xfId="45825" xr:uid="{00000000-0005-0000-0000-000032900000}"/>
    <cellStyle name="40% - Accent6 3 3 3 2 2 2 2 3" xfId="34524" xr:uid="{00000000-0005-0000-0000-000033900000}"/>
    <cellStyle name="40% - Accent6 3 3 3 2 2 2 3" xfId="17573" xr:uid="{00000000-0005-0000-0000-000034900000}"/>
    <cellStyle name="40% - Accent6 3 3 3 2 2 2 3 2" xfId="40175" xr:uid="{00000000-0005-0000-0000-000035900000}"/>
    <cellStyle name="40% - Accent6 3 3 3 2 2 2 4" xfId="28874" xr:uid="{00000000-0005-0000-0000-000036900000}"/>
    <cellStyle name="40% - Accent6 3 3 3 2 2 3" xfId="9090" xr:uid="{00000000-0005-0000-0000-000037900000}"/>
    <cellStyle name="40% - Accent6 3 3 3 2 2 3 2" xfId="20391" xr:uid="{00000000-0005-0000-0000-000038900000}"/>
    <cellStyle name="40% - Accent6 3 3 3 2 2 3 2 2" xfId="42993" xr:uid="{00000000-0005-0000-0000-000039900000}"/>
    <cellStyle name="40% - Accent6 3 3 3 2 2 3 3" xfId="31692" xr:uid="{00000000-0005-0000-0000-00003A900000}"/>
    <cellStyle name="40% - Accent6 3 3 3 2 2 4" xfId="14741" xr:uid="{00000000-0005-0000-0000-00003B900000}"/>
    <cellStyle name="40% - Accent6 3 3 3 2 2 4 2" xfId="37343" xr:uid="{00000000-0005-0000-0000-00003C900000}"/>
    <cellStyle name="40% - Accent6 3 3 3 2 2 5" xfId="26042" xr:uid="{00000000-0005-0000-0000-00003D900000}"/>
    <cellStyle name="40% - Accent6 3 3 3 2 3" xfId="5038" xr:uid="{00000000-0005-0000-0000-00003E900000}"/>
    <cellStyle name="40% - Accent6 3 3 3 2 3 2" xfId="10688" xr:uid="{00000000-0005-0000-0000-00003F900000}"/>
    <cellStyle name="40% - Accent6 3 3 3 2 3 2 2" xfId="21989" xr:uid="{00000000-0005-0000-0000-000040900000}"/>
    <cellStyle name="40% - Accent6 3 3 3 2 3 2 2 2" xfId="44591" xr:uid="{00000000-0005-0000-0000-000041900000}"/>
    <cellStyle name="40% - Accent6 3 3 3 2 3 2 3" xfId="33290" xr:uid="{00000000-0005-0000-0000-000042900000}"/>
    <cellStyle name="40% - Accent6 3 3 3 2 3 3" xfId="16339" xr:uid="{00000000-0005-0000-0000-000043900000}"/>
    <cellStyle name="40% - Accent6 3 3 3 2 3 3 2" xfId="38941" xr:uid="{00000000-0005-0000-0000-000044900000}"/>
    <cellStyle name="40% - Accent6 3 3 3 2 3 4" xfId="27640" xr:uid="{00000000-0005-0000-0000-000045900000}"/>
    <cellStyle name="40% - Accent6 3 3 3 2 4" xfId="7901" xr:uid="{00000000-0005-0000-0000-000046900000}"/>
    <cellStyle name="40% - Accent6 3 3 3 2 4 2" xfId="19202" xr:uid="{00000000-0005-0000-0000-000047900000}"/>
    <cellStyle name="40% - Accent6 3 3 3 2 4 2 2" xfId="41804" xr:uid="{00000000-0005-0000-0000-000048900000}"/>
    <cellStyle name="40% - Accent6 3 3 3 2 4 3" xfId="30503" xr:uid="{00000000-0005-0000-0000-000049900000}"/>
    <cellStyle name="40% - Accent6 3 3 3 2 5" xfId="13552" xr:uid="{00000000-0005-0000-0000-00004A900000}"/>
    <cellStyle name="40% - Accent6 3 3 3 2 5 2" xfId="36154" xr:uid="{00000000-0005-0000-0000-00004B900000}"/>
    <cellStyle name="40% - Accent6 3 3 3 2 6" xfId="24853" xr:uid="{00000000-0005-0000-0000-00004C900000}"/>
    <cellStyle name="40% - Accent6 3 3 3 3" xfId="2629" xr:uid="{00000000-0005-0000-0000-00004D900000}"/>
    <cellStyle name="40% - Accent6 3 3 3 3 2" xfId="5648" xr:uid="{00000000-0005-0000-0000-00004E900000}"/>
    <cellStyle name="40% - Accent6 3 3 3 3 2 2" xfId="11298" xr:uid="{00000000-0005-0000-0000-00004F900000}"/>
    <cellStyle name="40% - Accent6 3 3 3 3 2 2 2" xfId="22599" xr:uid="{00000000-0005-0000-0000-000050900000}"/>
    <cellStyle name="40% - Accent6 3 3 3 3 2 2 2 2" xfId="45201" xr:uid="{00000000-0005-0000-0000-000051900000}"/>
    <cellStyle name="40% - Accent6 3 3 3 3 2 2 3" xfId="33900" xr:uid="{00000000-0005-0000-0000-000052900000}"/>
    <cellStyle name="40% - Accent6 3 3 3 3 2 3" xfId="16949" xr:uid="{00000000-0005-0000-0000-000053900000}"/>
    <cellStyle name="40% - Accent6 3 3 3 3 2 3 2" xfId="39551" xr:uid="{00000000-0005-0000-0000-000054900000}"/>
    <cellStyle name="40% - Accent6 3 3 3 3 2 4" xfId="28250" xr:uid="{00000000-0005-0000-0000-000055900000}"/>
    <cellStyle name="40% - Accent6 3 3 3 3 3" xfId="8465" xr:uid="{00000000-0005-0000-0000-000056900000}"/>
    <cellStyle name="40% - Accent6 3 3 3 3 3 2" xfId="19766" xr:uid="{00000000-0005-0000-0000-000057900000}"/>
    <cellStyle name="40% - Accent6 3 3 3 3 3 2 2" xfId="42368" xr:uid="{00000000-0005-0000-0000-000058900000}"/>
    <cellStyle name="40% - Accent6 3 3 3 3 3 3" xfId="31067" xr:uid="{00000000-0005-0000-0000-000059900000}"/>
    <cellStyle name="40% - Accent6 3 3 3 3 4" xfId="14116" xr:uid="{00000000-0005-0000-0000-00005A900000}"/>
    <cellStyle name="40% - Accent6 3 3 3 3 4 2" xfId="36718" xr:uid="{00000000-0005-0000-0000-00005B900000}"/>
    <cellStyle name="40% - Accent6 3 3 3 3 5" xfId="25417" xr:uid="{00000000-0005-0000-0000-00005C900000}"/>
    <cellStyle name="40% - Accent6 3 3 3 4" xfId="4414" xr:uid="{00000000-0005-0000-0000-00005D900000}"/>
    <cellStyle name="40% - Accent6 3 3 3 4 2" xfId="10064" xr:uid="{00000000-0005-0000-0000-00005E900000}"/>
    <cellStyle name="40% - Accent6 3 3 3 4 2 2" xfId="21365" xr:uid="{00000000-0005-0000-0000-00005F900000}"/>
    <cellStyle name="40% - Accent6 3 3 3 4 2 2 2" xfId="43967" xr:uid="{00000000-0005-0000-0000-000060900000}"/>
    <cellStyle name="40% - Accent6 3 3 3 4 2 3" xfId="32666" xr:uid="{00000000-0005-0000-0000-000061900000}"/>
    <cellStyle name="40% - Accent6 3 3 3 4 3" xfId="15715" xr:uid="{00000000-0005-0000-0000-000062900000}"/>
    <cellStyle name="40% - Accent6 3 3 3 4 3 2" xfId="38317" xr:uid="{00000000-0005-0000-0000-000063900000}"/>
    <cellStyle name="40% - Accent6 3 3 3 4 4" xfId="27016" xr:uid="{00000000-0005-0000-0000-000064900000}"/>
    <cellStyle name="40% - Accent6 3 3 3 5" xfId="7211" xr:uid="{00000000-0005-0000-0000-000065900000}"/>
    <cellStyle name="40% - Accent6 3 3 3 5 2" xfId="18512" xr:uid="{00000000-0005-0000-0000-000066900000}"/>
    <cellStyle name="40% - Accent6 3 3 3 5 2 2" xfId="41114" xr:uid="{00000000-0005-0000-0000-000067900000}"/>
    <cellStyle name="40% - Accent6 3 3 3 5 3" xfId="29813" xr:uid="{00000000-0005-0000-0000-000068900000}"/>
    <cellStyle name="40% - Accent6 3 3 3 6" xfId="12862" xr:uid="{00000000-0005-0000-0000-000069900000}"/>
    <cellStyle name="40% - Accent6 3 3 3 6 2" xfId="35464" xr:uid="{00000000-0005-0000-0000-00006A900000}"/>
    <cellStyle name="40% - Accent6 3 3 3 7" xfId="24163" xr:uid="{00000000-0005-0000-0000-00006B900000}"/>
    <cellStyle name="40% - Accent6 3 3 4" xfId="923" xr:uid="{00000000-0005-0000-0000-00006C900000}"/>
    <cellStyle name="40% - Accent6 3 3 4 2" xfId="2993" xr:uid="{00000000-0005-0000-0000-00006D900000}"/>
    <cellStyle name="40% - Accent6 3 3 4 2 2" xfId="5965" xr:uid="{00000000-0005-0000-0000-00006E900000}"/>
    <cellStyle name="40% - Accent6 3 3 4 2 2 2" xfId="11615" xr:uid="{00000000-0005-0000-0000-00006F900000}"/>
    <cellStyle name="40% - Accent6 3 3 4 2 2 2 2" xfId="22916" xr:uid="{00000000-0005-0000-0000-000070900000}"/>
    <cellStyle name="40% - Accent6 3 3 4 2 2 2 2 2" xfId="45518" xr:uid="{00000000-0005-0000-0000-000071900000}"/>
    <cellStyle name="40% - Accent6 3 3 4 2 2 2 3" xfId="34217" xr:uid="{00000000-0005-0000-0000-000072900000}"/>
    <cellStyle name="40% - Accent6 3 3 4 2 2 3" xfId="17266" xr:uid="{00000000-0005-0000-0000-000073900000}"/>
    <cellStyle name="40% - Accent6 3 3 4 2 2 3 2" xfId="39868" xr:uid="{00000000-0005-0000-0000-000074900000}"/>
    <cellStyle name="40% - Accent6 3 3 4 2 2 4" xfId="28567" xr:uid="{00000000-0005-0000-0000-000075900000}"/>
    <cellStyle name="40% - Accent6 3 3 4 2 3" xfId="8783" xr:uid="{00000000-0005-0000-0000-000076900000}"/>
    <cellStyle name="40% - Accent6 3 3 4 2 3 2" xfId="20084" xr:uid="{00000000-0005-0000-0000-000077900000}"/>
    <cellStyle name="40% - Accent6 3 3 4 2 3 2 2" xfId="42686" xr:uid="{00000000-0005-0000-0000-000078900000}"/>
    <cellStyle name="40% - Accent6 3 3 4 2 3 3" xfId="31385" xr:uid="{00000000-0005-0000-0000-000079900000}"/>
    <cellStyle name="40% - Accent6 3 3 4 2 4" xfId="14434" xr:uid="{00000000-0005-0000-0000-00007A900000}"/>
    <cellStyle name="40% - Accent6 3 3 4 2 4 2" xfId="37036" xr:uid="{00000000-0005-0000-0000-00007B900000}"/>
    <cellStyle name="40% - Accent6 3 3 4 2 5" xfId="25735" xr:uid="{00000000-0005-0000-0000-00007C900000}"/>
    <cellStyle name="40% - Accent6 3 3 4 3" xfId="4731" xr:uid="{00000000-0005-0000-0000-00007D900000}"/>
    <cellStyle name="40% - Accent6 3 3 4 3 2" xfId="10381" xr:uid="{00000000-0005-0000-0000-00007E900000}"/>
    <cellStyle name="40% - Accent6 3 3 4 3 2 2" xfId="21682" xr:uid="{00000000-0005-0000-0000-00007F900000}"/>
    <cellStyle name="40% - Accent6 3 3 4 3 2 2 2" xfId="44284" xr:uid="{00000000-0005-0000-0000-000080900000}"/>
    <cellStyle name="40% - Accent6 3 3 4 3 2 3" xfId="32983" xr:uid="{00000000-0005-0000-0000-000081900000}"/>
    <cellStyle name="40% - Accent6 3 3 4 3 3" xfId="16032" xr:uid="{00000000-0005-0000-0000-000082900000}"/>
    <cellStyle name="40% - Accent6 3 3 4 3 3 2" xfId="38634" xr:uid="{00000000-0005-0000-0000-000083900000}"/>
    <cellStyle name="40% - Accent6 3 3 4 3 4" xfId="27333" xr:uid="{00000000-0005-0000-0000-000084900000}"/>
    <cellStyle name="40% - Accent6 3 3 4 4" xfId="6918" xr:uid="{00000000-0005-0000-0000-000085900000}"/>
    <cellStyle name="40% - Accent6 3 3 4 4 2" xfId="18219" xr:uid="{00000000-0005-0000-0000-000086900000}"/>
    <cellStyle name="40% - Accent6 3 3 4 4 2 2" xfId="40821" xr:uid="{00000000-0005-0000-0000-000087900000}"/>
    <cellStyle name="40% - Accent6 3 3 4 4 3" xfId="29520" xr:uid="{00000000-0005-0000-0000-000088900000}"/>
    <cellStyle name="40% - Accent6 3 3 4 5" xfId="12569" xr:uid="{00000000-0005-0000-0000-000089900000}"/>
    <cellStyle name="40% - Accent6 3 3 4 5 2" xfId="35171" xr:uid="{00000000-0005-0000-0000-00008A900000}"/>
    <cellStyle name="40% - Accent6 3 3 4 6" xfId="23870" xr:uid="{00000000-0005-0000-0000-00008B900000}"/>
    <cellStyle name="40% - Accent6 3 3 5" xfId="2042" xr:uid="{00000000-0005-0000-0000-00008C900000}"/>
    <cellStyle name="40% - Accent6 3 3 5 2" xfId="3824" xr:uid="{00000000-0005-0000-0000-00008D900000}"/>
    <cellStyle name="40% - Accent6 3 3 5 2 2" xfId="9533" xr:uid="{00000000-0005-0000-0000-00008E900000}"/>
    <cellStyle name="40% - Accent6 3 3 5 2 2 2" xfId="20834" xr:uid="{00000000-0005-0000-0000-00008F900000}"/>
    <cellStyle name="40% - Accent6 3 3 5 2 2 2 2" xfId="43436" xr:uid="{00000000-0005-0000-0000-000090900000}"/>
    <cellStyle name="40% - Accent6 3 3 5 2 2 3" xfId="32135" xr:uid="{00000000-0005-0000-0000-000091900000}"/>
    <cellStyle name="40% - Accent6 3 3 5 2 3" xfId="15184" xr:uid="{00000000-0005-0000-0000-000092900000}"/>
    <cellStyle name="40% - Accent6 3 3 5 2 3 2" xfId="37786" xr:uid="{00000000-0005-0000-0000-000093900000}"/>
    <cellStyle name="40% - Accent6 3 3 5 2 4" xfId="26485" xr:uid="{00000000-0005-0000-0000-000094900000}"/>
    <cellStyle name="40% - Accent6 3 3 5 3" xfId="5341" xr:uid="{00000000-0005-0000-0000-000095900000}"/>
    <cellStyle name="40% - Accent6 3 3 5 3 2" xfId="10991" xr:uid="{00000000-0005-0000-0000-000096900000}"/>
    <cellStyle name="40% - Accent6 3 3 5 3 2 2" xfId="22292" xr:uid="{00000000-0005-0000-0000-000097900000}"/>
    <cellStyle name="40% - Accent6 3 3 5 3 2 2 2" xfId="44894" xr:uid="{00000000-0005-0000-0000-000098900000}"/>
    <cellStyle name="40% - Accent6 3 3 5 3 2 3" xfId="33593" xr:uid="{00000000-0005-0000-0000-000099900000}"/>
    <cellStyle name="40% - Accent6 3 3 5 3 3" xfId="16642" xr:uid="{00000000-0005-0000-0000-00009A900000}"/>
    <cellStyle name="40% - Accent6 3 3 5 3 3 2" xfId="39244" xr:uid="{00000000-0005-0000-0000-00009B900000}"/>
    <cellStyle name="40% - Accent6 3 3 5 3 4" xfId="27943" xr:uid="{00000000-0005-0000-0000-00009C900000}"/>
    <cellStyle name="40% - Accent6 3 3 5 4" xfId="7898" xr:uid="{00000000-0005-0000-0000-00009D900000}"/>
    <cellStyle name="40% - Accent6 3 3 5 4 2" xfId="19199" xr:uid="{00000000-0005-0000-0000-00009E900000}"/>
    <cellStyle name="40% - Accent6 3 3 5 4 2 2" xfId="41801" xr:uid="{00000000-0005-0000-0000-00009F900000}"/>
    <cellStyle name="40% - Accent6 3 3 5 4 3" xfId="30500" xr:uid="{00000000-0005-0000-0000-0000A0900000}"/>
    <cellStyle name="40% - Accent6 3 3 5 5" xfId="13549" xr:uid="{00000000-0005-0000-0000-0000A1900000}"/>
    <cellStyle name="40% - Accent6 3 3 5 5 2" xfId="36151" xr:uid="{00000000-0005-0000-0000-0000A2900000}"/>
    <cellStyle name="40% - Accent6 3 3 5 6" xfId="24850" xr:uid="{00000000-0005-0000-0000-0000A3900000}"/>
    <cellStyle name="40% - Accent6 3 3 6" xfId="2320" xr:uid="{00000000-0005-0000-0000-0000A4900000}"/>
    <cellStyle name="40% - Accent6 3 3 6 2" xfId="8156" xr:uid="{00000000-0005-0000-0000-0000A5900000}"/>
    <cellStyle name="40% - Accent6 3 3 6 2 2" xfId="19457" xr:uid="{00000000-0005-0000-0000-0000A6900000}"/>
    <cellStyle name="40% - Accent6 3 3 6 2 2 2" xfId="42059" xr:uid="{00000000-0005-0000-0000-0000A7900000}"/>
    <cellStyle name="40% - Accent6 3 3 6 2 3" xfId="30758" xr:uid="{00000000-0005-0000-0000-0000A8900000}"/>
    <cellStyle name="40% - Accent6 3 3 6 3" xfId="13807" xr:uid="{00000000-0005-0000-0000-0000A9900000}"/>
    <cellStyle name="40% - Accent6 3 3 6 3 2" xfId="36409" xr:uid="{00000000-0005-0000-0000-0000AA900000}"/>
    <cellStyle name="40% - Accent6 3 3 6 4" xfId="25108" xr:uid="{00000000-0005-0000-0000-0000AB900000}"/>
    <cellStyle name="40% - Accent6 3 3 7" xfId="4107" xr:uid="{00000000-0005-0000-0000-0000AC900000}"/>
    <cellStyle name="40% - Accent6 3 3 7 2" xfId="9757" xr:uid="{00000000-0005-0000-0000-0000AD900000}"/>
    <cellStyle name="40% - Accent6 3 3 7 2 2" xfId="21058" xr:uid="{00000000-0005-0000-0000-0000AE900000}"/>
    <cellStyle name="40% - Accent6 3 3 7 2 2 2" xfId="43660" xr:uid="{00000000-0005-0000-0000-0000AF900000}"/>
    <cellStyle name="40% - Accent6 3 3 7 2 3" xfId="32359" xr:uid="{00000000-0005-0000-0000-0000B0900000}"/>
    <cellStyle name="40% - Accent6 3 3 7 3" xfId="15408" xr:uid="{00000000-0005-0000-0000-0000B1900000}"/>
    <cellStyle name="40% - Accent6 3 3 7 3 2" xfId="38010" xr:uid="{00000000-0005-0000-0000-0000B2900000}"/>
    <cellStyle name="40% - Accent6 3 3 7 4" xfId="26709" xr:uid="{00000000-0005-0000-0000-0000B3900000}"/>
    <cellStyle name="40% - Accent6 3 3 8" xfId="6558" xr:uid="{00000000-0005-0000-0000-0000B4900000}"/>
    <cellStyle name="40% - Accent6 3 3 8 2" xfId="17859" xr:uid="{00000000-0005-0000-0000-0000B5900000}"/>
    <cellStyle name="40% - Accent6 3 3 8 2 2" xfId="40461" xr:uid="{00000000-0005-0000-0000-0000B6900000}"/>
    <cellStyle name="40% - Accent6 3 3 8 3" xfId="29160" xr:uid="{00000000-0005-0000-0000-0000B7900000}"/>
    <cellStyle name="40% - Accent6 3 3 9" xfId="12209" xr:uid="{00000000-0005-0000-0000-0000B8900000}"/>
    <cellStyle name="40% - Accent6 3 3 9 2" xfId="34811" xr:uid="{00000000-0005-0000-0000-0000B9900000}"/>
    <cellStyle name="40% - Accent6 3 4" xfId="561" xr:uid="{00000000-0005-0000-0000-0000BA900000}"/>
    <cellStyle name="40% - Accent6 3 4 2" xfId="1136" xr:uid="{00000000-0005-0000-0000-0000BB900000}"/>
    <cellStyle name="40% - Accent6 3 4 2 2" xfId="2047" xr:uid="{00000000-0005-0000-0000-0000BC900000}"/>
    <cellStyle name="40% - Accent6 3 4 2 2 2" xfId="3204" xr:uid="{00000000-0005-0000-0000-0000BD900000}"/>
    <cellStyle name="40% - Accent6 3 4 2 2 2 2" xfId="6176" xr:uid="{00000000-0005-0000-0000-0000BE900000}"/>
    <cellStyle name="40% - Accent6 3 4 2 2 2 2 2" xfId="11826" xr:uid="{00000000-0005-0000-0000-0000BF900000}"/>
    <cellStyle name="40% - Accent6 3 4 2 2 2 2 2 2" xfId="23127" xr:uid="{00000000-0005-0000-0000-0000C0900000}"/>
    <cellStyle name="40% - Accent6 3 4 2 2 2 2 2 2 2" xfId="45729" xr:uid="{00000000-0005-0000-0000-0000C1900000}"/>
    <cellStyle name="40% - Accent6 3 4 2 2 2 2 2 3" xfId="34428" xr:uid="{00000000-0005-0000-0000-0000C2900000}"/>
    <cellStyle name="40% - Accent6 3 4 2 2 2 2 3" xfId="17477" xr:uid="{00000000-0005-0000-0000-0000C3900000}"/>
    <cellStyle name="40% - Accent6 3 4 2 2 2 2 3 2" xfId="40079" xr:uid="{00000000-0005-0000-0000-0000C4900000}"/>
    <cellStyle name="40% - Accent6 3 4 2 2 2 2 4" xfId="28778" xr:uid="{00000000-0005-0000-0000-0000C5900000}"/>
    <cellStyle name="40% - Accent6 3 4 2 2 2 3" xfId="8994" xr:uid="{00000000-0005-0000-0000-0000C6900000}"/>
    <cellStyle name="40% - Accent6 3 4 2 2 2 3 2" xfId="20295" xr:uid="{00000000-0005-0000-0000-0000C7900000}"/>
    <cellStyle name="40% - Accent6 3 4 2 2 2 3 2 2" xfId="42897" xr:uid="{00000000-0005-0000-0000-0000C8900000}"/>
    <cellStyle name="40% - Accent6 3 4 2 2 2 3 3" xfId="31596" xr:uid="{00000000-0005-0000-0000-0000C9900000}"/>
    <cellStyle name="40% - Accent6 3 4 2 2 2 4" xfId="14645" xr:uid="{00000000-0005-0000-0000-0000CA900000}"/>
    <cellStyle name="40% - Accent6 3 4 2 2 2 4 2" xfId="37247" xr:uid="{00000000-0005-0000-0000-0000CB900000}"/>
    <cellStyle name="40% - Accent6 3 4 2 2 2 5" xfId="25946" xr:uid="{00000000-0005-0000-0000-0000CC900000}"/>
    <cellStyle name="40% - Accent6 3 4 2 2 3" xfId="4942" xr:uid="{00000000-0005-0000-0000-0000CD900000}"/>
    <cellStyle name="40% - Accent6 3 4 2 2 3 2" xfId="10592" xr:uid="{00000000-0005-0000-0000-0000CE900000}"/>
    <cellStyle name="40% - Accent6 3 4 2 2 3 2 2" xfId="21893" xr:uid="{00000000-0005-0000-0000-0000CF900000}"/>
    <cellStyle name="40% - Accent6 3 4 2 2 3 2 2 2" xfId="44495" xr:uid="{00000000-0005-0000-0000-0000D0900000}"/>
    <cellStyle name="40% - Accent6 3 4 2 2 3 2 3" xfId="33194" xr:uid="{00000000-0005-0000-0000-0000D1900000}"/>
    <cellStyle name="40% - Accent6 3 4 2 2 3 3" xfId="16243" xr:uid="{00000000-0005-0000-0000-0000D2900000}"/>
    <cellStyle name="40% - Accent6 3 4 2 2 3 3 2" xfId="38845" xr:uid="{00000000-0005-0000-0000-0000D3900000}"/>
    <cellStyle name="40% - Accent6 3 4 2 2 3 4" xfId="27544" xr:uid="{00000000-0005-0000-0000-0000D4900000}"/>
    <cellStyle name="40% - Accent6 3 4 2 2 4" xfId="7903" xr:uid="{00000000-0005-0000-0000-0000D5900000}"/>
    <cellStyle name="40% - Accent6 3 4 2 2 4 2" xfId="19204" xr:uid="{00000000-0005-0000-0000-0000D6900000}"/>
    <cellStyle name="40% - Accent6 3 4 2 2 4 2 2" xfId="41806" xr:uid="{00000000-0005-0000-0000-0000D7900000}"/>
    <cellStyle name="40% - Accent6 3 4 2 2 4 3" xfId="30505" xr:uid="{00000000-0005-0000-0000-0000D8900000}"/>
    <cellStyle name="40% - Accent6 3 4 2 2 5" xfId="13554" xr:uid="{00000000-0005-0000-0000-0000D9900000}"/>
    <cellStyle name="40% - Accent6 3 4 2 2 5 2" xfId="36156" xr:uid="{00000000-0005-0000-0000-0000DA900000}"/>
    <cellStyle name="40% - Accent6 3 4 2 2 6" xfId="24855" xr:uid="{00000000-0005-0000-0000-0000DB900000}"/>
    <cellStyle name="40% - Accent6 3 4 2 3" xfId="2533" xr:uid="{00000000-0005-0000-0000-0000DC900000}"/>
    <cellStyle name="40% - Accent6 3 4 2 3 2" xfId="5552" xr:uid="{00000000-0005-0000-0000-0000DD900000}"/>
    <cellStyle name="40% - Accent6 3 4 2 3 2 2" xfId="11202" xr:uid="{00000000-0005-0000-0000-0000DE900000}"/>
    <cellStyle name="40% - Accent6 3 4 2 3 2 2 2" xfId="22503" xr:uid="{00000000-0005-0000-0000-0000DF900000}"/>
    <cellStyle name="40% - Accent6 3 4 2 3 2 2 2 2" xfId="45105" xr:uid="{00000000-0005-0000-0000-0000E0900000}"/>
    <cellStyle name="40% - Accent6 3 4 2 3 2 2 3" xfId="33804" xr:uid="{00000000-0005-0000-0000-0000E1900000}"/>
    <cellStyle name="40% - Accent6 3 4 2 3 2 3" xfId="16853" xr:uid="{00000000-0005-0000-0000-0000E2900000}"/>
    <cellStyle name="40% - Accent6 3 4 2 3 2 3 2" xfId="39455" xr:uid="{00000000-0005-0000-0000-0000E3900000}"/>
    <cellStyle name="40% - Accent6 3 4 2 3 2 4" xfId="28154" xr:uid="{00000000-0005-0000-0000-0000E4900000}"/>
    <cellStyle name="40% - Accent6 3 4 2 3 3" xfId="8369" xr:uid="{00000000-0005-0000-0000-0000E5900000}"/>
    <cellStyle name="40% - Accent6 3 4 2 3 3 2" xfId="19670" xr:uid="{00000000-0005-0000-0000-0000E6900000}"/>
    <cellStyle name="40% - Accent6 3 4 2 3 3 2 2" xfId="42272" xr:uid="{00000000-0005-0000-0000-0000E7900000}"/>
    <cellStyle name="40% - Accent6 3 4 2 3 3 3" xfId="30971" xr:uid="{00000000-0005-0000-0000-0000E8900000}"/>
    <cellStyle name="40% - Accent6 3 4 2 3 4" xfId="14020" xr:uid="{00000000-0005-0000-0000-0000E9900000}"/>
    <cellStyle name="40% - Accent6 3 4 2 3 4 2" xfId="36622" xr:uid="{00000000-0005-0000-0000-0000EA900000}"/>
    <cellStyle name="40% - Accent6 3 4 2 3 5" xfId="25321" xr:uid="{00000000-0005-0000-0000-0000EB900000}"/>
    <cellStyle name="40% - Accent6 3 4 2 4" xfId="4318" xr:uid="{00000000-0005-0000-0000-0000EC900000}"/>
    <cellStyle name="40% - Accent6 3 4 2 4 2" xfId="9968" xr:uid="{00000000-0005-0000-0000-0000ED900000}"/>
    <cellStyle name="40% - Accent6 3 4 2 4 2 2" xfId="21269" xr:uid="{00000000-0005-0000-0000-0000EE900000}"/>
    <cellStyle name="40% - Accent6 3 4 2 4 2 2 2" xfId="43871" xr:uid="{00000000-0005-0000-0000-0000EF900000}"/>
    <cellStyle name="40% - Accent6 3 4 2 4 2 3" xfId="32570" xr:uid="{00000000-0005-0000-0000-0000F0900000}"/>
    <cellStyle name="40% - Accent6 3 4 2 4 3" xfId="15619" xr:uid="{00000000-0005-0000-0000-0000F1900000}"/>
    <cellStyle name="40% - Accent6 3 4 2 4 3 2" xfId="38221" xr:uid="{00000000-0005-0000-0000-0000F2900000}"/>
    <cellStyle name="40% - Accent6 3 4 2 4 4" xfId="26920" xr:uid="{00000000-0005-0000-0000-0000F3900000}"/>
    <cellStyle name="40% - Accent6 3 4 2 5" xfId="7115" xr:uid="{00000000-0005-0000-0000-0000F4900000}"/>
    <cellStyle name="40% - Accent6 3 4 2 5 2" xfId="18416" xr:uid="{00000000-0005-0000-0000-0000F5900000}"/>
    <cellStyle name="40% - Accent6 3 4 2 5 2 2" xfId="41018" xr:uid="{00000000-0005-0000-0000-0000F6900000}"/>
    <cellStyle name="40% - Accent6 3 4 2 5 3" xfId="29717" xr:uid="{00000000-0005-0000-0000-0000F7900000}"/>
    <cellStyle name="40% - Accent6 3 4 2 6" xfId="12766" xr:uid="{00000000-0005-0000-0000-0000F8900000}"/>
    <cellStyle name="40% - Accent6 3 4 2 6 2" xfId="35368" xr:uid="{00000000-0005-0000-0000-0000F9900000}"/>
    <cellStyle name="40% - Accent6 3 4 2 7" xfId="24067" xr:uid="{00000000-0005-0000-0000-0000FA900000}"/>
    <cellStyle name="40% - Accent6 3 4 3" xfId="810" xr:uid="{00000000-0005-0000-0000-0000FB900000}"/>
    <cellStyle name="40% - Accent6 3 4 3 2" xfId="2897" xr:uid="{00000000-0005-0000-0000-0000FC900000}"/>
    <cellStyle name="40% - Accent6 3 4 3 2 2" xfId="5869" xr:uid="{00000000-0005-0000-0000-0000FD900000}"/>
    <cellStyle name="40% - Accent6 3 4 3 2 2 2" xfId="11519" xr:uid="{00000000-0005-0000-0000-0000FE900000}"/>
    <cellStyle name="40% - Accent6 3 4 3 2 2 2 2" xfId="22820" xr:uid="{00000000-0005-0000-0000-0000FF900000}"/>
    <cellStyle name="40% - Accent6 3 4 3 2 2 2 2 2" xfId="45422" xr:uid="{00000000-0005-0000-0000-000000910000}"/>
    <cellStyle name="40% - Accent6 3 4 3 2 2 2 3" xfId="34121" xr:uid="{00000000-0005-0000-0000-000001910000}"/>
    <cellStyle name="40% - Accent6 3 4 3 2 2 3" xfId="17170" xr:uid="{00000000-0005-0000-0000-000002910000}"/>
    <cellStyle name="40% - Accent6 3 4 3 2 2 3 2" xfId="39772" xr:uid="{00000000-0005-0000-0000-000003910000}"/>
    <cellStyle name="40% - Accent6 3 4 3 2 2 4" xfId="28471" xr:uid="{00000000-0005-0000-0000-000004910000}"/>
    <cellStyle name="40% - Accent6 3 4 3 2 3" xfId="8687" xr:uid="{00000000-0005-0000-0000-000005910000}"/>
    <cellStyle name="40% - Accent6 3 4 3 2 3 2" xfId="19988" xr:uid="{00000000-0005-0000-0000-000006910000}"/>
    <cellStyle name="40% - Accent6 3 4 3 2 3 2 2" xfId="42590" xr:uid="{00000000-0005-0000-0000-000007910000}"/>
    <cellStyle name="40% - Accent6 3 4 3 2 3 3" xfId="31289" xr:uid="{00000000-0005-0000-0000-000008910000}"/>
    <cellStyle name="40% - Accent6 3 4 3 2 4" xfId="14338" xr:uid="{00000000-0005-0000-0000-000009910000}"/>
    <cellStyle name="40% - Accent6 3 4 3 2 4 2" xfId="36940" xr:uid="{00000000-0005-0000-0000-00000A910000}"/>
    <cellStyle name="40% - Accent6 3 4 3 2 5" xfId="25639" xr:uid="{00000000-0005-0000-0000-00000B910000}"/>
    <cellStyle name="40% - Accent6 3 4 3 3" xfId="4635" xr:uid="{00000000-0005-0000-0000-00000C910000}"/>
    <cellStyle name="40% - Accent6 3 4 3 3 2" xfId="10285" xr:uid="{00000000-0005-0000-0000-00000D910000}"/>
    <cellStyle name="40% - Accent6 3 4 3 3 2 2" xfId="21586" xr:uid="{00000000-0005-0000-0000-00000E910000}"/>
    <cellStyle name="40% - Accent6 3 4 3 3 2 2 2" xfId="44188" xr:uid="{00000000-0005-0000-0000-00000F910000}"/>
    <cellStyle name="40% - Accent6 3 4 3 3 2 3" xfId="32887" xr:uid="{00000000-0005-0000-0000-000010910000}"/>
    <cellStyle name="40% - Accent6 3 4 3 3 3" xfId="15936" xr:uid="{00000000-0005-0000-0000-000011910000}"/>
    <cellStyle name="40% - Accent6 3 4 3 3 3 2" xfId="38538" xr:uid="{00000000-0005-0000-0000-000012910000}"/>
    <cellStyle name="40% - Accent6 3 4 3 3 4" xfId="27237" xr:uid="{00000000-0005-0000-0000-000013910000}"/>
    <cellStyle name="40% - Accent6 3 4 3 4" xfId="6818" xr:uid="{00000000-0005-0000-0000-000014910000}"/>
    <cellStyle name="40% - Accent6 3 4 3 4 2" xfId="18119" xr:uid="{00000000-0005-0000-0000-000015910000}"/>
    <cellStyle name="40% - Accent6 3 4 3 4 2 2" xfId="40721" xr:uid="{00000000-0005-0000-0000-000016910000}"/>
    <cellStyle name="40% - Accent6 3 4 3 4 3" xfId="29420" xr:uid="{00000000-0005-0000-0000-000017910000}"/>
    <cellStyle name="40% - Accent6 3 4 3 5" xfId="12469" xr:uid="{00000000-0005-0000-0000-000018910000}"/>
    <cellStyle name="40% - Accent6 3 4 3 5 2" xfId="35071" xr:uid="{00000000-0005-0000-0000-000019910000}"/>
    <cellStyle name="40% - Accent6 3 4 3 6" xfId="23770" xr:uid="{00000000-0005-0000-0000-00001A910000}"/>
    <cellStyle name="40% - Accent6 3 4 4" xfId="2046" xr:uid="{00000000-0005-0000-0000-00001B910000}"/>
    <cellStyle name="40% - Accent6 3 4 4 2" xfId="3826" xr:uid="{00000000-0005-0000-0000-00001C910000}"/>
    <cellStyle name="40% - Accent6 3 4 4 2 2" xfId="9535" xr:uid="{00000000-0005-0000-0000-00001D910000}"/>
    <cellStyle name="40% - Accent6 3 4 4 2 2 2" xfId="20836" xr:uid="{00000000-0005-0000-0000-00001E910000}"/>
    <cellStyle name="40% - Accent6 3 4 4 2 2 2 2" xfId="43438" xr:uid="{00000000-0005-0000-0000-00001F910000}"/>
    <cellStyle name="40% - Accent6 3 4 4 2 2 3" xfId="32137" xr:uid="{00000000-0005-0000-0000-000020910000}"/>
    <cellStyle name="40% - Accent6 3 4 4 2 3" xfId="15186" xr:uid="{00000000-0005-0000-0000-000021910000}"/>
    <cellStyle name="40% - Accent6 3 4 4 2 3 2" xfId="37788" xr:uid="{00000000-0005-0000-0000-000022910000}"/>
    <cellStyle name="40% - Accent6 3 4 4 2 4" xfId="26487" xr:uid="{00000000-0005-0000-0000-000023910000}"/>
    <cellStyle name="40% - Accent6 3 4 4 3" xfId="5245" xr:uid="{00000000-0005-0000-0000-000024910000}"/>
    <cellStyle name="40% - Accent6 3 4 4 3 2" xfId="10895" xr:uid="{00000000-0005-0000-0000-000025910000}"/>
    <cellStyle name="40% - Accent6 3 4 4 3 2 2" xfId="22196" xr:uid="{00000000-0005-0000-0000-000026910000}"/>
    <cellStyle name="40% - Accent6 3 4 4 3 2 2 2" xfId="44798" xr:uid="{00000000-0005-0000-0000-000027910000}"/>
    <cellStyle name="40% - Accent6 3 4 4 3 2 3" xfId="33497" xr:uid="{00000000-0005-0000-0000-000028910000}"/>
    <cellStyle name="40% - Accent6 3 4 4 3 3" xfId="16546" xr:uid="{00000000-0005-0000-0000-000029910000}"/>
    <cellStyle name="40% - Accent6 3 4 4 3 3 2" xfId="39148" xr:uid="{00000000-0005-0000-0000-00002A910000}"/>
    <cellStyle name="40% - Accent6 3 4 4 3 4" xfId="27847" xr:uid="{00000000-0005-0000-0000-00002B910000}"/>
    <cellStyle name="40% - Accent6 3 4 4 4" xfId="7902" xr:uid="{00000000-0005-0000-0000-00002C910000}"/>
    <cellStyle name="40% - Accent6 3 4 4 4 2" xfId="19203" xr:uid="{00000000-0005-0000-0000-00002D910000}"/>
    <cellStyle name="40% - Accent6 3 4 4 4 2 2" xfId="41805" xr:uid="{00000000-0005-0000-0000-00002E910000}"/>
    <cellStyle name="40% - Accent6 3 4 4 4 3" xfId="30504" xr:uid="{00000000-0005-0000-0000-00002F910000}"/>
    <cellStyle name="40% - Accent6 3 4 4 5" xfId="13553" xr:uid="{00000000-0005-0000-0000-000030910000}"/>
    <cellStyle name="40% - Accent6 3 4 4 5 2" xfId="36155" xr:uid="{00000000-0005-0000-0000-000031910000}"/>
    <cellStyle name="40% - Accent6 3 4 4 6" xfId="24854" xr:uid="{00000000-0005-0000-0000-000032910000}"/>
    <cellStyle name="40% - Accent6 3 4 5" xfId="2217" xr:uid="{00000000-0005-0000-0000-000033910000}"/>
    <cellStyle name="40% - Accent6 3 4 5 2" xfId="8059" xr:uid="{00000000-0005-0000-0000-000034910000}"/>
    <cellStyle name="40% - Accent6 3 4 5 2 2" xfId="19360" xr:uid="{00000000-0005-0000-0000-000035910000}"/>
    <cellStyle name="40% - Accent6 3 4 5 2 2 2" xfId="41962" xr:uid="{00000000-0005-0000-0000-000036910000}"/>
    <cellStyle name="40% - Accent6 3 4 5 2 3" xfId="30661" xr:uid="{00000000-0005-0000-0000-000037910000}"/>
    <cellStyle name="40% - Accent6 3 4 5 3" xfId="13710" xr:uid="{00000000-0005-0000-0000-000038910000}"/>
    <cellStyle name="40% - Accent6 3 4 5 3 2" xfId="36312" xr:uid="{00000000-0005-0000-0000-000039910000}"/>
    <cellStyle name="40% - Accent6 3 4 5 4" xfId="25011" xr:uid="{00000000-0005-0000-0000-00003A910000}"/>
    <cellStyle name="40% - Accent6 3 4 6" xfId="4011" xr:uid="{00000000-0005-0000-0000-00003B910000}"/>
    <cellStyle name="40% - Accent6 3 4 6 2" xfId="9661" xr:uid="{00000000-0005-0000-0000-00003C910000}"/>
    <cellStyle name="40% - Accent6 3 4 6 2 2" xfId="20962" xr:uid="{00000000-0005-0000-0000-00003D910000}"/>
    <cellStyle name="40% - Accent6 3 4 6 2 2 2" xfId="43564" xr:uid="{00000000-0005-0000-0000-00003E910000}"/>
    <cellStyle name="40% - Accent6 3 4 6 2 3" xfId="32263" xr:uid="{00000000-0005-0000-0000-00003F910000}"/>
    <cellStyle name="40% - Accent6 3 4 6 3" xfId="15312" xr:uid="{00000000-0005-0000-0000-000040910000}"/>
    <cellStyle name="40% - Accent6 3 4 6 3 2" xfId="37914" xr:uid="{00000000-0005-0000-0000-000041910000}"/>
    <cellStyle name="40% - Accent6 3 4 6 4" xfId="26613" xr:uid="{00000000-0005-0000-0000-000042910000}"/>
    <cellStyle name="40% - Accent6 3 4 7" xfId="6629" xr:uid="{00000000-0005-0000-0000-000043910000}"/>
    <cellStyle name="40% - Accent6 3 4 7 2" xfId="17930" xr:uid="{00000000-0005-0000-0000-000044910000}"/>
    <cellStyle name="40% - Accent6 3 4 7 2 2" xfId="40532" xr:uid="{00000000-0005-0000-0000-000045910000}"/>
    <cellStyle name="40% - Accent6 3 4 7 3" xfId="29231" xr:uid="{00000000-0005-0000-0000-000046910000}"/>
    <cellStyle name="40% - Accent6 3 4 8" xfId="12280" xr:uid="{00000000-0005-0000-0000-000047910000}"/>
    <cellStyle name="40% - Accent6 3 4 8 2" xfId="34882" xr:uid="{00000000-0005-0000-0000-000048910000}"/>
    <cellStyle name="40% - Accent6 3 4 9" xfId="23581" xr:uid="{00000000-0005-0000-0000-000049910000}"/>
    <cellStyle name="40% - Accent6 3 5" xfId="457" xr:uid="{00000000-0005-0000-0000-00004A910000}"/>
    <cellStyle name="40% - Accent6 3 6" xfId="1439" xr:uid="{00000000-0005-0000-0000-00004B910000}"/>
    <cellStyle name="40% - Accent6 3 7" xfId="6462" xr:uid="{00000000-0005-0000-0000-00004C910000}"/>
    <cellStyle name="40% - Accent6 3 7 2" xfId="17763" xr:uid="{00000000-0005-0000-0000-00004D910000}"/>
    <cellStyle name="40% - Accent6 3 7 2 2" xfId="40365" xr:uid="{00000000-0005-0000-0000-00004E910000}"/>
    <cellStyle name="40% - Accent6 3 7 3" xfId="29064" xr:uid="{00000000-0005-0000-0000-00004F910000}"/>
    <cellStyle name="40% - Accent6 3 8" xfId="12113" xr:uid="{00000000-0005-0000-0000-000050910000}"/>
    <cellStyle name="40% - Accent6 3 8 2" xfId="34715" xr:uid="{00000000-0005-0000-0000-000051910000}"/>
    <cellStyle name="40% - Accent6 3 9" xfId="23414" xr:uid="{00000000-0005-0000-0000-000052910000}"/>
    <cellStyle name="40% - Accent6 4" xfId="244" xr:uid="{00000000-0005-0000-0000-000053910000}"/>
    <cellStyle name="40% - Accent6 4 10" xfId="3997" xr:uid="{00000000-0005-0000-0000-000054910000}"/>
    <cellStyle name="40% - Accent6 4 10 2" xfId="9647" xr:uid="{00000000-0005-0000-0000-000055910000}"/>
    <cellStyle name="40% - Accent6 4 10 2 2" xfId="20948" xr:uid="{00000000-0005-0000-0000-000056910000}"/>
    <cellStyle name="40% - Accent6 4 10 2 2 2" xfId="43550" xr:uid="{00000000-0005-0000-0000-000057910000}"/>
    <cellStyle name="40% - Accent6 4 10 2 3" xfId="32249" xr:uid="{00000000-0005-0000-0000-000058910000}"/>
    <cellStyle name="40% - Accent6 4 10 3" xfId="15298" xr:uid="{00000000-0005-0000-0000-000059910000}"/>
    <cellStyle name="40% - Accent6 4 10 3 2" xfId="37900" xr:uid="{00000000-0005-0000-0000-00005A910000}"/>
    <cellStyle name="40% - Accent6 4 10 4" xfId="26599" xr:uid="{00000000-0005-0000-0000-00005B910000}"/>
    <cellStyle name="40% - Accent6 4 11" xfId="6476" xr:uid="{00000000-0005-0000-0000-00005C910000}"/>
    <cellStyle name="40% - Accent6 4 11 2" xfId="17777" xr:uid="{00000000-0005-0000-0000-00005D910000}"/>
    <cellStyle name="40% - Accent6 4 11 2 2" xfId="40379" xr:uid="{00000000-0005-0000-0000-00005E910000}"/>
    <cellStyle name="40% - Accent6 4 11 3" xfId="29078" xr:uid="{00000000-0005-0000-0000-00005F910000}"/>
    <cellStyle name="40% - Accent6 4 12" xfId="12127" xr:uid="{00000000-0005-0000-0000-000060910000}"/>
    <cellStyle name="40% - Accent6 4 12 2" xfId="34729" xr:uid="{00000000-0005-0000-0000-000061910000}"/>
    <cellStyle name="40% - Accent6 4 13" xfId="23428" xr:uid="{00000000-0005-0000-0000-000062910000}"/>
    <cellStyle name="40% - Accent6 4 2" xfId="367" xr:uid="{00000000-0005-0000-0000-000063910000}"/>
    <cellStyle name="40% - Accent6 4 2 10" xfId="23475" xr:uid="{00000000-0005-0000-0000-000064910000}"/>
    <cellStyle name="40% - Accent6 4 2 2" xfId="625" xr:uid="{00000000-0005-0000-0000-000065910000}"/>
    <cellStyle name="40% - Accent6 4 2 2 2" xfId="1335" xr:uid="{00000000-0005-0000-0000-000066910000}"/>
    <cellStyle name="40% - Accent6 4 2 2 2 2" xfId="2051" xr:uid="{00000000-0005-0000-0000-000067910000}"/>
    <cellStyle name="40% - Accent6 4 2 2 2 2 2" xfId="3404" xr:uid="{00000000-0005-0000-0000-000068910000}"/>
    <cellStyle name="40% - Accent6 4 2 2 2 2 2 2" xfId="6376" xr:uid="{00000000-0005-0000-0000-000069910000}"/>
    <cellStyle name="40% - Accent6 4 2 2 2 2 2 2 2" xfId="12026" xr:uid="{00000000-0005-0000-0000-00006A910000}"/>
    <cellStyle name="40% - Accent6 4 2 2 2 2 2 2 2 2" xfId="23327" xr:uid="{00000000-0005-0000-0000-00006B910000}"/>
    <cellStyle name="40% - Accent6 4 2 2 2 2 2 2 2 2 2" xfId="45929" xr:uid="{00000000-0005-0000-0000-00006C910000}"/>
    <cellStyle name="40% - Accent6 4 2 2 2 2 2 2 2 3" xfId="34628" xr:uid="{00000000-0005-0000-0000-00006D910000}"/>
    <cellStyle name="40% - Accent6 4 2 2 2 2 2 2 3" xfId="17677" xr:uid="{00000000-0005-0000-0000-00006E910000}"/>
    <cellStyle name="40% - Accent6 4 2 2 2 2 2 2 3 2" xfId="40279" xr:uid="{00000000-0005-0000-0000-00006F910000}"/>
    <cellStyle name="40% - Accent6 4 2 2 2 2 2 2 4" xfId="28978" xr:uid="{00000000-0005-0000-0000-000070910000}"/>
    <cellStyle name="40% - Accent6 4 2 2 2 2 2 3" xfId="9194" xr:uid="{00000000-0005-0000-0000-000071910000}"/>
    <cellStyle name="40% - Accent6 4 2 2 2 2 2 3 2" xfId="20495" xr:uid="{00000000-0005-0000-0000-000072910000}"/>
    <cellStyle name="40% - Accent6 4 2 2 2 2 2 3 2 2" xfId="43097" xr:uid="{00000000-0005-0000-0000-000073910000}"/>
    <cellStyle name="40% - Accent6 4 2 2 2 2 2 3 3" xfId="31796" xr:uid="{00000000-0005-0000-0000-000074910000}"/>
    <cellStyle name="40% - Accent6 4 2 2 2 2 2 4" xfId="14845" xr:uid="{00000000-0005-0000-0000-000075910000}"/>
    <cellStyle name="40% - Accent6 4 2 2 2 2 2 4 2" xfId="37447" xr:uid="{00000000-0005-0000-0000-000076910000}"/>
    <cellStyle name="40% - Accent6 4 2 2 2 2 2 5" xfId="26146" xr:uid="{00000000-0005-0000-0000-000077910000}"/>
    <cellStyle name="40% - Accent6 4 2 2 2 2 3" xfId="5142" xr:uid="{00000000-0005-0000-0000-000078910000}"/>
    <cellStyle name="40% - Accent6 4 2 2 2 2 3 2" xfId="10792" xr:uid="{00000000-0005-0000-0000-000079910000}"/>
    <cellStyle name="40% - Accent6 4 2 2 2 2 3 2 2" xfId="22093" xr:uid="{00000000-0005-0000-0000-00007A910000}"/>
    <cellStyle name="40% - Accent6 4 2 2 2 2 3 2 2 2" xfId="44695" xr:uid="{00000000-0005-0000-0000-00007B910000}"/>
    <cellStyle name="40% - Accent6 4 2 2 2 2 3 2 3" xfId="33394" xr:uid="{00000000-0005-0000-0000-00007C910000}"/>
    <cellStyle name="40% - Accent6 4 2 2 2 2 3 3" xfId="16443" xr:uid="{00000000-0005-0000-0000-00007D910000}"/>
    <cellStyle name="40% - Accent6 4 2 2 2 2 3 3 2" xfId="39045" xr:uid="{00000000-0005-0000-0000-00007E910000}"/>
    <cellStyle name="40% - Accent6 4 2 2 2 2 3 4" xfId="27744" xr:uid="{00000000-0005-0000-0000-00007F910000}"/>
    <cellStyle name="40% - Accent6 4 2 2 2 2 4" xfId="7907" xr:uid="{00000000-0005-0000-0000-000080910000}"/>
    <cellStyle name="40% - Accent6 4 2 2 2 2 4 2" xfId="19208" xr:uid="{00000000-0005-0000-0000-000081910000}"/>
    <cellStyle name="40% - Accent6 4 2 2 2 2 4 2 2" xfId="41810" xr:uid="{00000000-0005-0000-0000-000082910000}"/>
    <cellStyle name="40% - Accent6 4 2 2 2 2 4 3" xfId="30509" xr:uid="{00000000-0005-0000-0000-000083910000}"/>
    <cellStyle name="40% - Accent6 4 2 2 2 2 5" xfId="13558" xr:uid="{00000000-0005-0000-0000-000084910000}"/>
    <cellStyle name="40% - Accent6 4 2 2 2 2 5 2" xfId="36160" xr:uid="{00000000-0005-0000-0000-000085910000}"/>
    <cellStyle name="40% - Accent6 4 2 2 2 2 6" xfId="24859" xr:uid="{00000000-0005-0000-0000-000086910000}"/>
    <cellStyle name="40% - Accent6 4 2 2 2 3" xfId="2733" xr:uid="{00000000-0005-0000-0000-000087910000}"/>
    <cellStyle name="40% - Accent6 4 2 2 2 3 2" xfId="5752" xr:uid="{00000000-0005-0000-0000-000088910000}"/>
    <cellStyle name="40% - Accent6 4 2 2 2 3 2 2" xfId="11402" xr:uid="{00000000-0005-0000-0000-000089910000}"/>
    <cellStyle name="40% - Accent6 4 2 2 2 3 2 2 2" xfId="22703" xr:uid="{00000000-0005-0000-0000-00008A910000}"/>
    <cellStyle name="40% - Accent6 4 2 2 2 3 2 2 2 2" xfId="45305" xr:uid="{00000000-0005-0000-0000-00008B910000}"/>
    <cellStyle name="40% - Accent6 4 2 2 2 3 2 2 3" xfId="34004" xr:uid="{00000000-0005-0000-0000-00008C910000}"/>
    <cellStyle name="40% - Accent6 4 2 2 2 3 2 3" xfId="17053" xr:uid="{00000000-0005-0000-0000-00008D910000}"/>
    <cellStyle name="40% - Accent6 4 2 2 2 3 2 3 2" xfId="39655" xr:uid="{00000000-0005-0000-0000-00008E910000}"/>
    <cellStyle name="40% - Accent6 4 2 2 2 3 2 4" xfId="28354" xr:uid="{00000000-0005-0000-0000-00008F910000}"/>
    <cellStyle name="40% - Accent6 4 2 2 2 3 3" xfId="8569" xr:uid="{00000000-0005-0000-0000-000090910000}"/>
    <cellStyle name="40% - Accent6 4 2 2 2 3 3 2" xfId="19870" xr:uid="{00000000-0005-0000-0000-000091910000}"/>
    <cellStyle name="40% - Accent6 4 2 2 2 3 3 2 2" xfId="42472" xr:uid="{00000000-0005-0000-0000-000092910000}"/>
    <cellStyle name="40% - Accent6 4 2 2 2 3 3 3" xfId="31171" xr:uid="{00000000-0005-0000-0000-000093910000}"/>
    <cellStyle name="40% - Accent6 4 2 2 2 3 4" xfId="14220" xr:uid="{00000000-0005-0000-0000-000094910000}"/>
    <cellStyle name="40% - Accent6 4 2 2 2 3 4 2" xfId="36822" xr:uid="{00000000-0005-0000-0000-000095910000}"/>
    <cellStyle name="40% - Accent6 4 2 2 2 3 5" xfId="25521" xr:uid="{00000000-0005-0000-0000-000096910000}"/>
    <cellStyle name="40% - Accent6 4 2 2 2 4" xfId="4518" xr:uid="{00000000-0005-0000-0000-000097910000}"/>
    <cellStyle name="40% - Accent6 4 2 2 2 4 2" xfId="10168" xr:uid="{00000000-0005-0000-0000-000098910000}"/>
    <cellStyle name="40% - Accent6 4 2 2 2 4 2 2" xfId="21469" xr:uid="{00000000-0005-0000-0000-000099910000}"/>
    <cellStyle name="40% - Accent6 4 2 2 2 4 2 2 2" xfId="44071" xr:uid="{00000000-0005-0000-0000-00009A910000}"/>
    <cellStyle name="40% - Accent6 4 2 2 2 4 2 3" xfId="32770" xr:uid="{00000000-0005-0000-0000-00009B910000}"/>
    <cellStyle name="40% - Accent6 4 2 2 2 4 3" xfId="15819" xr:uid="{00000000-0005-0000-0000-00009C910000}"/>
    <cellStyle name="40% - Accent6 4 2 2 2 4 3 2" xfId="38421" xr:uid="{00000000-0005-0000-0000-00009D910000}"/>
    <cellStyle name="40% - Accent6 4 2 2 2 4 4" xfId="27120" xr:uid="{00000000-0005-0000-0000-00009E910000}"/>
    <cellStyle name="40% - Accent6 4 2 2 2 5" xfId="7314" xr:uid="{00000000-0005-0000-0000-00009F910000}"/>
    <cellStyle name="40% - Accent6 4 2 2 2 5 2" xfId="18615" xr:uid="{00000000-0005-0000-0000-0000A0910000}"/>
    <cellStyle name="40% - Accent6 4 2 2 2 5 2 2" xfId="41217" xr:uid="{00000000-0005-0000-0000-0000A1910000}"/>
    <cellStyle name="40% - Accent6 4 2 2 2 5 3" xfId="29916" xr:uid="{00000000-0005-0000-0000-0000A2910000}"/>
    <cellStyle name="40% - Accent6 4 2 2 2 6" xfId="12965" xr:uid="{00000000-0005-0000-0000-0000A3910000}"/>
    <cellStyle name="40% - Accent6 4 2 2 2 6 2" xfId="35567" xr:uid="{00000000-0005-0000-0000-0000A4910000}"/>
    <cellStyle name="40% - Accent6 4 2 2 2 7" xfId="24266" xr:uid="{00000000-0005-0000-0000-0000A5910000}"/>
    <cellStyle name="40% - Accent6 4 2 2 3" xfId="1033" xr:uid="{00000000-0005-0000-0000-0000A6910000}"/>
    <cellStyle name="40% - Accent6 4 2 2 3 2" xfId="3096" xr:uid="{00000000-0005-0000-0000-0000A7910000}"/>
    <cellStyle name="40% - Accent6 4 2 2 3 2 2" xfId="6068" xr:uid="{00000000-0005-0000-0000-0000A8910000}"/>
    <cellStyle name="40% - Accent6 4 2 2 3 2 2 2" xfId="11718" xr:uid="{00000000-0005-0000-0000-0000A9910000}"/>
    <cellStyle name="40% - Accent6 4 2 2 3 2 2 2 2" xfId="23019" xr:uid="{00000000-0005-0000-0000-0000AA910000}"/>
    <cellStyle name="40% - Accent6 4 2 2 3 2 2 2 2 2" xfId="45621" xr:uid="{00000000-0005-0000-0000-0000AB910000}"/>
    <cellStyle name="40% - Accent6 4 2 2 3 2 2 2 3" xfId="34320" xr:uid="{00000000-0005-0000-0000-0000AC910000}"/>
    <cellStyle name="40% - Accent6 4 2 2 3 2 2 3" xfId="17369" xr:uid="{00000000-0005-0000-0000-0000AD910000}"/>
    <cellStyle name="40% - Accent6 4 2 2 3 2 2 3 2" xfId="39971" xr:uid="{00000000-0005-0000-0000-0000AE910000}"/>
    <cellStyle name="40% - Accent6 4 2 2 3 2 2 4" xfId="28670" xr:uid="{00000000-0005-0000-0000-0000AF910000}"/>
    <cellStyle name="40% - Accent6 4 2 2 3 2 3" xfId="8886" xr:uid="{00000000-0005-0000-0000-0000B0910000}"/>
    <cellStyle name="40% - Accent6 4 2 2 3 2 3 2" xfId="20187" xr:uid="{00000000-0005-0000-0000-0000B1910000}"/>
    <cellStyle name="40% - Accent6 4 2 2 3 2 3 2 2" xfId="42789" xr:uid="{00000000-0005-0000-0000-0000B2910000}"/>
    <cellStyle name="40% - Accent6 4 2 2 3 2 3 3" xfId="31488" xr:uid="{00000000-0005-0000-0000-0000B3910000}"/>
    <cellStyle name="40% - Accent6 4 2 2 3 2 4" xfId="14537" xr:uid="{00000000-0005-0000-0000-0000B4910000}"/>
    <cellStyle name="40% - Accent6 4 2 2 3 2 4 2" xfId="37139" xr:uid="{00000000-0005-0000-0000-0000B5910000}"/>
    <cellStyle name="40% - Accent6 4 2 2 3 2 5" xfId="25838" xr:uid="{00000000-0005-0000-0000-0000B6910000}"/>
    <cellStyle name="40% - Accent6 4 2 2 3 3" xfId="4834" xr:uid="{00000000-0005-0000-0000-0000B7910000}"/>
    <cellStyle name="40% - Accent6 4 2 2 3 3 2" xfId="10484" xr:uid="{00000000-0005-0000-0000-0000B8910000}"/>
    <cellStyle name="40% - Accent6 4 2 2 3 3 2 2" xfId="21785" xr:uid="{00000000-0005-0000-0000-0000B9910000}"/>
    <cellStyle name="40% - Accent6 4 2 2 3 3 2 2 2" xfId="44387" xr:uid="{00000000-0005-0000-0000-0000BA910000}"/>
    <cellStyle name="40% - Accent6 4 2 2 3 3 2 3" xfId="33086" xr:uid="{00000000-0005-0000-0000-0000BB910000}"/>
    <cellStyle name="40% - Accent6 4 2 2 3 3 3" xfId="16135" xr:uid="{00000000-0005-0000-0000-0000BC910000}"/>
    <cellStyle name="40% - Accent6 4 2 2 3 3 3 2" xfId="38737" xr:uid="{00000000-0005-0000-0000-0000BD910000}"/>
    <cellStyle name="40% - Accent6 4 2 2 3 3 4" xfId="27436" xr:uid="{00000000-0005-0000-0000-0000BE910000}"/>
    <cellStyle name="40% - Accent6 4 2 2 3 4" xfId="7021" xr:uid="{00000000-0005-0000-0000-0000BF910000}"/>
    <cellStyle name="40% - Accent6 4 2 2 3 4 2" xfId="18322" xr:uid="{00000000-0005-0000-0000-0000C0910000}"/>
    <cellStyle name="40% - Accent6 4 2 2 3 4 2 2" xfId="40924" xr:uid="{00000000-0005-0000-0000-0000C1910000}"/>
    <cellStyle name="40% - Accent6 4 2 2 3 4 3" xfId="29623" xr:uid="{00000000-0005-0000-0000-0000C2910000}"/>
    <cellStyle name="40% - Accent6 4 2 2 3 5" xfId="12672" xr:uid="{00000000-0005-0000-0000-0000C3910000}"/>
    <cellStyle name="40% - Accent6 4 2 2 3 5 2" xfId="35274" xr:uid="{00000000-0005-0000-0000-0000C4910000}"/>
    <cellStyle name="40% - Accent6 4 2 2 3 6" xfId="23973" xr:uid="{00000000-0005-0000-0000-0000C5910000}"/>
    <cellStyle name="40% - Accent6 4 2 2 4" xfId="2050" xr:uid="{00000000-0005-0000-0000-0000C6910000}"/>
    <cellStyle name="40% - Accent6 4 2 2 4 2" xfId="3829" xr:uid="{00000000-0005-0000-0000-0000C7910000}"/>
    <cellStyle name="40% - Accent6 4 2 2 4 2 2" xfId="9538" xr:uid="{00000000-0005-0000-0000-0000C8910000}"/>
    <cellStyle name="40% - Accent6 4 2 2 4 2 2 2" xfId="20839" xr:uid="{00000000-0005-0000-0000-0000C9910000}"/>
    <cellStyle name="40% - Accent6 4 2 2 4 2 2 2 2" xfId="43441" xr:uid="{00000000-0005-0000-0000-0000CA910000}"/>
    <cellStyle name="40% - Accent6 4 2 2 4 2 2 3" xfId="32140" xr:uid="{00000000-0005-0000-0000-0000CB910000}"/>
    <cellStyle name="40% - Accent6 4 2 2 4 2 3" xfId="15189" xr:uid="{00000000-0005-0000-0000-0000CC910000}"/>
    <cellStyle name="40% - Accent6 4 2 2 4 2 3 2" xfId="37791" xr:uid="{00000000-0005-0000-0000-0000CD910000}"/>
    <cellStyle name="40% - Accent6 4 2 2 4 2 4" xfId="26490" xr:uid="{00000000-0005-0000-0000-0000CE910000}"/>
    <cellStyle name="40% - Accent6 4 2 2 4 3" xfId="5444" xr:uid="{00000000-0005-0000-0000-0000CF910000}"/>
    <cellStyle name="40% - Accent6 4 2 2 4 3 2" xfId="11094" xr:uid="{00000000-0005-0000-0000-0000D0910000}"/>
    <cellStyle name="40% - Accent6 4 2 2 4 3 2 2" xfId="22395" xr:uid="{00000000-0005-0000-0000-0000D1910000}"/>
    <cellStyle name="40% - Accent6 4 2 2 4 3 2 2 2" xfId="44997" xr:uid="{00000000-0005-0000-0000-0000D2910000}"/>
    <cellStyle name="40% - Accent6 4 2 2 4 3 2 3" xfId="33696" xr:uid="{00000000-0005-0000-0000-0000D3910000}"/>
    <cellStyle name="40% - Accent6 4 2 2 4 3 3" xfId="16745" xr:uid="{00000000-0005-0000-0000-0000D4910000}"/>
    <cellStyle name="40% - Accent6 4 2 2 4 3 3 2" xfId="39347" xr:uid="{00000000-0005-0000-0000-0000D5910000}"/>
    <cellStyle name="40% - Accent6 4 2 2 4 3 4" xfId="28046" xr:uid="{00000000-0005-0000-0000-0000D6910000}"/>
    <cellStyle name="40% - Accent6 4 2 2 4 4" xfId="7906" xr:uid="{00000000-0005-0000-0000-0000D7910000}"/>
    <cellStyle name="40% - Accent6 4 2 2 4 4 2" xfId="19207" xr:uid="{00000000-0005-0000-0000-0000D8910000}"/>
    <cellStyle name="40% - Accent6 4 2 2 4 4 2 2" xfId="41809" xr:uid="{00000000-0005-0000-0000-0000D9910000}"/>
    <cellStyle name="40% - Accent6 4 2 2 4 4 3" xfId="30508" xr:uid="{00000000-0005-0000-0000-0000DA910000}"/>
    <cellStyle name="40% - Accent6 4 2 2 4 5" xfId="13557" xr:uid="{00000000-0005-0000-0000-0000DB910000}"/>
    <cellStyle name="40% - Accent6 4 2 2 4 5 2" xfId="36159" xr:uid="{00000000-0005-0000-0000-0000DC910000}"/>
    <cellStyle name="40% - Accent6 4 2 2 4 6" xfId="24858" xr:uid="{00000000-0005-0000-0000-0000DD910000}"/>
    <cellStyle name="40% - Accent6 4 2 2 5" xfId="2425" xr:uid="{00000000-0005-0000-0000-0000DE910000}"/>
    <cellStyle name="40% - Accent6 4 2 2 5 2" xfId="8261" xr:uid="{00000000-0005-0000-0000-0000DF910000}"/>
    <cellStyle name="40% - Accent6 4 2 2 5 2 2" xfId="19562" xr:uid="{00000000-0005-0000-0000-0000E0910000}"/>
    <cellStyle name="40% - Accent6 4 2 2 5 2 2 2" xfId="42164" xr:uid="{00000000-0005-0000-0000-0000E1910000}"/>
    <cellStyle name="40% - Accent6 4 2 2 5 2 3" xfId="30863" xr:uid="{00000000-0005-0000-0000-0000E2910000}"/>
    <cellStyle name="40% - Accent6 4 2 2 5 3" xfId="13912" xr:uid="{00000000-0005-0000-0000-0000E3910000}"/>
    <cellStyle name="40% - Accent6 4 2 2 5 3 2" xfId="36514" xr:uid="{00000000-0005-0000-0000-0000E4910000}"/>
    <cellStyle name="40% - Accent6 4 2 2 5 4" xfId="25213" xr:uid="{00000000-0005-0000-0000-0000E5910000}"/>
    <cellStyle name="40% - Accent6 4 2 2 6" xfId="4210" xr:uid="{00000000-0005-0000-0000-0000E6910000}"/>
    <cellStyle name="40% - Accent6 4 2 2 6 2" xfId="9860" xr:uid="{00000000-0005-0000-0000-0000E7910000}"/>
    <cellStyle name="40% - Accent6 4 2 2 6 2 2" xfId="21161" xr:uid="{00000000-0005-0000-0000-0000E8910000}"/>
    <cellStyle name="40% - Accent6 4 2 2 6 2 2 2" xfId="43763" xr:uid="{00000000-0005-0000-0000-0000E9910000}"/>
    <cellStyle name="40% - Accent6 4 2 2 6 2 3" xfId="32462" xr:uid="{00000000-0005-0000-0000-0000EA910000}"/>
    <cellStyle name="40% - Accent6 4 2 2 6 3" xfId="15511" xr:uid="{00000000-0005-0000-0000-0000EB910000}"/>
    <cellStyle name="40% - Accent6 4 2 2 6 3 2" xfId="38113" xr:uid="{00000000-0005-0000-0000-0000EC910000}"/>
    <cellStyle name="40% - Accent6 4 2 2 6 4" xfId="26812" xr:uid="{00000000-0005-0000-0000-0000ED910000}"/>
    <cellStyle name="40% - Accent6 4 2 2 7" xfId="6690" xr:uid="{00000000-0005-0000-0000-0000EE910000}"/>
    <cellStyle name="40% - Accent6 4 2 2 7 2" xfId="17991" xr:uid="{00000000-0005-0000-0000-0000EF910000}"/>
    <cellStyle name="40% - Accent6 4 2 2 7 2 2" xfId="40593" xr:uid="{00000000-0005-0000-0000-0000F0910000}"/>
    <cellStyle name="40% - Accent6 4 2 2 7 3" xfId="29292" xr:uid="{00000000-0005-0000-0000-0000F1910000}"/>
    <cellStyle name="40% - Accent6 4 2 2 8" xfId="12341" xr:uid="{00000000-0005-0000-0000-0000F2910000}"/>
    <cellStyle name="40% - Accent6 4 2 2 8 2" xfId="34943" xr:uid="{00000000-0005-0000-0000-0000F3910000}"/>
    <cellStyle name="40% - Accent6 4 2 2 9" xfId="23642" xr:uid="{00000000-0005-0000-0000-0000F4910000}"/>
    <cellStyle name="40% - Accent6 4 2 3" xfId="1197" xr:uid="{00000000-0005-0000-0000-0000F5910000}"/>
    <cellStyle name="40% - Accent6 4 2 3 2" xfId="2052" xr:uid="{00000000-0005-0000-0000-0000F6910000}"/>
    <cellStyle name="40% - Accent6 4 2 3 2 2" xfId="3265" xr:uid="{00000000-0005-0000-0000-0000F7910000}"/>
    <cellStyle name="40% - Accent6 4 2 3 2 2 2" xfId="6237" xr:uid="{00000000-0005-0000-0000-0000F8910000}"/>
    <cellStyle name="40% - Accent6 4 2 3 2 2 2 2" xfId="11887" xr:uid="{00000000-0005-0000-0000-0000F9910000}"/>
    <cellStyle name="40% - Accent6 4 2 3 2 2 2 2 2" xfId="23188" xr:uid="{00000000-0005-0000-0000-0000FA910000}"/>
    <cellStyle name="40% - Accent6 4 2 3 2 2 2 2 2 2" xfId="45790" xr:uid="{00000000-0005-0000-0000-0000FB910000}"/>
    <cellStyle name="40% - Accent6 4 2 3 2 2 2 2 3" xfId="34489" xr:uid="{00000000-0005-0000-0000-0000FC910000}"/>
    <cellStyle name="40% - Accent6 4 2 3 2 2 2 3" xfId="17538" xr:uid="{00000000-0005-0000-0000-0000FD910000}"/>
    <cellStyle name="40% - Accent6 4 2 3 2 2 2 3 2" xfId="40140" xr:uid="{00000000-0005-0000-0000-0000FE910000}"/>
    <cellStyle name="40% - Accent6 4 2 3 2 2 2 4" xfId="28839" xr:uid="{00000000-0005-0000-0000-0000FF910000}"/>
    <cellStyle name="40% - Accent6 4 2 3 2 2 3" xfId="9055" xr:uid="{00000000-0005-0000-0000-000000920000}"/>
    <cellStyle name="40% - Accent6 4 2 3 2 2 3 2" xfId="20356" xr:uid="{00000000-0005-0000-0000-000001920000}"/>
    <cellStyle name="40% - Accent6 4 2 3 2 2 3 2 2" xfId="42958" xr:uid="{00000000-0005-0000-0000-000002920000}"/>
    <cellStyle name="40% - Accent6 4 2 3 2 2 3 3" xfId="31657" xr:uid="{00000000-0005-0000-0000-000003920000}"/>
    <cellStyle name="40% - Accent6 4 2 3 2 2 4" xfId="14706" xr:uid="{00000000-0005-0000-0000-000004920000}"/>
    <cellStyle name="40% - Accent6 4 2 3 2 2 4 2" xfId="37308" xr:uid="{00000000-0005-0000-0000-000005920000}"/>
    <cellStyle name="40% - Accent6 4 2 3 2 2 5" xfId="26007" xr:uid="{00000000-0005-0000-0000-000006920000}"/>
    <cellStyle name="40% - Accent6 4 2 3 2 3" xfId="5003" xr:uid="{00000000-0005-0000-0000-000007920000}"/>
    <cellStyle name="40% - Accent6 4 2 3 2 3 2" xfId="10653" xr:uid="{00000000-0005-0000-0000-000008920000}"/>
    <cellStyle name="40% - Accent6 4 2 3 2 3 2 2" xfId="21954" xr:uid="{00000000-0005-0000-0000-000009920000}"/>
    <cellStyle name="40% - Accent6 4 2 3 2 3 2 2 2" xfId="44556" xr:uid="{00000000-0005-0000-0000-00000A920000}"/>
    <cellStyle name="40% - Accent6 4 2 3 2 3 2 3" xfId="33255" xr:uid="{00000000-0005-0000-0000-00000B920000}"/>
    <cellStyle name="40% - Accent6 4 2 3 2 3 3" xfId="16304" xr:uid="{00000000-0005-0000-0000-00000C920000}"/>
    <cellStyle name="40% - Accent6 4 2 3 2 3 3 2" xfId="38906" xr:uid="{00000000-0005-0000-0000-00000D920000}"/>
    <cellStyle name="40% - Accent6 4 2 3 2 3 4" xfId="27605" xr:uid="{00000000-0005-0000-0000-00000E920000}"/>
    <cellStyle name="40% - Accent6 4 2 3 2 4" xfId="7908" xr:uid="{00000000-0005-0000-0000-00000F920000}"/>
    <cellStyle name="40% - Accent6 4 2 3 2 4 2" xfId="19209" xr:uid="{00000000-0005-0000-0000-000010920000}"/>
    <cellStyle name="40% - Accent6 4 2 3 2 4 2 2" xfId="41811" xr:uid="{00000000-0005-0000-0000-000011920000}"/>
    <cellStyle name="40% - Accent6 4 2 3 2 4 3" xfId="30510" xr:uid="{00000000-0005-0000-0000-000012920000}"/>
    <cellStyle name="40% - Accent6 4 2 3 2 5" xfId="13559" xr:uid="{00000000-0005-0000-0000-000013920000}"/>
    <cellStyle name="40% - Accent6 4 2 3 2 5 2" xfId="36161" xr:uid="{00000000-0005-0000-0000-000014920000}"/>
    <cellStyle name="40% - Accent6 4 2 3 2 6" xfId="24860" xr:uid="{00000000-0005-0000-0000-000015920000}"/>
    <cellStyle name="40% - Accent6 4 2 3 3" xfId="2594" xr:uid="{00000000-0005-0000-0000-000016920000}"/>
    <cellStyle name="40% - Accent6 4 2 3 3 2" xfId="5613" xr:uid="{00000000-0005-0000-0000-000017920000}"/>
    <cellStyle name="40% - Accent6 4 2 3 3 2 2" xfId="11263" xr:uid="{00000000-0005-0000-0000-000018920000}"/>
    <cellStyle name="40% - Accent6 4 2 3 3 2 2 2" xfId="22564" xr:uid="{00000000-0005-0000-0000-000019920000}"/>
    <cellStyle name="40% - Accent6 4 2 3 3 2 2 2 2" xfId="45166" xr:uid="{00000000-0005-0000-0000-00001A920000}"/>
    <cellStyle name="40% - Accent6 4 2 3 3 2 2 3" xfId="33865" xr:uid="{00000000-0005-0000-0000-00001B920000}"/>
    <cellStyle name="40% - Accent6 4 2 3 3 2 3" xfId="16914" xr:uid="{00000000-0005-0000-0000-00001C920000}"/>
    <cellStyle name="40% - Accent6 4 2 3 3 2 3 2" xfId="39516" xr:uid="{00000000-0005-0000-0000-00001D920000}"/>
    <cellStyle name="40% - Accent6 4 2 3 3 2 4" xfId="28215" xr:uid="{00000000-0005-0000-0000-00001E920000}"/>
    <cellStyle name="40% - Accent6 4 2 3 3 3" xfId="8430" xr:uid="{00000000-0005-0000-0000-00001F920000}"/>
    <cellStyle name="40% - Accent6 4 2 3 3 3 2" xfId="19731" xr:uid="{00000000-0005-0000-0000-000020920000}"/>
    <cellStyle name="40% - Accent6 4 2 3 3 3 2 2" xfId="42333" xr:uid="{00000000-0005-0000-0000-000021920000}"/>
    <cellStyle name="40% - Accent6 4 2 3 3 3 3" xfId="31032" xr:uid="{00000000-0005-0000-0000-000022920000}"/>
    <cellStyle name="40% - Accent6 4 2 3 3 4" xfId="14081" xr:uid="{00000000-0005-0000-0000-000023920000}"/>
    <cellStyle name="40% - Accent6 4 2 3 3 4 2" xfId="36683" xr:uid="{00000000-0005-0000-0000-000024920000}"/>
    <cellStyle name="40% - Accent6 4 2 3 3 5" xfId="25382" xr:uid="{00000000-0005-0000-0000-000025920000}"/>
    <cellStyle name="40% - Accent6 4 2 3 4" xfId="4379" xr:uid="{00000000-0005-0000-0000-000026920000}"/>
    <cellStyle name="40% - Accent6 4 2 3 4 2" xfId="10029" xr:uid="{00000000-0005-0000-0000-000027920000}"/>
    <cellStyle name="40% - Accent6 4 2 3 4 2 2" xfId="21330" xr:uid="{00000000-0005-0000-0000-000028920000}"/>
    <cellStyle name="40% - Accent6 4 2 3 4 2 2 2" xfId="43932" xr:uid="{00000000-0005-0000-0000-000029920000}"/>
    <cellStyle name="40% - Accent6 4 2 3 4 2 3" xfId="32631" xr:uid="{00000000-0005-0000-0000-00002A920000}"/>
    <cellStyle name="40% - Accent6 4 2 3 4 3" xfId="15680" xr:uid="{00000000-0005-0000-0000-00002B920000}"/>
    <cellStyle name="40% - Accent6 4 2 3 4 3 2" xfId="38282" xr:uid="{00000000-0005-0000-0000-00002C920000}"/>
    <cellStyle name="40% - Accent6 4 2 3 4 4" xfId="26981" xr:uid="{00000000-0005-0000-0000-00002D920000}"/>
    <cellStyle name="40% - Accent6 4 2 3 5" xfId="7176" xr:uid="{00000000-0005-0000-0000-00002E920000}"/>
    <cellStyle name="40% - Accent6 4 2 3 5 2" xfId="18477" xr:uid="{00000000-0005-0000-0000-00002F920000}"/>
    <cellStyle name="40% - Accent6 4 2 3 5 2 2" xfId="41079" xr:uid="{00000000-0005-0000-0000-000030920000}"/>
    <cellStyle name="40% - Accent6 4 2 3 5 3" xfId="29778" xr:uid="{00000000-0005-0000-0000-000031920000}"/>
    <cellStyle name="40% - Accent6 4 2 3 6" xfId="12827" xr:uid="{00000000-0005-0000-0000-000032920000}"/>
    <cellStyle name="40% - Accent6 4 2 3 6 2" xfId="35429" xr:uid="{00000000-0005-0000-0000-000033920000}"/>
    <cellStyle name="40% - Accent6 4 2 3 7" xfId="24128" xr:uid="{00000000-0005-0000-0000-000034920000}"/>
    <cellStyle name="40% - Accent6 4 2 4" xfId="887" xr:uid="{00000000-0005-0000-0000-000035920000}"/>
    <cellStyle name="40% - Accent6 4 2 4 2" xfId="2958" xr:uid="{00000000-0005-0000-0000-000036920000}"/>
    <cellStyle name="40% - Accent6 4 2 4 2 2" xfId="5930" xr:uid="{00000000-0005-0000-0000-000037920000}"/>
    <cellStyle name="40% - Accent6 4 2 4 2 2 2" xfId="11580" xr:uid="{00000000-0005-0000-0000-000038920000}"/>
    <cellStyle name="40% - Accent6 4 2 4 2 2 2 2" xfId="22881" xr:uid="{00000000-0005-0000-0000-000039920000}"/>
    <cellStyle name="40% - Accent6 4 2 4 2 2 2 2 2" xfId="45483" xr:uid="{00000000-0005-0000-0000-00003A920000}"/>
    <cellStyle name="40% - Accent6 4 2 4 2 2 2 3" xfId="34182" xr:uid="{00000000-0005-0000-0000-00003B920000}"/>
    <cellStyle name="40% - Accent6 4 2 4 2 2 3" xfId="17231" xr:uid="{00000000-0005-0000-0000-00003C920000}"/>
    <cellStyle name="40% - Accent6 4 2 4 2 2 3 2" xfId="39833" xr:uid="{00000000-0005-0000-0000-00003D920000}"/>
    <cellStyle name="40% - Accent6 4 2 4 2 2 4" xfId="28532" xr:uid="{00000000-0005-0000-0000-00003E920000}"/>
    <cellStyle name="40% - Accent6 4 2 4 2 3" xfId="8748" xr:uid="{00000000-0005-0000-0000-00003F920000}"/>
    <cellStyle name="40% - Accent6 4 2 4 2 3 2" xfId="20049" xr:uid="{00000000-0005-0000-0000-000040920000}"/>
    <cellStyle name="40% - Accent6 4 2 4 2 3 2 2" xfId="42651" xr:uid="{00000000-0005-0000-0000-000041920000}"/>
    <cellStyle name="40% - Accent6 4 2 4 2 3 3" xfId="31350" xr:uid="{00000000-0005-0000-0000-000042920000}"/>
    <cellStyle name="40% - Accent6 4 2 4 2 4" xfId="14399" xr:uid="{00000000-0005-0000-0000-000043920000}"/>
    <cellStyle name="40% - Accent6 4 2 4 2 4 2" xfId="37001" xr:uid="{00000000-0005-0000-0000-000044920000}"/>
    <cellStyle name="40% - Accent6 4 2 4 2 5" xfId="25700" xr:uid="{00000000-0005-0000-0000-000045920000}"/>
    <cellStyle name="40% - Accent6 4 2 4 3" xfId="4696" xr:uid="{00000000-0005-0000-0000-000046920000}"/>
    <cellStyle name="40% - Accent6 4 2 4 3 2" xfId="10346" xr:uid="{00000000-0005-0000-0000-000047920000}"/>
    <cellStyle name="40% - Accent6 4 2 4 3 2 2" xfId="21647" xr:uid="{00000000-0005-0000-0000-000048920000}"/>
    <cellStyle name="40% - Accent6 4 2 4 3 2 2 2" xfId="44249" xr:uid="{00000000-0005-0000-0000-000049920000}"/>
    <cellStyle name="40% - Accent6 4 2 4 3 2 3" xfId="32948" xr:uid="{00000000-0005-0000-0000-00004A920000}"/>
    <cellStyle name="40% - Accent6 4 2 4 3 3" xfId="15997" xr:uid="{00000000-0005-0000-0000-00004B920000}"/>
    <cellStyle name="40% - Accent6 4 2 4 3 3 2" xfId="38599" xr:uid="{00000000-0005-0000-0000-00004C920000}"/>
    <cellStyle name="40% - Accent6 4 2 4 3 4" xfId="27298" xr:uid="{00000000-0005-0000-0000-00004D920000}"/>
    <cellStyle name="40% - Accent6 4 2 4 4" xfId="6883" xr:uid="{00000000-0005-0000-0000-00004E920000}"/>
    <cellStyle name="40% - Accent6 4 2 4 4 2" xfId="18184" xr:uid="{00000000-0005-0000-0000-00004F920000}"/>
    <cellStyle name="40% - Accent6 4 2 4 4 2 2" xfId="40786" xr:uid="{00000000-0005-0000-0000-000050920000}"/>
    <cellStyle name="40% - Accent6 4 2 4 4 3" xfId="29485" xr:uid="{00000000-0005-0000-0000-000051920000}"/>
    <cellStyle name="40% - Accent6 4 2 4 5" xfId="12534" xr:uid="{00000000-0005-0000-0000-000052920000}"/>
    <cellStyle name="40% - Accent6 4 2 4 5 2" xfId="35136" xr:uid="{00000000-0005-0000-0000-000053920000}"/>
    <cellStyle name="40% - Accent6 4 2 4 6" xfId="23835" xr:uid="{00000000-0005-0000-0000-000054920000}"/>
    <cellStyle name="40% - Accent6 4 2 5" xfId="2049" xr:uid="{00000000-0005-0000-0000-000055920000}"/>
    <cellStyle name="40% - Accent6 4 2 5 2" xfId="3828" xr:uid="{00000000-0005-0000-0000-000056920000}"/>
    <cellStyle name="40% - Accent6 4 2 5 2 2" xfId="9537" xr:uid="{00000000-0005-0000-0000-000057920000}"/>
    <cellStyle name="40% - Accent6 4 2 5 2 2 2" xfId="20838" xr:uid="{00000000-0005-0000-0000-000058920000}"/>
    <cellStyle name="40% - Accent6 4 2 5 2 2 2 2" xfId="43440" xr:uid="{00000000-0005-0000-0000-000059920000}"/>
    <cellStyle name="40% - Accent6 4 2 5 2 2 3" xfId="32139" xr:uid="{00000000-0005-0000-0000-00005A920000}"/>
    <cellStyle name="40% - Accent6 4 2 5 2 3" xfId="15188" xr:uid="{00000000-0005-0000-0000-00005B920000}"/>
    <cellStyle name="40% - Accent6 4 2 5 2 3 2" xfId="37790" xr:uid="{00000000-0005-0000-0000-00005C920000}"/>
    <cellStyle name="40% - Accent6 4 2 5 2 4" xfId="26489" xr:uid="{00000000-0005-0000-0000-00005D920000}"/>
    <cellStyle name="40% - Accent6 4 2 5 3" xfId="5306" xr:uid="{00000000-0005-0000-0000-00005E920000}"/>
    <cellStyle name="40% - Accent6 4 2 5 3 2" xfId="10956" xr:uid="{00000000-0005-0000-0000-00005F920000}"/>
    <cellStyle name="40% - Accent6 4 2 5 3 2 2" xfId="22257" xr:uid="{00000000-0005-0000-0000-000060920000}"/>
    <cellStyle name="40% - Accent6 4 2 5 3 2 2 2" xfId="44859" xr:uid="{00000000-0005-0000-0000-000061920000}"/>
    <cellStyle name="40% - Accent6 4 2 5 3 2 3" xfId="33558" xr:uid="{00000000-0005-0000-0000-000062920000}"/>
    <cellStyle name="40% - Accent6 4 2 5 3 3" xfId="16607" xr:uid="{00000000-0005-0000-0000-000063920000}"/>
    <cellStyle name="40% - Accent6 4 2 5 3 3 2" xfId="39209" xr:uid="{00000000-0005-0000-0000-000064920000}"/>
    <cellStyle name="40% - Accent6 4 2 5 3 4" xfId="27908" xr:uid="{00000000-0005-0000-0000-000065920000}"/>
    <cellStyle name="40% - Accent6 4 2 5 4" xfId="7905" xr:uid="{00000000-0005-0000-0000-000066920000}"/>
    <cellStyle name="40% - Accent6 4 2 5 4 2" xfId="19206" xr:uid="{00000000-0005-0000-0000-000067920000}"/>
    <cellStyle name="40% - Accent6 4 2 5 4 2 2" xfId="41808" xr:uid="{00000000-0005-0000-0000-000068920000}"/>
    <cellStyle name="40% - Accent6 4 2 5 4 3" xfId="30507" xr:uid="{00000000-0005-0000-0000-000069920000}"/>
    <cellStyle name="40% - Accent6 4 2 5 5" xfId="13556" xr:uid="{00000000-0005-0000-0000-00006A920000}"/>
    <cellStyle name="40% - Accent6 4 2 5 5 2" xfId="36158" xr:uid="{00000000-0005-0000-0000-00006B920000}"/>
    <cellStyle name="40% - Accent6 4 2 5 6" xfId="24857" xr:uid="{00000000-0005-0000-0000-00006C920000}"/>
    <cellStyle name="40% - Accent6 4 2 6" xfId="2285" xr:uid="{00000000-0005-0000-0000-00006D920000}"/>
    <cellStyle name="40% - Accent6 4 2 6 2" xfId="8121" xr:uid="{00000000-0005-0000-0000-00006E920000}"/>
    <cellStyle name="40% - Accent6 4 2 6 2 2" xfId="19422" xr:uid="{00000000-0005-0000-0000-00006F920000}"/>
    <cellStyle name="40% - Accent6 4 2 6 2 2 2" xfId="42024" xr:uid="{00000000-0005-0000-0000-000070920000}"/>
    <cellStyle name="40% - Accent6 4 2 6 2 3" xfId="30723" xr:uid="{00000000-0005-0000-0000-000071920000}"/>
    <cellStyle name="40% - Accent6 4 2 6 3" xfId="13772" xr:uid="{00000000-0005-0000-0000-000072920000}"/>
    <cellStyle name="40% - Accent6 4 2 6 3 2" xfId="36374" xr:uid="{00000000-0005-0000-0000-000073920000}"/>
    <cellStyle name="40% - Accent6 4 2 6 4" xfId="25073" xr:uid="{00000000-0005-0000-0000-000074920000}"/>
    <cellStyle name="40% - Accent6 4 2 7" xfId="4072" xr:uid="{00000000-0005-0000-0000-000075920000}"/>
    <cellStyle name="40% - Accent6 4 2 7 2" xfId="9722" xr:uid="{00000000-0005-0000-0000-000076920000}"/>
    <cellStyle name="40% - Accent6 4 2 7 2 2" xfId="21023" xr:uid="{00000000-0005-0000-0000-000077920000}"/>
    <cellStyle name="40% - Accent6 4 2 7 2 2 2" xfId="43625" xr:uid="{00000000-0005-0000-0000-000078920000}"/>
    <cellStyle name="40% - Accent6 4 2 7 2 3" xfId="32324" xr:uid="{00000000-0005-0000-0000-000079920000}"/>
    <cellStyle name="40% - Accent6 4 2 7 3" xfId="15373" xr:uid="{00000000-0005-0000-0000-00007A920000}"/>
    <cellStyle name="40% - Accent6 4 2 7 3 2" xfId="37975" xr:uid="{00000000-0005-0000-0000-00007B920000}"/>
    <cellStyle name="40% - Accent6 4 2 7 4" xfId="26674" xr:uid="{00000000-0005-0000-0000-00007C920000}"/>
    <cellStyle name="40% - Accent6 4 2 8" xfId="6523" xr:uid="{00000000-0005-0000-0000-00007D920000}"/>
    <cellStyle name="40% - Accent6 4 2 8 2" xfId="17824" xr:uid="{00000000-0005-0000-0000-00007E920000}"/>
    <cellStyle name="40% - Accent6 4 2 8 2 2" xfId="40426" xr:uid="{00000000-0005-0000-0000-00007F920000}"/>
    <cellStyle name="40% - Accent6 4 2 8 3" xfId="29125" xr:uid="{00000000-0005-0000-0000-000080920000}"/>
    <cellStyle name="40% - Accent6 4 2 9" xfId="12174" xr:uid="{00000000-0005-0000-0000-000081920000}"/>
    <cellStyle name="40% - Accent6 4 2 9 2" xfId="34776" xr:uid="{00000000-0005-0000-0000-000082920000}"/>
    <cellStyle name="40% - Accent6 4 3" xfId="429" xr:uid="{00000000-0005-0000-0000-000083920000}"/>
    <cellStyle name="40% - Accent6 4 3 10" xfId="23524" xr:uid="{00000000-0005-0000-0000-000084920000}"/>
    <cellStyle name="40% - Accent6 4 3 2" xfId="674" xr:uid="{00000000-0005-0000-0000-000085920000}"/>
    <cellStyle name="40% - Accent6 4 3 2 2" xfId="1384" xr:uid="{00000000-0005-0000-0000-000086920000}"/>
    <cellStyle name="40% - Accent6 4 3 2 2 2" xfId="2055" xr:uid="{00000000-0005-0000-0000-000087920000}"/>
    <cellStyle name="40% - Accent6 4 3 2 2 2 2" xfId="3453" xr:uid="{00000000-0005-0000-0000-000088920000}"/>
    <cellStyle name="40% - Accent6 4 3 2 2 2 2 2" xfId="6425" xr:uid="{00000000-0005-0000-0000-000089920000}"/>
    <cellStyle name="40% - Accent6 4 3 2 2 2 2 2 2" xfId="12075" xr:uid="{00000000-0005-0000-0000-00008A920000}"/>
    <cellStyle name="40% - Accent6 4 3 2 2 2 2 2 2 2" xfId="23376" xr:uid="{00000000-0005-0000-0000-00008B920000}"/>
    <cellStyle name="40% - Accent6 4 3 2 2 2 2 2 2 2 2" xfId="45978" xr:uid="{00000000-0005-0000-0000-00008C920000}"/>
    <cellStyle name="40% - Accent6 4 3 2 2 2 2 2 2 3" xfId="34677" xr:uid="{00000000-0005-0000-0000-00008D920000}"/>
    <cellStyle name="40% - Accent6 4 3 2 2 2 2 2 3" xfId="17726" xr:uid="{00000000-0005-0000-0000-00008E920000}"/>
    <cellStyle name="40% - Accent6 4 3 2 2 2 2 2 3 2" xfId="40328" xr:uid="{00000000-0005-0000-0000-00008F920000}"/>
    <cellStyle name="40% - Accent6 4 3 2 2 2 2 2 4" xfId="29027" xr:uid="{00000000-0005-0000-0000-000090920000}"/>
    <cellStyle name="40% - Accent6 4 3 2 2 2 2 3" xfId="9243" xr:uid="{00000000-0005-0000-0000-000091920000}"/>
    <cellStyle name="40% - Accent6 4 3 2 2 2 2 3 2" xfId="20544" xr:uid="{00000000-0005-0000-0000-000092920000}"/>
    <cellStyle name="40% - Accent6 4 3 2 2 2 2 3 2 2" xfId="43146" xr:uid="{00000000-0005-0000-0000-000093920000}"/>
    <cellStyle name="40% - Accent6 4 3 2 2 2 2 3 3" xfId="31845" xr:uid="{00000000-0005-0000-0000-000094920000}"/>
    <cellStyle name="40% - Accent6 4 3 2 2 2 2 4" xfId="14894" xr:uid="{00000000-0005-0000-0000-000095920000}"/>
    <cellStyle name="40% - Accent6 4 3 2 2 2 2 4 2" xfId="37496" xr:uid="{00000000-0005-0000-0000-000096920000}"/>
    <cellStyle name="40% - Accent6 4 3 2 2 2 2 5" xfId="26195" xr:uid="{00000000-0005-0000-0000-000097920000}"/>
    <cellStyle name="40% - Accent6 4 3 2 2 2 3" xfId="5191" xr:uid="{00000000-0005-0000-0000-000098920000}"/>
    <cellStyle name="40% - Accent6 4 3 2 2 2 3 2" xfId="10841" xr:uid="{00000000-0005-0000-0000-000099920000}"/>
    <cellStyle name="40% - Accent6 4 3 2 2 2 3 2 2" xfId="22142" xr:uid="{00000000-0005-0000-0000-00009A920000}"/>
    <cellStyle name="40% - Accent6 4 3 2 2 2 3 2 2 2" xfId="44744" xr:uid="{00000000-0005-0000-0000-00009B920000}"/>
    <cellStyle name="40% - Accent6 4 3 2 2 2 3 2 3" xfId="33443" xr:uid="{00000000-0005-0000-0000-00009C920000}"/>
    <cellStyle name="40% - Accent6 4 3 2 2 2 3 3" xfId="16492" xr:uid="{00000000-0005-0000-0000-00009D920000}"/>
    <cellStyle name="40% - Accent6 4 3 2 2 2 3 3 2" xfId="39094" xr:uid="{00000000-0005-0000-0000-00009E920000}"/>
    <cellStyle name="40% - Accent6 4 3 2 2 2 3 4" xfId="27793" xr:uid="{00000000-0005-0000-0000-00009F920000}"/>
    <cellStyle name="40% - Accent6 4 3 2 2 2 4" xfId="7911" xr:uid="{00000000-0005-0000-0000-0000A0920000}"/>
    <cellStyle name="40% - Accent6 4 3 2 2 2 4 2" xfId="19212" xr:uid="{00000000-0005-0000-0000-0000A1920000}"/>
    <cellStyle name="40% - Accent6 4 3 2 2 2 4 2 2" xfId="41814" xr:uid="{00000000-0005-0000-0000-0000A2920000}"/>
    <cellStyle name="40% - Accent6 4 3 2 2 2 4 3" xfId="30513" xr:uid="{00000000-0005-0000-0000-0000A3920000}"/>
    <cellStyle name="40% - Accent6 4 3 2 2 2 5" xfId="13562" xr:uid="{00000000-0005-0000-0000-0000A4920000}"/>
    <cellStyle name="40% - Accent6 4 3 2 2 2 5 2" xfId="36164" xr:uid="{00000000-0005-0000-0000-0000A5920000}"/>
    <cellStyle name="40% - Accent6 4 3 2 2 2 6" xfId="24863" xr:uid="{00000000-0005-0000-0000-0000A6920000}"/>
    <cellStyle name="40% - Accent6 4 3 2 2 3" xfId="2782" xr:uid="{00000000-0005-0000-0000-0000A7920000}"/>
    <cellStyle name="40% - Accent6 4 3 2 2 3 2" xfId="5801" xr:uid="{00000000-0005-0000-0000-0000A8920000}"/>
    <cellStyle name="40% - Accent6 4 3 2 2 3 2 2" xfId="11451" xr:uid="{00000000-0005-0000-0000-0000A9920000}"/>
    <cellStyle name="40% - Accent6 4 3 2 2 3 2 2 2" xfId="22752" xr:uid="{00000000-0005-0000-0000-0000AA920000}"/>
    <cellStyle name="40% - Accent6 4 3 2 2 3 2 2 2 2" xfId="45354" xr:uid="{00000000-0005-0000-0000-0000AB920000}"/>
    <cellStyle name="40% - Accent6 4 3 2 2 3 2 2 3" xfId="34053" xr:uid="{00000000-0005-0000-0000-0000AC920000}"/>
    <cellStyle name="40% - Accent6 4 3 2 2 3 2 3" xfId="17102" xr:uid="{00000000-0005-0000-0000-0000AD920000}"/>
    <cellStyle name="40% - Accent6 4 3 2 2 3 2 3 2" xfId="39704" xr:uid="{00000000-0005-0000-0000-0000AE920000}"/>
    <cellStyle name="40% - Accent6 4 3 2 2 3 2 4" xfId="28403" xr:uid="{00000000-0005-0000-0000-0000AF920000}"/>
    <cellStyle name="40% - Accent6 4 3 2 2 3 3" xfId="8618" xr:uid="{00000000-0005-0000-0000-0000B0920000}"/>
    <cellStyle name="40% - Accent6 4 3 2 2 3 3 2" xfId="19919" xr:uid="{00000000-0005-0000-0000-0000B1920000}"/>
    <cellStyle name="40% - Accent6 4 3 2 2 3 3 2 2" xfId="42521" xr:uid="{00000000-0005-0000-0000-0000B2920000}"/>
    <cellStyle name="40% - Accent6 4 3 2 2 3 3 3" xfId="31220" xr:uid="{00000000-0005-0000-0000-0000B3920000}"/>
    <cellStyle name="40% - Accent6 4 3 2 2 3 4" xfId="14269" xr:uid="{00000000-0005-0000-0000-0000B4920000}"/>
    <cellStyle name="40% - Accent6 4 3 2 2 3 4 2" xfId="36871" xr:uid="{00000000-0005-0000-0000-0000B5920000}"/>
    <cellStyle name="40% - Accent6 4 3 2 2 3 5" xfId="25570" xr:uid="{00000000-0005-0000-0000-0000B6920000}"/>
    <cellStyle name="40% - Accent6 4 3 2 2 4" xfId="4567" xr:uid="{00000000-0005-0000-0000-0000B7920000}"/>
    <cellStyle name="40% - Accent6 4 3 2 2 4 2" xfId="10217" xr:uid="{00000000-0005-0000-0000-0000B8920000}"/>
    <cellStyle name="40% - Accent6 4 3 2 2 4 2 2" xfId="21518" xr:uid="{00000000-0005-0000-0000-0000B9920000}"/>
    <cellStyle name="40% - Accent6 4 3 2 2 4 2 2 2" xfId="44120" xr:uid="{00000000-0005-0000-0000-0000BA920000}"/>
    <cellStyle name="40% - Accent6 4 3 2 2 4 2 3" xfId="32819" xr:uid="{00000000-0005-0000-0000-0000BB920000}"/>
    <cellStyle name="40% - Accent6 4 3 2 2 4 3" xfId="15868" xr:uid="{00000000-0005-0000-0000-0000BC920000}"/>
    <cellStyle name="40% - Accent6 4 3 2 2 4 3 2" xfId="38470" xr:uid="{00000000-0005-0000-0000-0000BD920000}"/>
    <cellStyle name="40% - Accent6 4 3 2 2 4 4" xfId="27169" xr:uid="{00000000-0005-0000-0000-0000BE920000}"/>
    <cellStyle name="40% - Accent6 4 3 2 2 5" xfId="7363" xr:uid="{00000000-0005-0000-0000-0000BF920000}"/>
    <cellStyle name="40% - Accent6 4 3 2 2 5 2" xfId="18664" xr:uid="{00000000-0005-0000-0000-0000C0920000}"/>
    <cellStyle name="40% - Accent6 4 3 2 2 5 2 2" xfId="41266" xr:uid="{00000000-0005-0000-0000-0000C1920000}"/>
    <cellStyle name="40% - Accent6 4 3 2 2 5 3" xfId="29965" xr:uid="{00000000-0005-0000-0000-0000C2920000}"/>
    <cellStyle name="40% - Accent6 4 3 2 2 6" xfId="13014" xr:uid="{00000000-0005-0000-0000-0000C3920000}"/>
    <cellStyle name="40% - Accent6 4 3 2 2 6 2" xfId="35616" xr:uid="{00000000-0005-0000-0000-0000C4920000}"/>
    <cellStyle name="40% - Accent6 4 3 2 2 7" xfId="24315" xr:uid="{00000000-0005-0000-0000-0000C5920000}"/>
    <cellStyle name="40% - Accent6 4 3 2 3" xfId="1082" xr:uid="{00000000-0005-0000-0000-0000C6920000}"/>
    <cellStyle name="40% - Accent6 4 3 2 3 2" xfId="3145" xr:uid="{00000000-0005-0000-0000-0000C7920000}"/>
    <cellStyle name="40% - Accent6 4 3 2 3 2 2" xfId="6117" xr:uid="{00000000-0005-0000-0000-0000C8920000}"/>
    <cellStyle name="40% - Accent6 4 3 2 3 2 2 2" xfId="11767" xr:uid="{00000000-0005-0000-0000-0000C9920000}"/>
    <cellStyle name="40% - Accent6 4 3 2 3 2 2 2 2" xfId="23068" xr:uid="{00000000-0005-0000-0000-0000CA920000}"/>
    <cellStyle name="40% - Accent6 4 3 2 3 2 2 2 2 2" xfId="45670" xr:uid="{00000000-0005-0000-0000-0000CB920000}"/>
    <cellStyle name="40% - Accent6 4 3 2 3 2 2 2 3" xfId="34369" xr:uid="{00000000-0005-0000-0000-0000CC920000}"/>
    <cellStyle name="40% - Accent6 4 3 2 3 2 2 3" xfId="17418" xr:uid="{00000000-0005-0000-0000-0000CD920000}"/>
    <cellStyle name="40% - Accent6 4 3 2 3 2 2 3 2" xfId="40020" xr:uid="{00000000-0005-0000-0000-0000CE920000}"/>
    <cellStyle name="40% - Accent6 4 3 2 3 2 2 4" xfId="28719" xr:uid="{00000000-0005-0000-0000-0000CF920000}"/>
    <cellStyle name="40% - Accent6 4 3 2 3 2 3" xfId="8935" xr:uid="{00000000-0005-0000-0000-0000D0920000}"/>
    <cellStyle name="40% - Accent6 4 3 2 3 2 3 2" xfId="20236" xr:uid="{00000000-0005-0000-0000-0000D1920000}"/>
    <cellStyle name="40% - Accent6 4 3 2 3 2 3 2 2" xfId="42838" xr:uid="{00000000-0005-0000-0000-0000D2920000}"/>
    <cellStyle name="40% - Accent6 4 3 2 3 2 3 3" xfId="31537" xr:uid="{00000000-0005-0000-0000-0000D3920000}"/>
    <cellStyle name="40% - Accent6 4 3 2 3 2 4" xfId="14586" xr:uid="{00000000-0005-0000-0000-0000D4920000}"/>
    <cellStyle name="40% - Accent6 4 3 2 3 2 4 2" xfId="37188" xr:uid="{00000000-0005-0000-0000-0000D5920000}"/>
    <cellStyle name="40% - Accent6 4 3 2 3 2 5" xfId="25887" xr:uid="{00000000-0005-0000-0000-0000D6920000}"/>
    <cellStyle name="40% - Accent6 4 3 2 3 3" xfId="4883" xr:uid="{00000000-0005-0000-0000-0000D7920000}"/>
    <cellStyle name="40% - Accent6 4 3 2 3 3 2" xfId="10533" xr:uid="{00000000-0005-0000-0000-0000D8920000}"/>
    <cellStyle name="40% - Accent6 4 3 2 3 3 2 2" xfId="21834" xr:uid="{00000000-0005-0000-0000-0000D9920000}"/>
    <cellStyle name="40% - Accent6 4 3 2 3 3 2 2 2" xfId="44436" xr:uid="{00000000-0005-0000-0000-0000DA920000}"/>
    <cellStyle name="40% - Accent6 4 3 2 3 3 2 3" xfId="33135" xr:uid="{00000000-0005-0000-0000-0000DB920000}"/>
    <cellStyle name="40% - Accent6 4 3 2 3 3 3" xfId="16184" xr:uid="{00000000-0005-0000-0000-0000DC920000}"/>
    <cellStyle name="40% - Accent6 4 3 2 3 3 3 2" xfId="38786" xr:uid="{00000000-0005-0000-0000-0000DD920000}"/>
    <cellStyle name="40% - Accent6 4 3 2 3 3 4" xfId="27485" xr:uid="{00000000-0005-0000-0000-0000DE920000}"/>
    <cellStyle name="40% - Accent6 4 3 2 3 4" xfId="7070" xr:uid="{00000000-0005-0000-0000-0000DF920000}"/>
    <cellStyle name="40% - Accent6 4 3 2 3 4 2" xfId="18371" xr:uid="{00000000-0005-0000-0000-0000E0920000}"/>
    <cellStyle name="40% - Accent6 4 3 2 3 4 2 2" xfId="40973" xr:uid="{00000000-0005-0000-0000-0000E1920000}"/>
    <cellStyle name="40% - Accent6 4 3 2 3 4 3" xfId="29672" xr:uid="{00000000-0005-0000-0000-0000E2920000}"/>
    <cellStyle name="40% - Accent6 4 3 2 3 5" xfId="12721" xr:uid="{00000000-0005-0000-0000-0000E3920000}"/>
    <cellStyle name="40% - Accent6 4 3 2 3 5 2" xfId="35323" xr:uid="{00000000-0005-0000-0000-0000E4920000}"/>
    <cellStyle name="40% - Accent6 4 3 2 3 6" xfId="24022" xr:uid="{00000000-0005-0000-0000-0000E5920000}"/>
    <cellStyle name="40% - Accent6 4 3 2 4" xfId="2054" xr:uid="{00000000-0005-0000-0000-0000E6920000}"/>
    <cellStyle name="40% - Accent6 4 3 2 4 2" xfId="3832" xr:uid="{00000000-0005-0000-0000-0000E7920000}"/>
    <cellStyle name="40% - Accent6 4 3 2 4 2 2" xfId="9540" xr:uid="{00000000-0005-0000-0000-0000E8920000}"/>
    <cellStyle name="40% - Accent6 4 3 2 4 2 2 2" xfId="20841" xr:uid="{00000000-0005-0000-0000-0000E9920000}"/>
    <cellStyle name="40% - Accent6 4 3 2 4 2 2 2 2" xfId="43443" xr:uid="{00000000-0005-0000-0000-0000EA920000}"/>
    <cellStyle name="40% - Accent6 4 3 2 4 2 2 3" xfId="32142" xr:uid="{00000000-0005-0000-0000-0000EB920000}"/>
    <cellStyle name="40% - Accent6 4 3 2 4 2 3" xfId="15191" xr:uid="{00000000-0005-0000-0000-0000EC920000}"/>
    <cellStyle name="40% - Accent6 4 3 2 4 2 3 2" xfId="37793" xr:uid="{00000000-0005-0000-0000-0000ED920000}"/>
    <cellStyle name="40% - Accent6 4 3 2 4 2 4" xfId="26492" xr:uid="{00000000-0005-0000-0000-0000EE920000}"/>
    <cellStyle name="40% - Accent6 4 3 2 4 3" xfId="5493" xr:uid="{00000000-0005-0000-0000-0000EF920000}"/>
    <cellStyle name="40% - Accent6 4 3 2 4 3 2" xfId="11143" xr:uid="{00000000-0005-0000-0000-0000F0920000}"/>
    <cellStyle name="40% - Accent6 4 3 2 4 3 2 2" xfId="22444" xr:uid="{00000000-0005-0000-0000-0000F1920000}"/>
    <cellStyle name="40% - Accent6 4 3 2 4 3 2 2 2" xfId="45046" xr:uid="{00000000-0005-0000-0000-0000F2920000}"/>
    <cellStyle name="40% - Accent6 4 3 2 4 3 2 3" xfId="33745" xr:uid="{00000000-0005-0000-0000-0000F3920000}"/>
    <cellStyle name="40% - Accent6 4 3 2 4 3 3" xfId="16794" xr:uid="{00000000-0005-0000-0000-0000F4920000}"/>
    <cellStyle name="40% - Accent6 4 3 2 4 3 3 2" xfId="39396" xr:uid="{00000000-0005-0000-0000-0000F5920000}"/>
    <cellStyle name="40% - Accent6 4 3 2 4 3 4" xfId="28095" xr:uid="{00000000-0005-0000-0000-0000F6920000}"/>
    <cellStyle name="40% - Accent6 4 3 2 4 4" xfId="7910" xr:uid="{00000000-0005-0000-0000-0000F7920000}"/>
    <cellStyle name="40% - Accent6 4 3 2 4 4 2" xfId="19211" xr:uid="{00000000-0005-0000-0000-0000F8920000}"/>
    <cellStyle name="40% - Accent6 4 3 2 4 4 2 2" xfId="41813" xr:uid="{00000000-0005-0000-0000-0000F9920000}"/>
    <cellStyle name="40% - Accent6 4 3 2 4 4 3" xfId="30512" xr:uid="{00000000-0005-0000-0000-0000FA920000}"/>
    <cellStyle name="40% - Accent6 4 3 2 4 5" xfId="13561" xr:uid="{00000000-0005-0000-0000-0000FB920000}"/>
    <cellStyle name="40% - Accent6 4 3 2 4 5 2" xfId="36163" xr:uid="{00000000-0005-0000-0000-0000FC920000}"/>
    <cellStyle name="40% - Accent6 4 3 2 4 6" xfId="24862" xr:uid="{00000000-0005-0000-0000-0000FD920000}"/>
    <cellStyle name="40% - Accent6 4 3 2 5" xfId="2474" xr:uid="{00000000-0005-0000-0000-0000FE920000}"/>
    <cellStyle name="40% - Accent6 4 3 2 5 2" xfId="8310" xr:uid="{00000000-0005-0000-0000-0000FF920000}"/>
    <cellStyle name="40% - Accent6 4 3 2 5 2 2" xfId="19611" xr:uid="{00000000-0005-0000-0000-000000930000}"/>
    <cellStyle name="40% - Accent6 4 3 2 5 2 2 2" xfId="42213" xr:uid="{00000000-0005-0000-0000-000001930000}"/>
    <cellStyle name="40% - Accent6 4 3 2 5 2 3" xfId="30912" xr:uid="{00000000-0005-0000-0000-000002930000}"/>
    <cellStyle name="40% - Accent6 4 3 2 5 3" xfId="13961" xr:uid="{00000000-0005-0000-0000-000003930000}"/>
    <cellStyle name="40% - Accent6 4 3 2 5 3 2" xfId="36563" xr:uid="{00000000-0005-0000-0000-000004930000}"/>
    <cellStyle name="40% - Accent6 4 3 2 5 4" xfId="25262" xr:uid="{00000000-0005-0000-0000-000005930000}"/>
    <cellStyle name="40% - Accent6 4 3 2 6" xfId="4259" xr:uid="{00000000-0005-0000-0000-000006930000}"/>
    <cellStyle name="40% - Accent6 4 3 2 6 2" xfId="9909" xr:uid="{00000000-0005-0000-0000-000007930000}"/>
    <cellStyle name="40% - Accent6 4 3 2 6 2 2" xfId="21210" xr:uid="{00000000-0005-0000-0000-000008930000}"/>
    <cellStyle name="40% - Accent6 4 3 2 6 2 2 2" xfId="43812" xr:uid="{00000000-0005-0000-0000-000009930000}"/>
    <cellStyle name="40% - Accent6 4 3 2 6 2 3" xfId="32511" xr:uid="{00000000-0005-0000-0000-00000A930000}"/>
    <cellStyle name="40% - Accent6 4 3 2 6 3" xfId="15560" xr:uid="{00000000-0005-0000-0000-00000B930000}"/>
    <cellStyle name="40% - Accent6 4 3 2 6 3 2" xfId="38162" xr:uid="{00000000-0005-0000-0000-00000C930000}"/>
    <cellStyle name="40% - Accent6 4 3 2 6 4" xfId="26861" xr:uid="{00000000-0005-0000-0000-00000D930000}"/>
    <cellStyle name="40% - Accent6 4 3 2 7" xfId="6739" xr:uid="{00000000-0005-0000-0000-00000E930000}"/>
    <cellStyle name="40% - Accent6 4 3 2 7 2" xfId="18040" xr:uid="{00000000-0005-0000-0000-00000F930000}"/>
    <cellStyle name="40% - Accent6 4 3 2 7 2 2" xfId="40642" xr:uid="{00000000-0005-0000-0000-000010930000}"/>
    <cellStyle name="40% - Accent6 4 3 2 7 3" xfId="29341" xr:uid="{00000000-0005-0000-0000-000011930000}"/>
    <cellStyle name="40% - Accent6 4 3 2 8" xfId="12390" xr:uid="{00000000-0005-0000-0000-000012930000}"/>
    <cellStyle name="40% - Accent6 4 3 2 8 2" xfId="34992" xr:uid="{00000000-0005-0000-0000-000013930000}"/>
    <cellStyle name="40% - Accent6 4 3 2 9" xfId="23691" xr:uid="{00000000-0005-0000-0000-000014930000}"/>
    <cellStyle name="40% - Accent6 4 3 3" xfId="1246" xr:uid="{00000000-0005-0000-0000-000015930000}"/>
    <cellStyle name="40% - Accent6 4 3 3 2" xfId="2056" xr:uid="{00000000-0005-0000-0000-000016930000}"/>
    <cellStyle name="40% - Accent6 4 3 3 2 2" xfId="3314" xr:uid="{00000000-0005-0000-0000-000017930000}"/>
    <cellStyle name="40% - Accent6 4 3 3 2 2 2" xfId="6286" xr:uid="{00000000-0005-0000-0000-000018930000}"/>
    <cellStyle name="40% - Accent6 4 3 3 2 2 2 2" xfId="11936" xr:uid="{00000000-0005-0000-0000-000019930000}"/>
    <cellStyle name="40% - Accent6 4 3 3 2 2 2 2 2" xfId="23237" xr:uid="{00000000-0005-0000-0000-00001A930000}"/>
    <cellStyle name="40% - Accent6 4 3 3 2 2 2 2 2 2" xfId="45839" xr:uid="{00000000-0005-0000-0000-00001B930000}"/>
    <cellStyle name="40% - Accent6 4 3 3 2 2 2 2 3" xfId="34538" xr:uid="{00000000-0005-0000-0000-00001C930000}"/>
    <cellStyle name="40% - Accent6 4 3 3 2 2 2 3" xfId="17587" xr:uid="{00000000-0005-0000-0000-00001D930000}"/>
    <cellStyle name="40% - Accent6 4 3 3 2 2 2 3 2" xfId="40189" xr:uid="{00000000-0005-0000-0000-00001E930000}"/>
    <cellStyle name="40% - Accent6 4 3 3 2 2 2 4" xfId="28888" xr:uid="{00000000-0005-0000-0000-00001F930000}"/>
    <cellStyle name="40% - Accent6 4 3 3 2 2 3" xfId="9104" xr:uid="{00000000-0005-0000-0000-000020930000}"/>
    <cellStyle name="40% - Accent6 4 3 3 2 2 3 2" xfId="20405" xr:uid="{00000000-0005-0000-0000-000021930000}"/>
    <cellStyle name="40% - Accent6 4 3 3 2 2 3 2 2" xfId="43007" xr:uid="{00000000-0005-0000-0000-000022930000}"/>
    <cellStyle name="40% - Accent6 4 3 3 2 2 3 3" xfId="31706" xr:uid="{00000000-0005-0000-0000-000023930000}"/>
    <cellStyle name="40% - Accent6 4 3 3 2 2 4" xfId="14755" xr:uid="{00000000-0005-0000-0000-000024930000}"/>
    <cellStyle name="40% - Accent6 4 3 3 2 2 4 2" xfId="37357" xr:uid="{00000000-0005-0000-0000-000025930000}"/>
    <cellStyle name="40% - Accent6 4 3 3 2 2 5" xfId="26056" xr:uid="{00000000-0005-0000-0000-000026930000}"/>
    <cellStyle name="40% - Accent6 4 3 3 2 3" xfId="5052" xr:uid="{00000000-0005-0000-0000-000027930000}"/>
    <cellStyle name="40% - Accent6 4 3 3 2 3 2" xfId="10702" xr:uid="{00000000-0005-0000-0000-000028930000}"/>
    <cellStyle name="40% - Accent6 4 3 3 2 3 2 2" xfId="22003" xr:uid="{00000000-0005-0000-0000-000029930000}"/>
    <cellStyle name="40% - Accent6 4 3 3 2 3 2 2 2" xfId="44605" xr:uid="{00000000-0005-0000-0000-00002A930000}"/>
    <cellStyle name="40% - Accent6 4 3 3 2 3 2 3" xfId="33304" xr:uid="{00000000-0005-0000-0000-00002B930000}"/>
    <cellStyle name="40% - Accent6 4 3 3 2 3 3" xfId="16353" xr:uid="{00000000-0005-0000-0000-00002C930000}"/>
    <cellStyle name="40% - Accent6 4 3 3 2 3 3 2" xfId="38955" xr:uid="{00000000-0005-0000-0000-00002D930000}"/>
    <cellStyle name="40% - Accent6 4 3 3 2 3 4" xfId="27654" xr:uid="{00000000-0005-0000-0000-00002E930000}"/>
    <cellStyle name="40% - Accent6 4 3 3 2 4" xfId="7912" xr:uid="{00000000-0005-0000-0000-00002F930000}"/>
    <cellStyle name="40% - Accent6 4 3 3 2 4 2" xfId="19213" xr:uid="{00000000-0005-0000-0000-000030930000}"/>
    <cellStyle name="40% - Accent6 4 3 3 2 4 2 2" xfId="41815" xr:uid="{00000000-0005-0000-0000-000031930000}"/>
    <cellStyle name="40% - Accent6 4 3 3 2 4 3" xfId="30514" xr:uid="{00000000-0005-0000-0000-000032930000}"/>
    <cellStyle name="40% - Accent6 4 3 3 2 5" xfId="13563" xr:uid="{00000000-0005-0000-0000-000033930000}"/>
    <cellStyle name="40% - Accent6 4 3 3 2 5 2" xfId="36165" xr:uid="{00000000-0005-0000-0000-000034930000}"/>
    <cellStyle name="40% - Accent6 4 3 3 2 6" xfId="24864" xr:uid="{00000000-0005-0000-0000-000035930000}"/>
    <cellStyle name="40% - Accent6 4 3 3 3" xfId="2643" xr:uid="{00000000-0005-0000-0000-000036930000}"/>
    <cellStyle name="40% - Accent6 4 3 3 3 2" xfId="5662" xr:uid="{00000000-0005-0000-0000-000037930000}"/>
    <cellStyle name="40% - Accent6 4 3 3 3 2 2" xfId="11312" xr:uid="{00000000-0005-0000-0000-000038930000}"/>
    <cellStyle name="40% - Accent6 4 3 3 3 2 2 2" xfId="22613" xr:uid="{00000000-0005-0000-0000-000039930000}"/>
    <cellStyle name="40% - Accent6 4 3 3 3 2 2 2 2" xfId="45215" xr:uid="{00000000-0005-0000-0000-00003A930000}"/>
    <cellStyle name="40% - Accent6 4 3 3 3 2 2 3" xfId="33914" xr:uid="{00000000-0005-0000-0000-00003B930000}"/>
    <cellStyle name="40% - Accent6 4 3 3 3 2 3" xfId="16963" xr:uid="{00000000-0005-0000-0000-00003C930000}"/>
    <cellStyle name="40% - Accent6 4 3 3 3 2 3 2" xfId="39565" xr:uid="{00000000-0005-0000-0000-00003D930000}"/>
    <cellStyle name="40% - Accent6 4 3 3 3 2 4" xfId="28264" xr:uid="{00000000-0005-0000-0000-00003E930000}"/>
    <cellStyle name="40% - Accent6 4 3 3 3 3" xfId="8479" xr:uid="{00000000-0005-0000-0000-00003F930000}"/>
    <cellStyle name="40% - Accent6 4 3 3 3 3 2" xfId="19780" xr:uid="{00000000-0005-0000-0000-000040930000}"/>
    <cellStyle name="40% - Accent6 4 3 3 3 3 2 2" xfId="42382" xr:uid="{00000000-0005-0000-0000-000041930000}"/>
    <cellStyle name="40% - Accent6 4 3 3 3 3 3" xfId="31081" xr:uid="{00000000-0005-0000-0000-000042930000}"/>
    <cellStyle name="40% - Accent6 4 3 3 3 4" xfId="14130" xr:uid="{00000000-0005-0000-0000-000043930000}"/>
    <cellStyle name="40% - Accent6 4 3 3 3 4 2" xfId="36732" xr:uid="{00000000-0005-0000-0000-000044930000}"/>
    <cellStyle name="40% - Accent6 4 3 3 3 5" xfId="25431" xr:uid="{00000000-0005-0000-0000-000045930000}"/>
    <cellStyle name="40% - Accent6 4 3 3 4" xfId="4428" xr:uid="{00000000-0005-0000-0000-000046930000}"/>
    <cellStyle name="40% - Accent6 4 3 3 4 2" xfId="10078" xr:uid="{00000000-0005-0000-0000-000047930000}"/>
    <cellStyle name="40% - Accent6 4 3 3 4 2 2" xfId="21379" xr:uid="{00000000-0005-0000-0000-000048930000}"/>
    <cellStyle name="40% - Accent6 4 3 3 4 2 2 2" xfId="43981" xr:uid="{00000000-0005-0000-0000-000049930000}"/>
    <cellStyle name="40% - Accent6 4 3 3 4 2 3" xfId="32680" xr:uid="{00000000-0005-0000-0000-00004A930000}"/>
    <cellStyle name="40% - Accent6 4 3 3 4 3" xfId="15729" xr:uid="{00000000-0005-0000-0000-00004B930000}"/>
    <cellStyle name="40% - Accent6 4 3 3 4 3 2" xfId="38331" xr:uid="{00000000-0005-0000-0000-00004C930000}"/>
    <cellStyle name="40% - Accent6 4 3 3 4 4" xfId="27030" xr:uid="{00000000-0005-0000-0000-00004D930000}"/>
    <cellStyle name="40% - Accent6 4 3 3 5" xfId="7225" xr:uid="{00000000-0005-0000-0000-00004E930000}"/>
    <cellStyle name="40% - Accent6 4 3 3 5 2" xfId="18526" xr:uid="{00000000-0005-0000-0000-00004F930000}"/>
    <cellStyle name="40% - Accent6 4 3 3 5 2 2" xfId="41128" xr:uid="{00000000-0005-0000-0000-000050930000}"/>
    <cellStyle name="40% - Accent6 4 3 3 5 3" xfId="29827" xr:uid="{00000000-0005-0000-0000-000051930000}"/>
    <cellStyle name="40% - Accent6 4 3 3 6" xfId="12876" xr:uid="{00000000-0005-0000-0000-000052930000}"/>
    <cellStyle name="40% - Accent6 4 3 3 6 2" xfId="35478" xr:uid="{00000000-0005-0000-0000-000053930000}"/>
    <cellStyle name="40% - Accent6 4 3 3 7" xfId="24177" xr:uid="{00000000-0005-0000-0000-000054930000}"/>
    <cellStyle name="40% - Accent6 4 3 4" xfId="937" xr:uid="{00000000-0005-0000-0000-000055930000}"/>
    <cellStyle name="40% - Accent6 4 3 4 2" xfId="3007" xr:uid="{00000000-0005-0000-0000-000056930000}"/>
    <cellStyle name="40% - Accent6 4 3 4 2 2" xfId="5979" xr:uid="{00000000-0005-0000-0000-000057930000}"/>
    <cellStyle name="40% - Accent6 4 3 4 2 2 2" xfId="11629" xr:uid="{00000000-0005-0000-0000-000058930000}"/>
    <cellStyle name="40% - Accent6 4 3 4 2 2 2 2" xfId="22930" xr:uid="{00000000-0005-0000-0000-000059930000}"/>
    <cellStyle name="40% - Accent6 4 3 4 2 2 2 2 2" xfId="45532" xr:uid="{00000000-0005-0000-0000-00005A930000}"/>
    <cellStyle name="40% - Accent6 4 3 4 2 2 2 3" xfId="34231" xr:uid="{00000000-0005-0000-0000-00005B930000}"/>
    <cellStyle name="40% - Accent6 4 3 4 2 2 3" xfId="17280" xr:uid="{00000000-0005-0000-0000-00005C930000}"/>
    <cellStyle name="40% - Accent6 4 3 4 2 2 3 2" xfId="39882" xr:uid="{00000000-0005-0000-0000-00005D930000}"/>
    <cellStyle name="40% - Accent6 4 3 4 2 2 4" xfId="28581" xr:uid="{00000000-0005-0000-0000-00005E930000}"/>
    <cellStyle name="40% - Accent6 4 3 4 2 3" xfId="8797" xr:uid="{00000000-0005-0000-0000-00005F930000}"/>
    <cellStyle name="40% - Accent6 4 3 4 2 3 2" xfId="20098" xr:uid="{00000000-0005-0000-0000-000060930000}"/>
    <cellStyle name="40% - Accent6 4 3 4 2 3 2 2" xfId="42700" xr:uid="{00000000-0005-0000-0000-000061930000}"/>
    <cellStyle name="40% - Accent6 4 3 4 2 3 3" xfId="31399" xr:uid="{00000000-0005-0000-0000-000062930000}"/>
    <cellStyle name="40% - Accent6 4 3 4 2 4" xfId="14448" xr:uid="{00000000-0005-0000-0000-000063930000}"/>
    <cellStyle name="40% - Accent6 4 3 4 2 4 2" xfId="37050" xr:uid="{00000000-0005-0000-0000-000064930000}"/>
    <cellStyle name="40% - Accent6 4 3 4 2 5" xfId="25749" xr:uid="{00000000-0005-0000-0000-000065930000}"/>
    <cellStyle name="40% - Accent6 4 3 4 3" xfId="4745" xr:uid="{00000000-0005-0000-0000-000066930000}"/>
    <cellStyle name="40% - Accent6 4 3 4 3 2" xfId="10395" xr:uid="{00000000-0005-0000-0000-000067930000}"/>
    <cellStyle name="40% - Accent6 4 3 4 3 2 2" xfId="21696" xr:uid="{00000000-0005-0000-0000-000068930000}"/>
    <cellStyle name="40% - Accent6 4 3 4 3 2 2 2" xfId="44298" xr:uid="{00000000-0005-0000-0000-000069930000}"/>
    <cellStyle name="40% - Accent6 4 3 4 3 2 3" xfId="32997" xr:uid="{00000000-0005-0000-0000-00006A930000}"/>
    <cellStyle name="40% - Accent6 4 3 4 3 3" xfId="16046" xr:uid="{00000000-0005-0000-0000-00006B930000}"/>
    <cellStyle name="40% - Accent6 4 3 4 3 3 2" xfId="38648" xr:uid="{00000000-0005-0000-0000-00006C930000}"/>
    <cellStyle name="40% - Accent6 4 3 4 3 4" xfId="27347" xr:uid="{00000000-0005-0000-0000-00006D930000}"/>
    <cellStyle name="40% - Accent6 4 3 4 4" xfId="6932" xr:uid="{00000000-0005-0000-0000-00006E930000}"/>
    <cellStyle name="40% - Accent6 4 3 4 4 2" xfId="18233" xr:uid="{00000000-0005-0000-0000-00006F930000}"/>
    <cellStyle name="40% - Accent6 4 3 4 4 2 2" xfId="40835" xr:uid="{00000000-0005-0000-0000-000070930000}"/>
    <cellStyle name="40% - Accent6 4 3 4 4 3" xfId="29534" xr:uid="{00000000-0005-0000-0000-000071930000}"/>
    <cellStyle name="40% - Accent6 4 3 4 5" xfId="12583" xr:uid="{00000000-0005-0000-0000-000072930000}"/>
    <cellStyle name="40% - Accent6 4 3 4 5 2" xfId="35185" xr:uid="{00000000-0005-0000-0000-000073930000}"/>
    <cellStyle name="40% - Accent6 4 3 4 6" xfId="23884" xr:uid="{00000000-0005-0000-0000-000074930000}"/>
    <cellStyle name="40% - Accent6 4 3 5" xfId="2053" xr:uid="{00000000-0005-0000-0000-000075930000}"/>
    <cellStyle name="40% - Accent6 4 3 5 2" xfId="3831" xr:uid="{00000000-0005-0000-0000-000076930000}"/>
    <cellStyle name="40% - Accent6 4 3 5 2 2" xfId="9539" xr:uid="{00000000-0005-0000-0000-000077930000}"/>
    <cellStyle name="40% - Accent6 4 3 5 2 2 2" xfId="20840" xr:uid="{00000000-0005-0000-0000-000078930000}"/>
    <cellStyle name="40% - Accent6 4 3 5 2 2 2 2" xfId="43442" xr:uid="{00000000-0005-0000-0000-000079930000}"/>
    <cellStyle name="40% - Accent6 4 3 5 2 2 3" xfId="32141" xr:uid="{00000000-0005-0000-0000-00007A930000}"/>
    <cellStyle name="40% - Accent6 4 3 5 2 3" xfId="15190" xr:uid="{00000000-0005-0000-0000-00007B930000}"/>
    <cellStyle name="40% - Accent6 4 3 5 2 3 2" xfId="37792" xr:uid="{00000000-0005-0000-0000-00007C930000}"/>
    <cellStyle name="40% - Accent6 4 3 5 2 4" xfId="26491" xr:uid="{00000000-0005-0000-0000-00007D930000}"/>
    <cellStyle name="40% - Accent6 4 3 5 3" xfId="5355" xr:uid="{00000000-0005-0000-0000-00007E930000}"/>
    <cellStyle name="40% - Accent6 4 3 5 3 2" xfId="11005" xr:uid="{00000000-0005-0000-0000-00007F930000}"/>
    <cellStyle name="40% - Accent6 4 3 5 3 2 2" xfId="22306" xr:uid="{00000000-0005-0000-0000-000080930000}"/>
    <cellStyle name="40% - Accent6 4 3 5 3 2 2 2" xfId="44908" xr:uid="{00000000-0005-0000-0000-000081930000}"/>
    <cellStyle name="40% - Accent6 4 3 5 3 2 3" xfId="33607" xr:uid="{00000000-0005-0000-0000-000082930000}"/>
    <cellStyle name="40% - Accent6 4 3 5 3 3" xfId="16656" xr:uid="{00000000-0005-0000-0000-000083930000}"/>
    <cellStyle name="40% - Accent6 4 3 5 3 3 2" xfId="39258" xr:uid="{00000000-0005-0000-0000-000084930000}"/>
    <cellStyle name="40% - Accent6 4 3 5 3 4" xfId="27957" xr:uid="{00000000-0005-0000-0000-000085930000}"/>
    <cellStyle name="40% - Accent6 4 3 5 4" xfId="7909" xr:uid="{00000000-0005-0000-0000-000086930000}"/>
    <cellStyle name="40% - Accent6 4 3 5 4 2" xfId="19210" xr:uid="{00000000-0005-0000-0000-000087930000}"/>
    <cellStyle name="40% - Accent6 4 3 5 4 2 2" xfId="41812" xr:uid="{00000000-0005-0000-0000-000088930000}"/>
    <cellStyle name="40% - Accent6 4 3 5 4 3" xfId="30511" xr:uid="{00000000-0005-0000-0000-000089930000}"/>
    <cellStyle name="40% - Accent6 4 3 5 5" xfId="13560" xr:uid="{00000000-0005-0000-0000-00008A930000}"/>
    <cellStyle name="40% - Accent6 4 3 5 5 2" xfId="36162" xr:uid="{00000000-0005-0000-0000-00008B930000}"/>
    <cellStyle name="40% - Accent6 4 3 5 6" xfId="24861" xr:uid="{00000000-0005-0000-0000-00008C930000}"/>
    <cellStyle name="40% - Accent6 4 3 6" xfId="2334" xr:uid="{00000000-0005-0000-0000-00008D930000}"/>
    <cellStyle name="40% - Accent6 4 3 6 2" xfId="8170" xr:uid="{00000000-0005-0000-0000-00008E930000}"/>
    <cellStyle name="40% - Accent6 4 3 6 2 2" xfId="19471" xr:uid="{00000000-0005-0000-0000-00008F930000}"/>
    <cellStyle name="40% - Accent6 4 3 6 2 2 2" xfId="42073" xr:uid="{00000000-0005-0000-0000-000090930000}"/>
    <cellStyle name="40% - Accent6 4 3 6 2 3" xfId="30772" xr:uid="{00000000-0005-0000-0000-000091930000}"/>
    <cellStyle name="40% - Accent6 4 3 6 3" xfId="13821" xr:uid="{00000000-0005-0000-0000-000092930000}"/>
    <cellStyle name="40% - Accent6 4 3 6 3 2" xfId="36423" xr:uid="{00000000-0005-0000-0000-000093930000}"/>
    <cellStyle name="40% - Accent6 4 3 6 4" xfId="25122" xr:uid="{00000000-0005-0000-0000-000094930000}"/>
    <cellStyle name="40% - Accent6 4 3 7" xfId="4121" xr:uid="{00000000-0005-0000-0000-000095930000}"/>
    <cellStyle name="40% - Accent6 4 3 7 2" xfId="9771" xr:uid="{00000000-0005-0000-0000-000096930000}"/>
    <cellStyle name="40% - Accent6 4 3 7 2 2" xfId="21072" xr:uid="{00000000-0005-0000-0000-000097930000}"/>
    <cellStyle name="40% - Accent6 4 3 7 2 2 2" xfId="43674" xr:uid="{00000000-0005-0000-0000-000098930000}"/>
    <cellStyle name="40% - Accent6 4 3 7 2 3" xfId="32373" xr:uid="{00000000-0005-0000-0000-000099930000}"/>
    <cellStyle name="40% - Accent6 4 3 7 3" xfId="15422" xr:uid="{00000000-0005-0000-0000-00009A930000}"/>
    <cellStyle name="40% - Accent6 4 3 7 3 2" xfId="38024" xr:uid="{00000000-0005-0000-0000-00009B930000}"/>
    <cellStyle name="40% - Accent6 4 3 7 4" xfId="26723" xr:uid="{00000000-0005-0000-0000-00009C930000}"/>
    <cellStyle name="40% - Accent6 4 3 8" xfId="6572" xr:uid="{00000000-0005-0000-0000-00009D930000}"/>
    <cellStyle name="40% - Accent6 4 3 8 2" xfId="17873" xr:uid="{00000000-0005-0000-0000-00009E930000}"/>
    <cellStyle name="40% - Accent6 4 3 8 2 2" xfId="40475" xr:uid="{00000000-0005-0000-0000-00009F930000}"/>
    <cellStyle name="40% - Accent6 4 3 8 3" xfId="29174" xr:uid="{00000000-0005-0000-0000-0000A0930000}"/>
    <cellStyle name="40% - Accent6 4 3 9" xfId="12223" xr:uid="{00000000-0005-0000-0000-0000A1930000}"/>
    <cellStyle name="40% - Accent6 4 3 9 2" xfId="34825" xr:uid="{00000000-0005-0000-0000-0000A2930000}"/>
    <cellStyle name="40% - Accent6 4 4" xfId="576" xr:uid="{00000000-0005-0000-0000-0000A3930000}"/>
    <cellStyle name="40% - Accent6 4 4 2" xfId="1150" xr:uid="{00000000-0005-0000-0000-0000A4930000}"/>
    <cellStyle name="40% - Accent6 4 4 2 2" xfId="2058" xr:uid="{00000000-0005-0000-0000-0000A5930000}"/>
    <cellStyle name="40% - Accent6 4 4 2 2 2" xfId="3218" xr:uid="{00000000-0005-0000-0000-0000A6930000}"/>
    <cellStyle name="40% - Accent6 4 4 2 2 2 2" xfId="6190" xr:uid="{00000000-0005-0000-0000-0000A7930000}"/>
    <cellStyle name="40% - Accent6 4 4 2 2 2 2 2" xfId="11840" xr:uid="{00000000-0005-0000-0000-0000A8930000}"/>
    <cellStyle name="40% - Accent6 4 4 2 2 2 2 2 2" xfId="23141" xr:uid="{00000000-0005-0000-0000-0000A9930000}"/>
    <cellStyle name="40% - Accent6 4 4 2 2 2 2 2 2 2" xfId="45743" xr:uid="{00000000-0005-0000-0000-0000AA930000}"/>
    <cellStyle name="40% - Accent6 4 4 2 2 2 2 2 3" xfId="34442" xr:uid="{00000000-0005-0000-0000-0000AB930000}"/>
    <cellStyle name="40% - Accent6 4 4 2 2 2 2 3" xfId="17491" xr:uid="{00000000-0005-0000-0000-0000AC930000}"/>
    <cellStyle name="40% - Accent6 4 4 2 2 2 2 3 2" xfId="40093" xr:uid="{00000000-0005-0000-0000-0000AD930000}"/>
    <cellStyle name="40% - Accent6 4 4 2 2 2 2 4" xfId="28792" xr:uid="{00000000-0005-0000-0000-0000AE930000}"/>
    <cellStyle name="40% - Accent6 4 4 2 2 2 3" xfId="9008" xr:uid="{00000000-0005-0000-0000-0000AF930000}"/>
    <cellStyle name="40% - Accent6 4 4 2 2 2 3 2" xfId="20309" xr:uid="{00000000-0005-0000-0000-0000B0930000}"/>
    <cellStyle name="40% - Accent6 4 4 2 2 2 3 2 2" xfId="42911" xr:uid="{00000000-0005-0000-0000-0000B1930000}"/>
    <cellStyle name="40% - Accent6 4 4 2 2 2 3 3" xfId="31610" xr:uid="{00000000-0005-0000-0000-0000B2930000}"/>
    <cellStyle name="40% - Accent6 4 4 2 2 2 4" xfId="14659" xr:uid="{00000000-0005-0000-0000-0000B3930000}"/>
    <cellStyle name="40% - Accent6 4 4 2 2 2 4 2" xfId="37261" xr:uid="{00000000-0005-0000-0000-0000B4930000}"/>
    <cellStyle name="40% - Accent6 4 4 2 2 2 5" xfId="25960" xr:uid="{00000000-0005-0000-0000-0000B5930000}"/>
    <cellStyle name="40% - Accent6 4 4 2 2 3" xfId="4956" xr:uid="{00000000-0005-0000-0000-0000B6930000}"/>
    <cellStyle name="40% - Accent6 4 4 2 2 3 2" xfId="10606" xr:uid="{00000000-0005-0000-0000-0000B7930000}"/>
    <cellStyle name="40% - Accent6 4 4 2 2 3 2 2" xfId="21907" xr:uid="{00000000-0005-0000-0000-0000B8930000}"/>
    <cellStyle name="40% - Accent6 4 4 2 2 3 2 2 2" xfId="44509" xr:uid="{00000000-0005-0000-0000-0000B9930000}"/>
    <cellStyle name="40% - Accent6 4 4 2 2 3 2 3" xfId="33208" xr:uid="{00000000-0005-0000-0000-0000BA930000}"/>
    <cellStyle name="40% - Accent6 4 4 2 2 3 3" xfId="16257" xr:uid="{00000000-0005-0000-0000-0000BB930000}"/>
    <cellStyle name="40% - Accent6 4 4 2 2 3 3 2" xfId="38859" xr:uid="{00000000-0005-0000-0000-0000BC930000}"/>
    <cellStyle name="40% - Accent6 4 4 2 2 3 4" xfId="27558" xr:uid="{00000000-0005-0000-0000-0000BD930000}"/>
    <cellStyle name="40% - Accent6 4 4 2 2 4" xfId="7914" xr:uid="{00000000-0005-0000-0000-0000BE930000}"/>
    <cellStyle name="40% - Accent6 4 4 2 2 4 2" xfId="19215" xr:uid="{00000000-0005-0000-0000-0000BF930000}"/>
    <cellStyle name="40% - Accent6 4 4 2 2 4 2 2" xfId="41817" xr:uid="{00000000-0005-0000-0000-0000C0930000}"/>
    <cellStyle name="40% - Accent6 4 4 2 2 4 3" xfId="30516" xr:uid="{00000000-0005-0000-0000-0000C1930000}"/>
    <cellStyle name="40% - Accent6 4 4 2 2 5" xfId="13565" xr:uid="{00000000-0005-0000-0000-0000C2930000}"/>
    <cellStyle name="40% - Accent6 4 4 2 2 5 2" xfId="36167" xr:uid="{00000000-0005-0000-0000-0000C3930000}"/>
    <cellStyle name="40% - Accent6 4 4 2 2 6" xfId="24866" xr:uid="{00000000-0005-0000-0000-0000C4930000}"/>
    <cellStyle name="40% - Accent6 4 4 2 3" xfId="2547" xr:uid="{00000000-0005-0000-0000-0000C5930000}"/>
    <cellStyle name="40% - Accent6 4 4 2 3 2" xfId="5566" xr:uid="{00000000-0005-0000-0000-0000C6930000}"/>
    <cellStyle name="40% - Accent6 4 4 2 3 2 2" xfId="11216" xr:uid="{00000000-0005-0000-0000-0000C7930000}"/>
    <cellStyle name="40% - Accent6 4 4 2 3 2 2 2" xfId="22517" xr:uid="{00000000-0005-0000-0000-0000C8930000}"/>
    <cellStyle name="40% - Accent6 4 4 2 3 2 2 2 2" xfId="45119" xr:uid="{00000000-0005-0000-0000-0000C9930000}"/>
    <cellStyle name="40% - Accent6 4 4 2 3 2 2 3" xfId="33818" xr:uid="{00000000-0005-0000-0000-0000CA930000}"/>
    <cellStyle name="40% - Accent6 4 4 2 3 2 3" xfId="16867" xr:uid="{00000000-0005-0000-0000-0000CB930000}"/>
    <cellStyle name="40% - Accent6 4 4 2 3 2 3 2" xfId="39469" xr:uid="{00000000-0005-0000-0000-0000CC930000}"/>
    <cellStyle name="40% - Accent6 4 4 2 3 2 4" xfId="28168" xr:uid="{00000000-0005-0000-0000-0000CD930000}"/>
    <cellStyle name="40% - Accent6 4 4 2 3 3" xfId="8383" xr:uid="{00000000-0005-0000-0000-0000CE930000}"/>
    <cellStyle name="40% - Accent6 4 4 2 3 3 2" xfId="19684" xr:uid="{00000000-0005-0000-0000-0000CF930000}"/>
    <cellStyle name="40% - Accent6 4 4 2 3 3 2 2" xfId="42286" xr:uid="{00000000-0005-0000-0000-0000D0930000}"/>
    <cellStyle name="40% - Accent6 4 4 2 3 3 3" xfId="30985" xr:uid="{00000000-0005-0000-0000-0000D1930000}"/>
    <cellStyle name="40% - Accent6 4 4 2 3 4" xfId="14034" xr:uid="{00000000-0005-0000-0000-0000D2930000}"/>
    <cellStyle name="40% - Accent6 4 4 2 3 4 2" xfId="36636" xr:uid="{00000000-0005-0000-0000-0000D3930000}"/>
    <cellStyle name="40% - Accent6 4 4 2 3 5" xfId="25335" xr:uid="{00000000-0005-0000-0000-0000D4930000}"/>
    <cellStyle name="40% - Accent6 4 4 2 4" xfId="4332" xr:uid="{00000000-0005-0000-0000-0000D5930000}"/>
    <cellStyle name="40% - Accent6 4 4 2 4 2" xfId="9982" xr:uid="{00000000-0005-0000-0000-0000D6930000}"/>
    <cellStyle name="40% - Accent6 4 4 2 4 2 2" xfId="21283" xr:uid="{00000000-0005-0000-0000-0000D7930000}"/>
    <cellStyle name="40% - Accent6 4 4 2 4 2 2 2" xfId="43885" xr:uid="{00000000-0005-0000-0000-0000D8930000}"/>
    <cellStyle name="40% - Accent6 4 4 2 4 2 3" xfId="32584" xr:uid="{00000000-0005-0000-0000-0000D9930000}"/>
    <cellStyle name="40% - Accent6 4 4 2 4 3" xfId="15633" xr:uid="{00000000-0005-0000-0000-0000DA930000}"/>
    <cellStyle name="40% - Accent6 4 4 2 4 3 2" xfId="38235" xr:uid="{00000000-0005-0000-0000-0000DB930000}"/>
    <cellStyle name="40% - Accent6 4 4 2 4 4" xfId="26934" xr:uid="{00000000-0005-0000-0000-0000DC930000}"/>
    <cellStyle name="40% - Accent6 4 4 2 5" xfId="7129" xr:uid="{00000000-0005-0000-0000-0000DD930000}"/>
    <cellStyle name="40% - Accent6 4 4 2 5 2" xfId="18430" xr:uid="{00000000-0005-0000-0000-0000DE930000}"/>
    <cellStyle name="40% - Accent6 4 4 2 5 2 2" xfId="41032" xr:uid="{00000000-0005-0000-0000-0000DF930000}"/>
    <cellStyle name="40% - Accent6 4 4 2 5 3" xfId="29731" xr:uid="{00000000-0005-0000-0000-0000E0930000}"/>
    <cellStyle name="40% - Accent6 4 4 2 6" xfId="12780" xr:uid="{00000000-0005-0000-0000-0000E1930000}"/>
    <cellStyle name="40% - Accent6 4 4 2 6 2" xfId="35382" xr:uid="{00000000-0005-0000-0000-0000E2930000}"/>
    <cellStyle name="40% - Accent6 4 4 2 7" xfId="24081" xr:uid="{00000000-0005-0000-0000-0000E3930000}"/>
    <cellStyle name="40% - Accent6 4 4 3" xfId="824" xr:uid="{00000000-0005-0000-0000-0000E4930000}"/>
    <cellStyle name="40% - Accent6 4 4 3 2" xfId="2911" xr:uid="{00000000-0005-0000-0000-0000E5930000}"/>
    <cellStyle name="40% - Accent6 4 4 3 2 2" xfId="5883" xr:uid="{00000000-0005-0000-0000-0000E6930000}"/>
    <cellStyle name="40% - Accent6 4 4 3 2 2 2" xfId="11533" xr:uid="{00000000-0005-0000-0000-0000E7930000}"/>
    <cellStyle name="40% - Accent6 4 4 3 2 2 2 2" xfId="22834" xr:uid="{00000000-0005-0000-0000-0000E8930000}"/>
    <cellStyle name="40% - Accent6 4 4 3 2 2 2 2 2" xfId="45436" xr:uid="{00000000-0005-0000-0000-0000E9930000}"/>
    <cellStyle name="40% - Accent6 4 4 3 2 2 2 3" xfId="34135" xr:uid="{00000000-0005-0000-0000-0000EA930000}"/>
    <cellStyle name="40% - Accent6 4 4 3 2 2 3" xfId="17184" xr:uid="{00000000-0005-0000-0000-0000EB930000}"/>
    <cellStyle name="40% - Accent6 4 4 3 2 2 3 2" xfId="39786" xr:uid="{00000000-0005-0000-0000-0000EC930000}"/>
    <cellStyle name="40% - Accent6 4 4 3 2 2 4" xfId="28485" xr:uid="{00000000-0005-0000-0000-0000ED930000}"/>
    <cellStyle name="40% - Accent6 4 4 3 2 3" xfId="8701" xr:uid="{00000000-0005-0000-0000-0000EE930000}"/>
    <cellStyle name="40% - Accent6 4 4 3 2 3 2" xfId="20002" xr:uid="{00000000-0005-0000-0000-0000EF930000}"/>
    <cellStyle name="40% - Accent6 4 4 3 2 3 2 2" xfId="42604" xr:uid="{00000000-0005-0000-0000-0000F0930000}"/>
    <cellStyle name="40% - Accent6 4 4 3 2 3 3" xfId="31303" xr:uid="{00000000-0005-0000-0000-0000F1930000}"/>
    <cellStyle name="40% - Accent6 4 4 3 2 4" xfId="14352" xr:uid="{00000000-0005-0000-0000-0000F2930000}"/>
    <cellStyle name="40% - Accent6 4 4 3 2 4 2" xfId="36954" xr:uid="{00000000-0005-0000-0000-0000F3930000}"/>
    <cellStyle name="40% - Accent6 4 4 3 2 5" xfId="25653" xr:uid="{00000000-0005-0000-0000-0000F4930000}"/>
    <cellStyle name="40% - Accent6 4 4 3 3" xfId="4649" xr:uid="{00000000-0005-0000-0000-0000F5930000}"/>
    <cellStyle name="40% - Accent6 4 4 3 3 2" xfId="10299" xr:uid="{00000000-0005-0000-0000-0000F6930000}"/>
    <cellStyle name="40% - Accent6 4 4 3 3 2 2" xfId="21600" xr:uid="{00000000-0005-0000-0000-0000F7930000}"/>
    <cellStyle name="40% - Accent6 4 4 3 3 2 2 2" xfId="44202" xr:uid="{00000000-0005-0000-0000-0000F8930000}"/>
    <cellStyle name="40% - Accent6 4 4 3 3 2 3" xfId="32901" xr:uid="{00000000-0005-0000-0000-0000F9930000}"/>
    <cellStyle name="40% - Accent6 4 4 3 3 3" xfId="15950" xr:uid="{00000000-0005-0000-0000-0000FA930000}"/>
    <cellStyle name="40% - Accent6 4 4 3 3 3 2" xfId="38552" xr:uid="{00000000-0005-0000-0000-0000FB930000}"/>
    <cellStyle name="40% - Accent6 4 4 3 3 4" xfId="27251" xr:uid="{00000000-0005-0000-0000-0000FC930000}"/>
    <cellStyle name="40% - Accent6 4 4 3 4" xfId="6832" xr:uid="{00000000-0005-0000-0000-0000FD930000}"/>
    <cellStyle name="40% - Accent6 4 4 3 4 2" xfId="18133" xr:uid="{00000000-0005-0000-0000-0000FE930000}"/>
    <cellStyle name="40% - Accent6 4 4 3 4 2 2" xfId="40735" xr:uid="{00000000-0005-0000-0000-0000FF930000}"/>
    <cellStyle name="40% - Accent6 4 4 3 4 3" xfId="29434" xr:uid="{00000000-0005-0000-0000-000000940000}"/>
    <cellStyle name="40% - Accent6 4 4 3 5" xfId="12483" xr:uid="{00000000-0005-0000-0000-000001940000}"/>
    <cellStyle name="40% - Accent6 4 4 3 5 2" xfId="35085" xr:uid="{00000000-0005-0000-0000-000002940000}"/>
    <cellStyle name="40% - Accent6 4 4 3 6" xfId="23784" xr:uid="{00000000-0005-0000-0000-000003940000}"/>
    <cellStyle name="40% - Accent6 4 4 4" xfId="2057" xr:uid="{00000000-0005-0000-0000-000004940000}"/>
    <cellStyle name="40% - Accent6 4 4 4 2" xfId="3833" xr:uid="{00000000-0005-0000-0000-000005940000}"/>
    <cellStyle name="40% - Accent6 4 4 4 2 2" xfId="9541" xr:uid="{00000000-0005-0000-0000-000006940000}"/>
    <cellStyle name="40% - Accent6 4 4 4 2 2 2" xfId="20842" xr:uid="{00000000-0005-0000-0000-000007940000}"/>
    <cellStyle name="40% - Accent6 4 4 4 2 2 2 2" xfId="43444" xr:uid="{00000000-0005-0000-0000-000008940000}"/>
    <cellStyle name="40% - Accent6 4 4 4 2 2 3" xfId="32143" xr:uid="{00000000-0005-0000-0000-000009940000}"/>
    <cellStyle name="40% - Accent6 4 4 4 2 3" xfId="15192" xr:uid="{00000000-0005-0000-0000-00000A940000}"/>
    <cellStyle name="40% - Accent6 4 4 4 2 3 2" xfId="37794" xr:uid="{00000000-0005-0000-0000-00000B940000}"/>
    <cellStyle name="40% - Accent6 4 4 4 2 4" xfId="26493" xr:uid="{00000000-0005-0000-0000-00000C940000}"/>
    <cellStyle name="40% - Accent6 4 4 4 3" xfId="5259" xr:uid="{00000000-0005-0000-0000-00000D940000}"/>
    <cellStyle name="40% - Accent6 4 4 4 3 2" xfId="10909" xr:uid="{00000000-0005-0000-0000-00000E940000}"/>
    <cellStyle name="40% - Accent6 4 4 4 3 2 2" xfId="22210" xr:uid="{00000000-0005-0000-0000-00000F940000}"/>
    <cellStyle name="40% - Accent6 4 4 4 3 2 2 2" xfId="44812" xr:uid="{00000000-0005-0000-0000-000010940000}"/>
    <cellStyle name="40% - Accent6 4 4 4 3 2 3" xfId="33511" xr:uid="{00000000-0005-0000-0000-000011940000}"/>
    <cellStyle name="40% - Accent6 4 4 4 3 3" xfId="16560" xr:uid="{00000000-0005-0000-0000-000012940000}"/>
    <cellStyle name="40% - Accent6 4 4 4 3 3 2" xfId="39162" xr:uid="{00000000-0005-0000-0000-000013940000}"/>
    <cellStyle name="40% - Accent6 4 4 4 3 4" xfId="27861" xr:uid="{00000000-0005-0000-0000-000014940000}"/>
    <cellStyle name="40% - Accent6 4 4 4 4" xfId="7913" xr:uid="{00000000-0005-0000-0000-000015940000}"/>
    <cellStyle name="40% - Accent6 4 4 4 4 2" xfId="19214" xr:uid="{00000000-0005-0000-0000-000016940000}"/>
    <cellStyle name="40% - Accent6 4 4 4 4 2 2" xfId="41816" xr:uid="{00000000-0005-0000-0000-000017940000}"/>
    <cellStyle name="40% - Accent6 4 4 4 4 3" xfId="30515" xr:uid="{00000000-0005-0000-0000-000018940000}"/>
    <cellStyle name="40% - Accent6 4 4 4 5" xfId="13564" xr:uid="{00000000-0005-0000-0000-000019940000}"/>
    <cellStyle name="40% - Accent6 4 4 4 5 2" xfId="36166" xr:uid="{00000000-0005-0000-0000-00001A940000}"/>
    <cellStyle name="40% - Accent6 4 4 4 6" xfId="24865" xr:uid="{00000000-0005-0000-0000-00001B940000}"/>
    <cellStyle name="40% - Accent6 4 4 5" xfId="2231" xr:uid="{00000000-0005-0000-0000-00001C940000}"/>
    <cellStyle name="40% - Accent6 4 4 5 2" xfId="8073" xr:uid="{00000000-0005-0000-0000-00001D940000}"/>
    <cellStyle name="40% - Accent6 4 4 5 2 2" xfId="19374" xr:uid="{00000000-0005-0000-0000-00001E940000}"/>
    <cellStyle name="40% - Accent6 4 4 5 2 2 2" xfId="41976" xr:uid="{00000000-0005-0000-0000-00001F940000}"/>
    <cellStyle name="40% - Accent6 4 4 5 2 3" xfId="30675" xr:uid="{00000000-0005-0000-0000-000020940000}"/>
    <cellStyle name="40% - Accent6 4 4 5 3" xfId="13724" xr:uid="{00000000-0005-0000-0000-000021940000}"/>
    <cellStyle name="40% - Accent6 4 4 5 3 2" xfId="36326" xr:uid="{00000000-0005-0000-0000-000022940000}"/>
    <cellStyle name="40% - Accent6 4 4 5 4" xfId="25025" xr:uid="{00000000-0005-0000-0000-000023940000}"/>
    <cellStyle name="40% - Accent6 4 4 6" xfId="4025" xr:uid="{00000000-0005-0000-0000-000024940000}"/>
    <cellStyle name="40% - Accent6 4 4 6 2" xfId="9675" xr:uid="{00000000-0005-0000-0000-000025940000}"/>
    <cellStyle name="40% - Accent6 4 4 6 2 2" xfId="20976" xr:uid="{00000000-0005-0000-0000-000026940000}"/>
    <cellStyle name="40% - Accent6 4 4 6 2 2 2" xfId="43578" xr:uid="{00000000-0005-0000-0000-000027940000}"/>
    <cellStyle name="40% - Accent6 4 4 6 2 3" xfId="32277" xr:uid="{00000000-0005-0000-0000-000028940000}"/>
    <cellStyle name="40% - Accent6 4 4 6 3" xfId="15326" xr:uid="{00000000-0005-0000-0000-000029940000}"/>
    <cellStyle name="40% - Accent6 4 4 6 3 2" xfId="37928" xr:uid="{00000000-0005-0000-0000-00002A940000}"/>
    <cellStyle name="40% - Accent6 4 4 6 4" xfId="26627" xr:uid="{00000000-0005-0000-0000-00002B940000}"/>
    <cellStyle name="40% - Accent6 4 4 7" xfId="6643" xr:uid="{00000000-0005-0000-0000-00002C940000}"/>
    <cellStyle name="40% - Accent6 4 4 7 2" xfId="17944" xr:uid="{00000000-0005-0000-0000-00002D940000}"/>
    <cellStyle name="40% - Accent6 4 4 7 2 2" xfId="40546" xr:uid="{00000000-0005-0000-0000-00002E940000}"/>
    <cellStyle name="40% - Accent6 4 4 7 3" xfId="29245" xr:uid="{00000000-0005-0000-0000-00002F940000}"/>
    <cellStyle name="40% - Accent6 4 4 8" xfId="12294" xr:uid="{00000000-0005-0000-0000-000030940000}"/>
    <cellStyle name="40% - Accent6 4 4 8 2" xfId="34896" xr:uid="{00000000-0005-0000-0000-000031940000}"/>
    <cellStyle name="40% - Accent6 4 4 9" xfId="23595" xr:uid="{00000000-0005-0000-0000-000032940000}"/>
    <cellStyle name="40% - Accent6 4 5" xfId="520" xr:uid="{00000000-0005-0000-0000-000033940000}"/>
    <cellStyle name="40% - Accent6 4 5 2" xfId="1289" xr:uid="{00000000-0005-0000-0000-000034940000}"/>
    <cellStyle name="40% - Accent6 4 5 2 2" xfId="2060" xr:uid="{00000000-0005-0000-0000-000035940000}"/>
    <cellStyle name="40% - Accent6 4 5 2 2 2" xfId="3358" xr:uid="{00000000-0005-0000-0000-000036940000}"/>
    <cellStyle name="40% - Accent6 4 5 2 2 2 2" xfId="6330" xr:uid="{00000000-0005-0000-0000-000037940000}"/>
    <cellStyle name="40% - Accent6 4 5 2 2 2 2 2" xfId="11980" xr:uid="{00000000-0005-0000-0000-000038940000}"/>
    <cellStyle name="40% - Accent6 4 5 2 2 2 2 2 2" xfId="23281" xr:uid="{00000000-0005-0000-0000-000039940000}"/>
    <cellStyle name="40% - Accent6 4 5 2 2 2 2 2 2 2" xfId="45883" xr:uid="{00000000-0005-0000-0000-00003A940000}"/>
    <cellStyle name="40% - Accent6 4 5 2 2 2 2 2 3" xfId="34582" xr:uid="{00000000-0005-0000-0000-00003B940000}"/>
    <cellStyle name="40% - Accent6 4 5 2 2 2 2 3" xfId="17631" xr:uid="{00000000-0005-0000-0000-00003C940000}"/>
    <cellStyle name="40% - Accent6 4 5 2 2 2 2 3 2" xfId="40233" xr:uid="{00000000-0005-0000-0000-00003D940000}"/>
    <cellStyle name="40% - Accent6 4 5 2 2 2 2 4" xfId="28932" xr:uid="{00000000-0005-0000-0000-00003E940000}"/>
    <cellStyle name="40% - Accent6 4 5 2 2 2 3" xfId="9148" xr:uid="{00000000-0005-0000-0000-00003F940000}"/>
    <cellStyle name="40% - Accent6 4 5 2 2 2 3 2" xfId="20449" xr:uid="{00000000-0005-0000-0000-000040940000}"/>
    <cellStyle name="40% - Accent6 4 5 2 2 2 3 2 2" xfId="43051" xr:uid="{00000000-0005-0000-0000-000041940000}"/>
    <cellStyle name="40% - Accent6 4 5 2 2 2 3 3" xfId="31750" xr:uid="{00000000-0005-0000-0000-000042940000}"/>
    <cellStyle name="40% - Accent6 4 5 2 2 2 4" xfId="14799" xr:uid="{00000000-0005-0000-0000-000043940000}"/>
    <cellStyle name="40% - Accent6 4 5 2 2 2 4 2" xfId="37401" xr:uid="{00000000-0005-0000-0000-000044940000}"/>
    <cellStyle name="40% - Accent6 4 5 2 2 2 5" xfId="26100" xr:uid="{00000000-0005-0000-0000-000045940000}"/>
    <cellStyle name="40% - Accent6 4 5 2 2 3" xfId="5096" xr:uid="{00000000-0005-0000-0000-000046940000}"/>
    <cellStyle name="40% - Accent6 4 5 2 2 3 2" xfId="10746" xr:uid="{00000000-0005-0000-0000-000047940000}"/>
    <cellStyle name="40% - Accent6 4 5 2 2 3 2 2" xfId="22047" xr:uid="{00000000-0005-0000-0000-000048940000}"/>
    <cellStyle name="40% - Accent6 4 5 2 2 3 2 2 2" xfId="44649" xr:uid="{00000000-0005-0000-0000-000049940000}"/>
    <cellStyle name="40% - Accent6 4 5 2 2 3 2 3" xfId="33348" xr:uid="{00000000-0005-0000-0000-00004A940000}"/>
    <cellStyle name="40% - Accent6 4 5 2 2 3 3" xfId="16397" xr:uid="{00000000-0005-0000-0000-00004B940000}"/>
    <cellStyle name="40% - Accent6 4 5 2 2 3 3 2" xfId="38999" xr:uid="{00000000-0005-0000-0000-00004C940000}"/>
    <cellStyle name="40% - Accent6 4 5 2 2 3 4" xfId="27698" xr:uid="{00000000-0005-0000-0000-00004D940000}"/>
    <cellStyle name="40% - Accent6 4 5 2 2 4" xfId="7916" xr:uid="{00000000-0005-0000-0000-00004E940000}"/>
    <cellStyle name="40% - Accent6 4 5 2 2 4 2" xfId="19217" xr:uid="{00000000-0005-0000-0000-00004F940000}"/>
    <cellStyle name="40% - Accent6 4 5 2 2 4 2 2" xfId="41819" xr:uid="{00000000-0005-0000-0000-000050940000}"/>
    <cellStyle name="40% - Accent6 4 5 2 2 4 3" xfId="30518" xr:uid="{00000000-0005-0000-0000-000051940000}"/>
    <cellStyle name="40% - Accent6 4 5 2 2 5" xfId="13567" xr:uid="{00000000-0005-0000-0000-000052940000}"/>
    <cellStyle name="40% - Accent6 4 5 2 2 5 2" xfId="36169" xr:uid="{00000000-0005-0000-0000-000053940000}"/>
    <cellStyle name="40% - Accent6 4 5 2 2 6" xfId="24868" xr:uid="{00000000-0005-0000-0000-000054940000}"/>
    <cellStyle name="40% - Accent6 4 5 2 3" xfId="2687" xr:uid="{00000000-0005-0000-0000-000055940000}"/>
    <cellStyle name="40% - Accent6 4 5 2 3 2" xfId="5706" xr:uid="{00000000-0005-0000-0000-000056940000}"/>
    <cellStyle name="40% - Accent6 4 5 2 3 2 2" xfId="11356" xr:uid="{00000000-0005-0000-0000-000057940000}"/>
    <cellStyle name="40% - Accent6 4 5 2 3 2 2 2" xfId="22657" xr:uid="{00000000-0005-0000-0000-000058940000}"/>
    <cellStyle name="40% - Accent6 4 5 2 3 2 2 2 2" xfId="45259" xr:uid="{00000000-0005-0000-0000-000059940000}"/>
    <cellStyle name="40% - Accent6 4 5 2 3 2 2 3" xfId="33958" xr:uid="{00000000-0005-0000-0000-00005A940000}"/>
    <cellStyle name="40% - Accent6 4 5 2 3 2 3" xfId="17007" xr:uid="{00000000-0005-0000-0000-00005B940000}"/>
    <cellStyle name="40% - Accent6 4 5 2 3 2 3 2" xfId="39609" xr:uid="{00000000-0005-0000-0000-00005C940000}"/>
    <cellStyle name="40% - Accent6 4 5 2 3 2 4" xfId="28308" xr:uid="{00000000-0005-0000-0000-00005D940000}"/>
    <cellStyle name="40% - Accent6 4 5 2 3 3" xfId="8523" xr:uid="{00000000-0005-0000-0000-00005E940000}"/>
    <cellStyle name="40% - Accent6 4 5 2 3 3 2" xfId="19824" xr:uid="{00000000-0005-0000-0000-00005F940000}"/>
    <cellStyle name="40% - Accent6 4 5 2 3 3 2 2" xfId="42426" xr:uid="{00000000-0005-0000-0000-000060940000}"/>
    <cellStyle name="40% - Accent6 4 5 2 3 3 3" xfId="31125" xr:uid="{00000000-0005-0000-0000-000061940000}"/>
    <cellStyle name="40% - Accent6 4 5 2 3 4" xfId="14174" xr:uid="{00000000-0005-0000-0000-000062940000}"/>
    <cellStyle name="40% - Accent6 4 5 2 3 4 2" xfId="36776" xr:uid="{00000000-0005-0000-0000-000063940000}"/>
    <cellStyle name="40% - Accent6 4 5 2 3 5" xfId="25475" xr:uid="{00000000-0005-0000-0000-000064940000}"/>
    <cellStyle name="40% - Accent6 4 5 2 4" xfId="4472" xr:uid="{00000000-0005-0000-0000-000065940000}"/>
    <cellStyle name="40% - Accent6 4 5 2 4 2" xfId="10122" xr:uid="{00000000-0005-0000-0000-000066940000}"/>
    <cellStyle name="40% - Accent6 4 5 2 4 2 2" xfId="21423" xr:uid="{00000000-0005-0000-0000-000067940000}"/>
    <cellStyle name="40% - Accent6 4 5 2 4 2 2 2" xfId="44025" xr:uid="{00000000-0005-0000-0000-000068940000}"/>
    <cellStyle name="40% - Accent6 4 5 2 4 2 3" xfId="32724" xr:uid="{00000000-0005-0000-0000-000069940000}"/>
    <cellStyle name="40% - Accent6 4 5 2 4 3" xfId="15773" xr:uid="{00000000-0005-0000-0000-00006A940000}"/>
    <cellStyle name="40% - Accent6 4 5 2 4 3 2" xfId="38375" xr:uid="{00000000-0005-0000-0000-00006B940000}"/>
    <cellStyle name="40% - Accent6 4 5 2 4 4" xfId="27074" xr:uid="{00000000-0005-0000-0000-00006C940000}"/>
    <cellStyle name="40% - Accent6 4 5 2 5" xfId="7268" xr:uid="{00000000-0005-0000-0000-00006D940000}"/>
    <cellStyle name="40% - Accent6 4 5 2 5 2" xfId="18569" xr:uid="{00000000-0005-0000-0000-00006E940000}"/>
    <cellStyle name="40% - Accent6 4 5 2 5 2 2" xfId="41171" xr:uid="{00000000-0005-0000-0000-00006F940000}"/>
    <cellStyle name="40% - Accent6 4 5 2 5 3" xfId="29870" xr:uid="{00000000-0005-0000-0000-000070940000}"/>
    <cellStyle name="40% - Accent6 4 5 2 6" xfId="12919" xr:uid="{00000000-0005-0000-0000-000071940000}"/>
    <cellStyle name="40% - Accent6 4 5 2 6 2" xfId="35521" xr:uid="{00000000-0005-0000-0000-000072940000}"/>
    <cellStyle name="40% - Accent6 4 5 2 7" xfId="24220" xr:uid="{00000000-0005-0000-0000-000073940000}"/>
    <cellStyle name="40% - Accent6 4 5 3" xfId="987" xr:uid="{00000000-0005-0000-0000-000074940000}"/>
    <cellStyle name="40% - Accent6 4 5 3 2" xfId="3050" xr:uid="{00000000-0005-0000-0000-000075940000}"/>
    <cellStyle name="40% - Accent6 4 5 3 2 2" xfId="6022" xr:uid="{00000000-0005-0000-0000-000076940000}"/>
    <cellStyle name="40% - Accent6 4 5 3 2 2 2" xfId="11672" xr:uid="{00000000-0005-0000-0000-000077940000}"/>
    <cellStyle name="40% - Accent6 4 5 3 2 2 2 2" xfId="22973" xr:uid="{00000000-0005-0000-0000-000078940000}"/>
    <cellStyle name="40% - Accent6 4 5 3 2 2 2 2 2" xfId="45575" xr:uid="{00000000-0005-0000-0000-000079940000}"/>
    <cellStyle name="40% - Accent6 4 5 3 2 2 2 3" xfId="34274" xr:uid="{00000000-0005-0000-0000-00007A940000}"/>
    <cellStyle name="40% - Accent6 4 5 3 2 2 3" xfId="17323" xr:uid="{00000000-0005-0000-0000-00007B940000}"/>
    <cellStyle name="40% - Accent6 4 5 3 2 2 3 2" xfId="39925" xr:uid="{00000000-0005-0000-0000-00007C940000}"/>
    <cellStyle name="40% - Accent6 4 5 3 2 2 4" xfId="28624" xr:uid="{00000000-0005-0000-0000-00007D940000}"/>
    <cellStyle name="40% - Accent6 4 5 3 2 3" xfId="8840" xr:uid="{00000000-0005-0000-0000-00007E940000}"/>
    <cellStyle name="40% - Accent6 4 5 3 2 3 2" xfId="20141" xr:uid="{00000000-0005-0000-0000-00007F940000}"/>
    <cellStyle name="40% - Accent6 4 5 3 2 3 2 2" xfId="42743" xr:uid="{00000000-0005-0000-0000-000080940000}"/>
    <cellStyle name="40% - Accent6 4 5 3 2 3 3" xfId="31442" xr:uid="{00000000-0005-0000-0000-000081940000}"/>
    <cellStyle name="40% - Accent6 4 5 3 2 4" xfId="14491" xr:uid="{00000000-0005-0000-0000-000082940000}"/>
    <cellStyle name="40% - Accent6 4 5 3 2 4 2" xfId="37093" xr:uid="{00000000-0005-0000-0000-000083940000}"/>
    <cellStyle name="40% - Accent6 4 5 3 2 5" xfId="25792" xr:uid="{00000000-0005-0000-0000-000084940000}"/>
    <cellStyle name="40% - Accent6 4 5 3 3" xfId="4788" xr:uid="{00000000-0005-0000-0000-000085940000}"/>
    <cellStyle name="40% - Accent6 4 5 3 3 2" xfId="10438" xr:uid="{00000000-0005-0000-0000-000086940000}"/>
    <cellStyle name="40% - Accent6 4 5 3 3 2 2" xfId="21739" xr:uid="{00000000-0005-0000-0000-000087940000}"/>
    <cellStyle name="40% - Accent6 4 5 3 3 2 2 2" xfId="44341" xr:uid="{00000000-0005-0000-0000-000088940000}"/>
    <cellStyle name="40% - Accent6 4 5 3 3 2 3" xfId="33040" xr:uid="{00000000-0005-0000-0000-000089940000}"/>
    <cellStyle name="40% - Accent6 4 5 3 3 3" xfId="16089" xr:uid="{00000000-0005-0000-0000-00008A940000}"/>
    <cellStyle name="40% - Accent6 4 5 3 3 3 2" xfId="38691" xr:uid="{00000000-0005-0000-0000-00008B940000}"/>
    <cellStyle name="40% - Accent6 4 5 3 3 4" xfId="27390" xr:uid="{00000000-0005-0000-0000-00008C940000}"/>
    <cellStyle name="40% - Accent6 4 5 3 4" xfId="6975" xr:uid="{00000000-0005-0000-0000-00008D940000}"/>
    <cellStyle name="40% - Accent6 4 5 3 4 2" xfId="18276" xr:uid="{00000000-0005-0000-0000-00008E940000}"/>
    <cellStyle name="40% - Accent6 4 5 3 4 2 2" xfId="40878" xr:uid="{00000000-0005-0000-0000-00008F940000}"/>
    <cellStyle name="40% - Accent6 4 5 3 4 3" xfId="29577" xr:uid="{00000000-0005-0000-0000-000090940000}"/>
    <cellStyle name="40% - Accent6 4 5 3 5" xfId="12626" xr:uid="{00000000-0005-0000-0000-000091940000}"/>
    <cellStyle name="40% - Accent6 4 5 3 5 2" xfId="35228" xr:uid="{00000000-0005-0000-0000-000092940000}"/>
    <cellStyle name="40% - Accent6 4 5 3 6" xfId="23927" xr:uid="{00000000-0005-0000-0000-000093940000}"/>
    <cellStyle name="40% - Accent6 4 5 4" xfId="2059" xr:uid="{00000000-0005-0000-0000-000094940000}"/>
    <cellStyle name="40% - Accent6 4 5 4 2" xfId="3834" xr:uid="{00000000-0005-0000-0000-000095940000}"/>
    <cellStyle name="40% - Accent6 4 5 4 2 2" xfId="9542" xr:uid="{00000000-0005-0000-0000-000096940000}"/>
    <cellStyle name="40% - Accent6 4 5 4 2 2 2" xfId="20843" xr:uid="{00000000-0005-0000-0000-000097940000}"/>
    <cellStyle name="40% - Accent6 4 5 4 2 2 2 2" xfId="43445" xr:uid="{00000000-0005-0000-0000-000098940000}"/>
    <cellStyle name="40% - Accent6 4 5 4 2 2 3" xfId="32144" xr:uid="{00000000-0005-0000-0000-000099940000}"/>
    <cellStyle name="40% - Accent6 4 5 4 2 3" xfId="15193" xr:uid="{00000000-0005-0000-0000-00009A940000}"/>
    <cellStyle name="40% - Accent6 4 5 4 2 3 2" xfId="37795" xr:uid="{00000000-0005-0000-0000-00009B940000}"/>
    <cellStyle name="40% - Accent6 4 5 4 2 4" xfId="26494" xr:uid="{00000000-0005-0000-0000-00009C940000}"/>
    <cellStyle name="40% - Accent6 4 5 4 3" xfId="5398" xr:uid="{00000000-0005-0000-0000-00009D940000}"/>
    <cellStyle name="40% - Accent6 4 5 4 3 2" xfId="11048" xr:uid="{00000000-0005-0000-0000-00009E940000}"/>
    <cellStyle name="40% - Accent6 4 5 4 3 2 2" xfId="22349" xr:uid="{00000000-0005-0000-0000-00009F940000}"/>
    <cellStyle name="40% - Accent6 4 5 4 3 2 2 2" xfId="44951" xr:uid="{00000000-0005-0000-0000-0000A0940000}"/>
    <cellStyle name="40% - Accent6 4 5 4 3 2 3" xfId="33650" xr:uid="{00000000-0005-0000-0000-0000A1940000}"/>
    <cellStyle name="40% - Accent6 4 5 4 3 3" xfId="16699" xr:uid="{00000000-0005-0000-0000-0000A2940000}"/>
    <cellStyle name="40% - Accent6 4 5 4 3 3 2" xfId="39301" xr:uid="{00000000-0005-0000-0000-0000A3940000}"/>
    <cellStyle name="40% - Accent6 4 5 4 3 4" xfId="28000" xr:uid="{00000000-0005-0000-0000-0000A4940000}"/>
    <cellStyle name="40% - Accent6 4 5 4 4" xfId="7915" xr:uid="{00000000-0005-0000-0000-0000A5940000}"/>
    <cellStyle name="40% - Accent6 4 5 4 4 2" xfId="19216" xr:uid="{00000000-0005-0000-0000-0000A6940000}"/>
    <cellStyle name="40% - Accent6 4 5 4 4 2 2" xfId="41818" xr:uid="{00000000-0005-0000-0000-0000A7940000}"/>
    <cellStyle name="40% - Accent6 4 5 4 4 3" xfId="30517" xr:uid="{00000000-0005-0000-0000-0000A8940000}"/>
    <cellStyle name="40% - Accent6 4 5 4 5" xfId="13566" xr:uid="{00000000-0005-0000-0000-0000A9940000}"/>
    <cellStyle name="40% - Accent6 4 5 4 5 2" xfId="36168" xr:uid="{00000000-0005-0000-0000-0000AA940000}"/>
    <cellStyle name="40% - Accent6 4 5 4 6" xfId="24867" xr:uid="{00000000-0005-0000-0000-0000AB940000}"/>
    <cellStyle name="40% - Accent6 4 5 5" xfId="2379" xr:uid="{00000000-0005-0000-0000-0000AC940000}"/>
    <cellStyle name="40% - Accent6 4 5 5 2" xfId="8215" xr:uid="{00000000-0005-0000-0000-0000AD940000}"/>
    <cellStyle name="40% - Accent6 4 5 5 2 2" xfId="19516" xr:uid="{00000000-0005-0000-0000-0000AE940000}"/>
    <cellStyle name="40% - Accent6 4 5 5 2 2 2" xfId="42118" xr:uid="{00000000-0005-0000-0000-0000AF940000}"/>
    <cellStyle name="40% - Accent6 4 5 5 2 3" xfId="30817" xr:uid="{00000000-0005-0000-0000-0000B0940000}"/>
    <cellStyle name="40% - Accent6 4 5 5 3" xfId="13866" xr:uid="{00000000-0005-0000-0000-0000B1940000}"/>
    <cellStyle name="40% - Accent6 4 5 5 3 2" xfId="36468" xr:uid="{00000000-0005-0000-0000-0000B2940000}"/>
    <cellStyle name="40% - Accent6 4 5 5 4" xfId="25167" xr:uid="{00000000-0005-0000-0000-0000B3940000}"/>
    <cellStyle name="40% - Accent6 4 5 6" xfId="4164" xr:uid="{00000000-0005-0000-0000-0000B4940000}"/>
    <cellStyle name="40% - Accent6 4 5 6 2" xfId="9814" xr:uid="{00000000-0005-0000-0000-0000B5940000}"/>
    <cellStyle name="40% - Accent6 4 5 6 2 2" xfId="21115" xr:uid="{00000000-0005-0000-0000-0000B6940000}"/>
    <cellStyle name="40% - Accent6 4 5 6 2 2 2" xfId="43717" xr:uid="{00000000-0005-0000-0000-0000B7940000}"/>
    <cellStyle name="40% - Accent6 4 5 6 2 3" xfId="32416" xr:uid="{00000000-0005-0000-0000-0000B8940000}"/>
    <cellStyle name="40% - Accent6 4 5 6 3" xfId="15465" xr:uid="{00000000-0005-0000-0000-0000B9940000}"/>
    <cellStyle name="40% - Accent6 4 5 6 3 2" xfId="38067" xr:uid="{00000000-0005-0000-0000-0000BA940000}"/>
    <cellStyle name="40% - Accent6 4 5 6 4" xfId="26766" xr:uid="{00000000-0005-0000-0000-0000BB940000}"/>
    <cellStyle name="40% - Accent6 4 5 7" xfId="6615" xr:uid="{00000000-0005-0000-0000-0000BC940000}"/>
    <cellStyle name="40% - Accent6 4 5 7 2" xfId="17916" xr:uid="{00000000-0005-0000-0000-0000BD940000}"/>
    <cellStyle name="40% - Accent6 4 5 7 2 2" xfId="40518" xr:uid="{00000000-0005-0000-0000-0000BE940000}"/>
    <cellStyle name="40% - Accent6 4 5 7 3" xfId="29217" xr:uid="{00000000-0005-0000-0000-0000BF940000}"/>
    <cellStyle name="40% - Accent6 4 5 8" xfId="12266" xr:uid="{00000000-0005-0000-0000-0000C0940000}"/>
    <cellStyle name="40% - Accent6 4 5 8 2" xfId="34868" xr:uid="{00000000-0005-0000-0000-0000C1940000}"/>
    <cellStyle name="40% - Accent6 4 5 9" xfId="23567" xr:uid="{00000000-0005-0000-0000-0000C2940000}"/>
    <cellStyle name="40% - Accent6 4 6" xfId="1122" xr:uid="{00000000-0005-0000-0000-0000C3940000}"/>
    <cellStyle name="40% - Accent6 4 6 2" xfId="2061" xr:uid="{00000000-0005-0000-0000-0000C4940000}"/>
    <cellStyle name="40% - Accent6 4 6 2 2" xfId="3189" xr:uid="{00000000-0005-0000-0000-0000C5940000}"/>
    <cellStyle name="40% - Accent6 4 6 2 2 2" xfId="6161" xr:uid="{00000000-0005-0000-0000-0000C6940000}"/>
    <cellStyle name="40% - Accent6 4 6 2 2 2 2" xfId="11811" xr:uid="{00000000-0005-0000-0000-0000C7940000}"/>
    <cellStyle name="40% - Accent6 4 6 2 2 2 2 2" xfId="23112" xr:uid="{00000000-0005-0000-0000-0000C8940000}"/>
    <cellStyle name="40% - Accent6 4 6 2 2 2 2 2 2" xfId="45714" xr:uid="{00000000-0005-0000-0000-0000C9940000}"/>
    <cellStyle name="40% - Accent6 4 6 2 2 2 2 3" xfId="34413" xr:uid="{00000000-0005-0000-0000-0000CA940000}"/>
    <cellStyle name="40% - Accent6 4 6 2 2 2 3" xfId="17462" xr:uid="{00000000-0005-0000-0000-0000CB940000}"/>
    <cellStyle name="40% - Accent6 4 6 2 2 2 3 2" xfId="40064" xr:uid="{00000000-0005-0000-0000-0000CC940000}"/>
    <cellStyle name="40% - Accent6 4 6 2 2 2 4" xfId="28763" xr:uid="{00000000-0005-0000-0000-0000CD940000}"/>
    <cellStyle name="40% - Accent6 4 6 2 2 3" xfId="8979" xr:uid="{00000000-0005-0000-0000-0000CE940000}"/>
    <cellStyle name="40% - Accent6 4 6 2 2 3 2" xfId="20280" xr:uid="{00000000-0005-0000-0000-0000CF940000}"/>
    <cellStyle name="40% - Accent6 4 6 2 2 3 2 2" xfId="42882" xr:uid="{00000000-0005-0000-0000-0000D0940000}"/>
    <cellStyle name="40% - Accent6 4 6 2 2 3 3" xfId="31581" xr:uid="{00000000-0005-0000-0000-0000D1940000}"/>
    <cellStyle name="40% - Accent6 4 6 2 2 4" xfId="14630" xr:uid="{00000000-0005-0000-0000-0000D2940000}"/>
    <cellStyle name="40% - Accent6 4 6 2 2 4 2" xfId="37232" xr:uid="{00000000-0005-0000-0000-0000D3940000}"/>
    <cellStyle name="40% - Accent6 4 6 2 2 5" xfId="25931" xr:uid="{00000000-0005-0000-0000-0000D4940000}"/>
    <cellStyle name="40% - Accent6 4 6 2 3" xfId="4927" xr:uid="{00000000-0005-0000-0000-0000D5940000}"/>
    <cellStyle name="40% - Accent6 4 6 2 3 2" xfId="10577" xr:uid="{00000000-0005-0000-0000-0000D6940000}"/>
    <cellStyle name="40% - Accent6 4 6 2 3 2 2" xfId="21878" xr:uid="{00000000-0005-0000-0000-0000D7940000}"/>
    <cellStyle name="40% - Accent6 4 6 2 3 2 2 2" xfId="44480" xr:uid="{00000000-0005-0000-0000-0000D8940000}"/>
    <cellStyle name="40% - Accent6 4 6 2 3 2 3" xfId="33179" xr:uid="{00000000-0005-0000-0000-0000D9940000}"/>
    <cellStyle name="40% - Accent6 4 6 2 3 3" xfId="16228" xr:uid="{00000000-0005-0000-0000-0000DA940000}"/>
    <cellStyle name="40% - Accent6 4 6 2 3 3 2" xfId="38830" xr:uid="{00000000-0005-0000-0000-0000DB940000}"/>
    <cellStyle name="40% - Accent6 4 6 2 3 4" xfId="27529" xr:uid="{00000000-0005-0000-0000-0000DC940000}"/>
    <cellStyle name="40% - Accent6 4 6 2 4" xfId="7917" xr:uid="{00000000-0005-0000-0000-0000DD940000}"/>
    <cellStyle name="40% - Accent6 4 6 2 4 2" xfId="19218" xr:uid="{00000000-0005-0000-0000-0000DE940000}"/>
    <cellStyle name="40% - Accent6 4 6 2 4 2 2" xfId="41820" xr:uid="{00000000-0005-0000-0000-0000DF940000}"/>
    <cellStyle name="40% - Accent6 4 6 2 4 3" xfId="30519" xr:uid="{00000000-0005-0000-0000-0000E0940000}"/>
    <cellStyle name="40% - Accent6 4 6 2 5" xfId="13568" xr:uid="{00000000-0005-0000-0000-0000E1940000}"/>
    <cellStyle name="40% - Accent6 4 6 2 5 2" xfId="36170" xr:uid="{00000000-0005-0000-0000-0000E2940000}"/>
    <cellStyle name="40% - Accent6 4 6 2 6" xfId="24869" xr:uid="{00000000-0005-0000-0000-0000E3940000}"/>
    <cellStyle name="40% - Accent6 4 6 3" xfId="2518" xr:uid="{00000000-0005-0000-0000-0000E4940000}"/>
    <cellStyle name="40% - Accent6 4 6 3 2" xfId="5537" xr:uid="{00000000-0005-0000-0000-0000E5940000}"/>
    <cellStyle name="40% - Accent6 4 6 3 2 2" xfId="11187" xr:uid="{00000000-0005-0000-0000-0000E6940000}"/>
    <cellStyle name="40% - Accent6 4 6 3 2 2 2" xfId="22488" xr:uid="{00000000-0005-0000-0000-0000E7940000}"/>
    <cellStyle name="40% - Accent6 4 6 3 2 2 2 2" xfId="45090" xr:uid="{00000000-0005-0000-0000-0000E8940000}"/>
    <cellStyle name="40% - Accent6 4 6 3 2 2 3" xfId="33789" xr:uid="{00000000-0005-0000-0000-0000E9940000}"/>
    <cellStyle name="40% - Accent6 4 6 3 2 3" xfId="16838" xr:uid="{00000000-0005-0000-0000-0000EA940000}"/>
    <cellStyle name="40% - Accent6 4 6 3 2 3 2" xfId="39440" xr:uid="{00000000-0005-0000-0000-0000EB940000}"/>
    <cellStyle name="40% - Accent6 4 6 3 2 4" xfId="28139" xr:uid="{00000000-0005-0000-0000-0000EC940000}"/>
    <cellStyle name="40% - Accent6 4 6 3 3" xfId="8354" xr:uid="{00000000-0005-0000-0000-0000ED940000}"/>
    <cellStyle name="40% - Accent6 4 6 3 3 2" xfId="19655" xr:uid="{00000000-0005-0000-0000-0000EE940000}"/>
    <cellStyle name="40% - Accent6 4 6 3 3 2 2" xfId="42257" xr:uid="{00000000-0005-0000-0000-0000EF940000}"/>
    <cellStyle name="40% - Accent6 4 6 3 3 3" xfId="30956" xr:uid="{00000000-0005-0000-0000-0000F0940000}"/>
    <cellStyle name="40% - Accent6 4 6 3 4" xfId="14005" xr:uid="{00000000-0005-0000-0000-0000F1940000}"/>
    <cellStyle name="40% - Accent6 4 6 3 4 2" xfId="36607" xr:uid="{00000000-0005-0000-0000-0000F2940000}"/>
    <cellStyle name="40% - Accent6 4 6 3 5" xfId="25306" xr:uid="{00000000-0005-0000-0000-0000F3940000}"/>
    <cellStyle name="40% - Accent6 4 6 4" xfId="4303" xr:uid="{00000000-0005-0000-0000-0000F4940000}"/>
    <cellStyle name="40% - Accent6 4 6 4 2" xfId="9953" xr:uid="{00000000-0005-0000-0000-0000F5940000}"/>
    <cellStyle name="40% - Accent6 4 6 4 2 2" xfId="21254" xr:uid="{00000000-0005-0000-0000-0000F6940000}"/>
    <cellStyle name="40% - Accent6 4 6 4 2 2 2" xfId="43856" xr:uid="{00000000-0005-0000-0000-0000F7940000}"/>
    <cellStyle name="40% - Accent6 4 6 4 2 3" xfId="32555" xr:uid="{00000000-0005-0000-0000-0000F8940000}"/>
    <cellStyle name="40% - Accent6 4 6 4 3" xfId="15604" xr:uid="{00000000-0005-0000-0000-0000F9940000}"/>
    <cellStyle name="40% - Accent6 4 6 4 3 2" xfId="38206" xr:uid="{00000000-0005-0000-0000-0000FA940000}"/>
    <cellStyle name="40% - Accent6 4 6 4 4" xfId="26905" xr:uid="{00000000-0005-0000-0000-0000FB940000}"/>
    <cellStyle name="40% - Accent6 4 6 5" xfId="7101" xr:uid="{00000000-0005-0000-0000-0000FC940000}"/>
    <cellStyle name="40% - Accent6 4 6 5 2" xfId="18402" xr:uid="{00000000-0005-0000-0000-0000FD940000}"/>
    <cellStyle name="40% - Accent6 4 6 5 2 2" xfId="41004" xr:uid="{00000000-0005-0000-0000-0000FE940000}"/>
    <cellStyle name="40% - Accent6 4 6 5 3" xfId="29703" xr:uid="{00000000-0005-0000-0000-0000FF940000}"/>
    <cellStyle name="40% - Accent6 4 6 6" xfId="12752" xr:uid="{00000000-0005-0000-0000-000000950000}"/>
    <cellStyle name="40% - Accent6 4 6 6 2" xfId="35354" xr:uid="{00000000-0005-0000-0000-000001950000}"/>
    <cellStyle name="40% - Accent6 4 6 7" xfId="24053" xr:uid="{00000000-0005-0000-0000-000002950000}"/>
    <cellStyle name="40% - Accent6 4 7" xfId="786" xr:uid="{00000000-0005-0000-0000-000003950000}"/>
    <cellStyle name="40% - Accent6 4 7 2" xfId="2883" xr:uid="{00000000-0005-0000-0000-000004950000}"/>
    <cellStyle name="40% - Accent6 4 7 2 2" xfId="5855" xr:uid="{00000000-0005-0000-0000-000005950000}"/>
    <cellStyle name="40% - Accent6 4 7 2 2 2" xfId="11505" xr:uid="{00000000-0005-0000-0000-000006950000}"/>
    <cellStyle name="40% - Accent6 4 7 2 2 2 2" xfId="22806" xr:uid="{00000000-0005-0000-0000-000007950000}"/>
    <cellStyle name="40% - Accent6 4 7 2 2 2 2 2" xfId="45408" xr:uid="{00000000-0005-0000-0000-000008950000}"/>
    <cellStyle name="40% - Accent6 4 7 2 2 2 3" xfId="34107" xr:uid="{00000000-0005-0000-0000-000009950000}"/>
    <cellStyle name="40% - Accent6 4 7 2 2 3" xfId="17156" xr:uid="{00000000-0005-0000-0000-00000A950000}"/>
    <cellStyle name="40% - Accent6 4 7 2 2 3 2" xfId="39758" xr:uid="{00000000-0005-0000-0000-00000B950000}"/>
    <cellStyle name="40% - Accent6 4 7 2 2 4" xfId="28457" xr:uid="{00000000-0005-0000-0000-00000C950000}"/>
    <cellStyle name="40% - Accent6 4 7 2 3" xfId="8673" xr:uid="{00000000-0005-0000-0000-00000D950000}"/>
    <cellStyle name="40% - Accent6 4 7 2 3 2" xfId="19974" xr:uid="{00000000-0005-0000-0000-00000E950000}"/>
    <cellStyle name="40% - Accent6 4 7 2 3 2 2" xfId="42576" xr:uid="{00000000-0005-0000-0000-00000F950000}"/>
    <cellStyle name="40% - Accent6 4 7 2 3 3" xfId="31275" xr:uid="{00000000-0005-0000-0000-000010950000}"/>
    <cellStyle name="40% - Accent6 4 7 2 4" xfId="14324" xr:uid="{00000000-0005-0000-0000-000011950000}"/>
    <cellStyle name="40% - Accent6 4 7 2 4 2" xfId="36926" xr:uid="{00000000-0005-0000-0000-000012950000}"/>
    <cellStyle name="40% - Accent6 4 7 2 5" xfId="25625" xr:uid="{00000000-0005-0000-0000-000013950000}"/>
    <cellStyle name="40% - Accent6 4 7 3" xfId="4621" xr:uid="{00000000-0005-0000-0000-000014950000}"/>
    <cellStyle name="40% - Accent6 4 7 3 2" xfId="10271" xr:uid="{00000000-0005-0000-0000-000015950000}"/>
    <cellStyle name="40% - Accent6 4 7 3 2 2" xfId="21572" xr:uid="{00000000-0005-0000-0000-000016950000}"/>
    <cellStyle name="40% - Accent6 4 7 3 2 2 2" xfId="44174" xr:uid="{00000000-0005-0000-0000-000017950000}"/>
    <cellStyle name="40% - Accent6 4 7 3 2 3" xfId="32873" xr:uid="{00000000-0005-0000-0000-000018950000}"/>
    <cellStyle name="40% - Accent6 4 7 3 3" xfId="15922" xr:uid="{00000000-0005-0000-0000-000019950000}"/>
    <cellStyle name="40% - Accent6 4 7 3 3 2" xfId="38524" xr:uid="{00000000-0005-0000-0000-00001A950000}"/>
    <cellStyle name="40% - Accent6 4 7 3 4" xfId="27223" xr:uid="{00000000-0005-0000-0000-00001B950000}"/>
    <cellStyle name="40% - Accent6 4 7 4" xfId="6803" xr:uid="{00000000-0005-0000-0000-00001C950000}"/>
    <cellStyle name="40% - Accent6 4 7 4 2" xfId="18104" xr:uid="{00000000-0005-0000-0000-00001D950000}"/>
    <cellStyle name="40% - Accent6 4 7 4 2 2" xfId="40706" xr:uid="{00000000-0005-0000-0000-00001E950000}"/>
    <cellStyle name="40% - Accent6 4 7 4 3" xfId="29405" xr:uid="{00000000-0005-0000-0000-00001F950000}"/>
    <cellStyle name="40% - Accent6 4 7 5" xfId="12454" xr:uid="{00000000-0005-0000-0000-000020950000}"/>
    <cellStyle name="40% - Accent6 4 7 5 2" xfId="35056" xr:uid="{00000000-0005-0000-0000-000021950000}"/>
    <cellStyle name="40% - Accent6 4 7 6" xfId="23755" xr:uid="{00000000-0005-0000-0000-000022950000}"/>
    <cellStyle name="40% - Accent6 4 8" xfId="2048" xr:uid="{00000000-0005-0000-0000-000023950000}"/>
    <cellStyle name="40% - Accent6 4 8 2" xfId="3827" xr:uid="{00000000-0005-0000-0000-000024950000}"/>
    <cellStyle name="40% - Accent6 4 8 2 2" xfId="9536" xr:uid="{00000000-0005-0000-0000-000025950000}"/>
    <cellStyle name="40% - Accent6 4 8 2 2 2" xfId="20837" xr:uid="{00000000-0005-0000-0000-000026950000}"/>
    <cellStyle name="40% - Accent6 4 8 2 2 2 2" xfId="43439" xr:uid="{00000000-0005-0000-0000-000027950000}"/>
    <cellStyle name="40% - Accent6 4 8 2 2 3" xfId="32138" xr:uid="{00000000-0005-0000-0000-000028950000}"/>
    <cellStyle name="40% - Accent6 4 8 2 3" xfId="15187" xr:uid="{00000000-0005-0000-0000-000029950000}"/>
    <cellStyle name="40% - Accent6 4 8 2 3 2" xfId="37789" xr:uid="{00000000-0005-0000-0000-00002A950000}"/>
    <cellStyle name="40% - Accent6 4 8 2 4" xfId="26488" xr:uid="{00000000-0005-0000-0000-00002B950000}"/>
    <cellStyle name="40% - Accent6 4 8 3" xfId="5231" xr:uid="{00000000-0005-0000-0000-00002C950000}"/>
    <cellStyle name="40% - Accent6 4 8 3 2" xfId="10881" xr:uid="{00000000-0005-0000-0000-00002D950000}"/>
    <cellStyle name="40% - Accent6 4 8 3 2 2" xfId="22182" xr:uid="{00000000-0005-0000-0000-00002E950000}"/>
    <cellStyle name="40% - Accent6 4 8 3 2 2 2" xfId="44784" xr:uid="{00000000-0005-0000-0000-00002F950000}"/>
    <cellStyle name="40% - Accent6 4 8 3 2 3" xfId="33483" xr:uid="{00000000-0005-0000-0000-000030950000}"/>
    <cellStyle name="40% - Accent6 4 8 3 3" xfId="16532" xr:uid="{00000000-0005-0000-0000-000031950000}"/>
    <cellStyle name="40% - Accent6 4 8 3 3 2" xfId="39134" xr:uid="{00000000-0005-0000-0000-000032950000}"/>
    <cellStyle name="40% - Accent6 4 8 3 4" xfId="27833" xr:uid="{00000000-0005-0000-0000-000033950000}"/>
    <cellStyle name="40% - Accent6 4 8 4" xfId="7904" xr:uid="{00000000-0005-0000-0000-000034950000}"/>
    <cellStyle name="40% - Accent6 4 8 4 2" xfId="19205" xr:uid="{00000000-0005-0000-0000-000035950000}"/>
    <cellStyle name="40% - Accent6 4 8 4 2 2" xfId="41807" xr:uid="{00000000-0005-0000-0000-000036950000}"/>
    <cellStyle name="40% - Accent6 4 8 4 3" xfId="30506" xr:uid="{00000000-0005-0000-0000-000037950000}"/>
    <cellStyle name="40% - Accent6 4 8 5" xfId="13555" xr:uid="{00000000-0005-0000-0000-000038950000}"/>
    <cellStyle name="40% - Accent6 4 8 5 2" xfId="36157" xr:uid="{00000000-0005-0000-0000-000039950000}"/>
    <cellStyle name="40% - Accent6 4 8 6" xfId="24856" xr:uid="{00000000-0005-0000-0000-00003A950000}"/>
    <cellStyle name="40% - Accent6 4 9" xfId="2202" xr:uid="{00000000-0005-0000-0000-00003B950000}"/>
    <cellStyle name="40% - Accent6 4 9 2" xfId="8045" xr:uid="{00000000-0005-0000-0000-00003C950000}"/>
    <cellStyle name="40% - Accent6 4 9 2 2" xfId="19346" xr:uid="{00000000-0005-0000-0000-00003D950000}"/>
    <cellStyle name="40% - Accent6 4 9 2 2 2" xfId="41948" xr:uid="{00000000-0005-0000-0000-00003E950000}"/>
    <cellStyle name="40% - Accent6 4 9 2 3" xfId="30647" xr:uid="{00000000-0005-0000-0000-00003F950000}"/>
    <cellStyle name="40% - Accent6 4 9 3" xfId="13696" xr:uid="{00000000-0005-0000-0000-000040950000}"/>
    <cellStyle name="40% - Accent6 4 9 3 2" xfId="36298" xr:uid="{00000000-0005-0000-0000-000041950000}"/>
    <cellStyle name="40% - Accent6 4 9 4" xfId="24997" xr:uid="{00000000-0005-0000-0000-000042950000}"/>
    <cellStyle name="40% - Accent6 5" xfId="275" xr:uid="{00000000-0005-0000-0000-000043950000}"/>
    <cellStyle name="40% - Accent6 5 10" xfId="12140" xr:uid="{00000000-0005-0000-0000-000044950000}"/>
    <cellStyle name="40% - Accent6 5 10 2" xfId="34742" xr:uid="{00000000-0005-0000-0000-000045950000}"/>
    <cellStyle name="40% - Accent6 5 11" xfId="23441" xr:uid="{00000000-0005-0000-0000-000046950000}"/>
    <cellStyle name="40% - Accent6 5 2" xfId="441" xr:uid="{00000000-0005-0000-0000-000047950000}"/>
    <cellStyle name="40% - Accent6 5 2 10" xfId="23536" xr:uid="{00000000-0005-0000-0000-000048950000}"/>
    <cellStyle name="40% - Accent6 5 2 2" xfId="686" xr:uid="{00000000-0005-0000-0000-000049950000}"/>
    <cellStyle name="40% - Accent6 5 2 2 2" xfId="1396" xr:uid="{00000000-0005-0000-0000-00004A950000}"/>
    <cellStyle name="40% - Accent6 5 2 2 2 2" xfId="2065" xr:uid="{00000000-0005-0000-0000-00004B950000}"/>
    <cellStyle name="40% - Accent6 5 2 2 2 2 2" xfId="3465" xr:uid="{00000000-0005-0000-0000-00004C950000}"/>
    <cellStyle name="40% - Accent6 5 2 2 2 2 2 2" xfId="6437" xr:uid="{00000000-0005-0000-0000-00004D950000}"/>
    <cellStyle name="40% - Accent6 5 2 2 2 2 2 2 2" xfId="12087" xr:uid="{00000000-0005-0000-0000-00004E950000}"/>
    <cellStyle name="40% - Accent6 5 2 2 2 2 2 2 2 2" xfId="23388" xr:uid="{00000000-0005-0000-0000-00004F950000}"/>
    <cellStyle name="40% - Accent6 5 2 2 2 2 2 2 2 2 2" xfId="45990" xr:uid="{00000000-0005-0000-0000-000050950000}"/>
    <cellStyle name="40% - Accent6 5 2 2 2 2 2 2 2 3" xfId="34689" xr:uid="{00000000-0005-0000-0000-000051950000}"/>
    <cellStyle name="40% - Accent6 5 2 2 2 2 2 2 3" xfId="17738" xr:uid="{00000000-0005-0000-0000-000052950000}"/>
    <cellStyle name="40% - Accent6 5 2 2 2 2 2 2 3 2" xfId="40340" xr:uid="{00000000-0005-0000-0000-000053950000}"/>
    <cellStyle name="40% - Accent6 5 2 2 2 2 2 2 4" xfId="29039" xr:uid="{00000000-0005-0000-0000-000054950000}"/>
    <cellStyle name="40% - Accent6 5 2 2 2 2 2 3" xfId="9255" xr:uid="{00000000-0005-0000-0000-000055950000}"/>
    <cellStyle name="40% - Accent6 5 2 2 2 2 2 3 2" xfId="20556" xr:uid="{00000000-0005-0000-0000-000056950000}"/>
    <cellStyle name="40% - Accent6 5 2 2 2 2 2 3 2 2" xfId="43158" xr:uid="{00000000-0005-0000-0000-000057950000}"/>
    <cellStyle name="40% - Accent6 5 2 2 2 2 2 3 3" xfId="31857" xr:uid="{00000000-0005-0000-0000-000058950000}"/>
    <cellStyle name="40% - Accent6 5 2 2 2 2 2 4" xfId="14906" xr:uid="{00000000-0005-0000-0000-000059950000}"/>
    <cellStyle name="40% - Accent6 5 2 2 2 2 2 4 2" xfId="37508" xr:uid="{00000000-0005-0000-0000-00005A950000}"/>
    <cellStyle name="40% - Accent6 5 2 2 2 2 2 5" xfId="26207" xr:uid="{00000000-0005-0000-0000-00005B950000}"/>
    <cellStyle name="40% - Accent6 5 2 2 2 2 3" xfId="5203" xr:uid="{00000000-0005-0000-0000-00005C950000}"/>
    <cellStyle name="40% - Accent6 5 2 2 2 2 3 2" xfId="10853" xr:uid="{00000000-0005-0000-0000-00005D950000}"/>
    <cellStyle name="40% - Accent6 5 2 2 2 2 3 2 2" xfId="22154" xr:uid="{00000000-0005-0000-0000-00005E950000}"/>
    <cellStyle name="40% - Accent6 5 2 2 2 2 3 2 2 2" xfId="44756" xr:uid="{00000000-0005-0000-0000-00005F950000}"/>
    <cellStyle name="40% - Accent6 5 2 2 2 2 3 2 3" xfId="33455" xr:uid="{00000000-0005-0000-0000-000060950000}"/>
    <cellStyle name="40% - Accent6 5 2 2 2 2 3 3" xfId="16504" xr:uid="{00000000-0005-0000-0000-000061950000}"/>
    <cellStyle name="40% - Accent6 5 2 2 2 2 3 3 2" xfId="39106" xr:uid="{00000000-0005-0000-0000-000062950000}"/>
    <cellStyle name="40% - Accent6 5 2 2 2 2 3 4" xfId="27805" xr:uid="{00000000-0005-0000-0000-000063950000}"/>
    <cellStyle name="40% - Accent6 5 2 2 2 2 4" xfId="7921" xr:uid="{00000000-0005-0000-0000-000064950000}"/>
    <cellStyle name="40% - Accent6 5 2 2 2 2 4 2" xfId="19222" xr:uid="{00000000-0005-0000-0000-000065950000}"/>
    <cellStyle name="40% - Accent6 5 2 2 2 2 4 2 2" xfId="41824" xr:uid="{00000000-0005-0000-0000-000066950000}"/>
    <cellStyle name="40% - Accent6 5 2 2 2 2 4 3" xfId="30523" xr:uid="{00000000-0005-0000-0000-000067950000}"/>
    <cellStyle name="40% - Accent6 5 2 2 2 2 5" xfId="13572" xr:uid="{00000000-0005-0000-0000-000068950000}"/>
    <cellStyle name="40% - Accent6 5 2 2 2 2 5 2" xfId="36174" xr:uid="{00000000-0005-0000-0000-000069950000}"/>
    <cellStyle name="40% - Accent6 5 2 2 2 2 6" xfId="24873" xr:uid="{00000000-0005-0000-0000-00006A950000}"/>
    <cellStyle name="40% - Accent6 5 2 2 2 3" xfId="2794" xr:uid="{00000000-0005-0000-0000-00006B950000}"/>
    <cellStyle name="40% - Accent6 5 2 2 2 3 2" xfId="5813" xr:uid="{00000000-0005-0000-0000-00006C950000}"/>
    <cellStyle name="40% - Accent6 5 2 2 2 3 2 2" xfId="11463" xr:uid="{00000000-0005-0000-0000-00006D950000}"/>
    <cellStyle name="40% - Accent6 5 2 2 2 3 2 2 2" xfId="22764" xr:uid="{00000000-0005-0000-0000-00006E950000}"/>
    <cellStyle name="40% - Accent6 5 2 2 2 3 2 2 2 2" xfId="45366" xr:uid="{00000000-0005-0000-0000-00006F950000}"/>
    <cellStyle name="40% - Accent6 5 2 2 2 3 2 2 3" xfId="34065" xr:uid="{00000000-0005-0000-0000-000070950000}"/>
    <cellStyle name="40% - Accent6 5 2 2 2 3 2 3" xfId="17114" xr:uid="{00000000-0005-0000-0000-000071950000}"/>
    <cellStyle name="40% - Accent6 5 2 2 2 3 2 3 2" xfId="39716" xr:uid="{00000000-0005-0000-0000-000072950000}"/>
    <cellStyle name="40% - Accent6 5 2 2 2 3 2 4" xfId="28415" xr:uid="{00000000-0005-0000-0000-000073950000}"/>
    <cellStyle name="40% - Accent6 5 2 2 2 3 3" xfId="8630" xr:uid="{00000000-0005-0000-0000-000074950000}"/>
    <cellStyle name="40% - Accent6 5 2 2 2 3 3 2" xfId="19931" xr:uid="{00000000-0005-0000-0000-000075950000}"/>
    <cellStyle name="40% - Accent6 5 2 2 2 3 3 2 2" xfId="42533" xr:uid="{00000000-0005-0000-0000-000076950000}"/>
    <cellStyle name="40% - Accent6 5 2 2 2 3 3 3" xfId="31232" xr:uid="{00000000-0005-0000-0000-000077950000}"/>
    <cellStyle name="40% - Accent6 5 2 2 2 3 4" xfId="14281" xr:uid="{00000000-0005-0000-0000-000078950000}"/>
    <cellStyle name="40% - Accent6 5 2 2 2 3 4 2" xfId="36883" xr:uid="{00000000-0005-0000-0000-000079950000}"/>
    <cellStyle name="40% - Accent6 5 2 2 2 3 5" xfId="25582" xr:uid="{00000000-0005-0000-0000-00007A950000}"/>
    <cellStyle name="40% - Accent6 5 2 2 2 4" xfId="4579" xr:uid="{00000000-0005-0000-0000-00007B950000}"/>
    <cellStyle name="40% - Accent6 5 2 2 2 4 2" xfId="10229" xr:uid="{00000000-0005-0000-0000-00007C950000}"/>
    <cellStyle name="40% - Accent6 5 2 2 2 4 2 2" xfId="21530" xr:uid="{00000000-0005-0000-0000-00007D950000}"/>
    <cellStyle name="40% - Accent6 5 2 2 2 4 2 2 2" xfId="44132" xr:uid="{00000000-0005-0000-0000-00007E950000}"/>
    <cellStyle name="40% - Accent6 5 2 2 2 4 2 3" xfId="32831" xr:uid="{00000000-0005-0000-0000-00007F950000}"/>
    <cellStyle name="40% - Accent6 5 2 2 2 4 3" xfId="15880" xr:uid="{00000000-0005-0000-0000-000080950000}"/>
    <cellStyle name="40% - Accent6 5 2 2 2 4 3 2" xfId="38482" xr:uid="{00000000-0005-0000-0000-000081950000}"/>
    <cellStyle name="40% - Accent6 5 2 2 2 4 4" xfId="27181" xr:uid="{00000000-0005-0000-0000-000082950000}"/>
    <cellStyle name="40% - Accent6 5 2 2 2 5" xfId="7375" xr:uid="{00000000-0005-0000-0000-000083950000}"/>
    <cellStyle name="40% - Accent6 5 2 2 2 5 2" xfId="18676" xr:uid="{00000000-0005-0000-0000-000084950000}"/>
    <cellStyle name="40% - Accent6 5 2 2 2 5 2 2" xfId="41278" xr:uid="{00000000-0005-0000-0000-000085950000}"/>
    <cellStyle name="40% - Accent6 5 2 2 2 5 3" xfId="29977" xr:uid="{00000000-0005-0000-0000-000086950000}"/>
    <cellStyle name="40% - Accent6 5 2 2 2 6" xfId="13026" xr:uid="{00000000-0005-0000-0000-000087950000}"/>
    <cellStyle name="40% - Accent6 5 2 2 2 6 2" xfId="35628" xr:uid="{00000000-0005-0000-0000-000088950000}"/>
    <cellStyle name="40% - Accent6 5 2 2 2 7" xfId="24327" xr:uid="{00000000-0005-0000-0000-000089950000}"/>
    <cellStyle name="40% - Accent6 5 2 2 3" xfId="1094" xr:uid="{00000000-0005-0000-0000-00008A950000}"/>
    <cellStyle name="40% - Accent6 5 2 2 3 2" xfId="3157" xr:uid="{00000000-0005-0000-0000-00008B950000}"/>
    <cellStyle name="40% - Accent6 5 2 2 3 2 2" xfId="6129" xr:uid="{00000000-0005-0000-0000-00008C950000}"/>
    <cellStyle name="40% - Accent6 5 2 2 3 2 2 2" xfId="11779" xr:uid="{00000000-0005-0000-0000-00008D950000}"/>
    <cellStyle name="40% - Accent6 5 2 2 3 2 2 2 2" xfId="23080" xr:uid="{00000000-0005-0000-0000-00008E950000}"/>
    <cellStyle name="40% - Accent6 5 2 2 3 2 2 2 2 2" xfId="45682" xr:uid="{00000000-0005-0000-0000-00008F950000}"/>
    <cellStyle name="40% - Accent6 5 2 2 3 2 2 2 3" xfId="34381" xr:uid="{00000000-0005-0000-0000-000090950000}"/>
    <cellStyle name="40% - Accent6 5 2 2 3 2 2 3" xfId="17430" xr:uid="{00000000-0005-0000-0000-000091950000}"/>
    <cellStyle name="40% - Accent6 5 2 2 3 2 2 3 2" xfId="40032" xr:uid="{00000000-0005-0000-0000-000092950000}"/>
    <cellStyle name="40% - Accent6 5 2 2 3 2 2 4" xfId="28731" xr:uid="{00000000-0005-0000-0000-000093950000}"/>
    <cellStyle name="40% - Accent6 5 2 2 3 2 3" xfId="8947" xr:uid="{00000000-0005-0000-0000-000094950000}"/>
    <cellStyle name="40% - Accent6 5 2 2 3 2 3 2" xfId="20248" xr:uid="{00000000-0005-0000-0000-000095950000}"/>
    <cellStyle name="40% - Accent6 5 2 2 3 2 3 2 2" xfId="42850" xr:uid="{00000000-0005-0000-0000-000096950000}"/>
    <cellStyle name="40% - Accent6 5 2 2 3 2 3 3" xfId="31549" xr:uid="{00000000-0005-0000-0000-000097950000}"/>
    <cellStyle name="40% - Accent6 5 2 2 3 2 4" xfId="14598" xr:uid="{00000000-0005-0000-0000-000098950000}"/>
    <cellStyle name="40% - Accent6 5 2 2 3 2 4 2" xfId="37200" xr:uid="{00000000-0005-0000-0000-000099950000}"/>
    <cellStyle name="40% - Accent6 5 2 2 3 2 5" xfId="25899" xr:uid="{00000000-0005-0000-0000-00009A950000}"/>
    <cellStyle name="40% - Accent6 5 2 2 3 3" xfId="4895" xr:uid="{00000000-0005-0000-0000-00009B950000}"/>
    <cellStyle name="40% - Accent6 5 2 2 3 3 2" xfId="10545" xr:uid="{00000000-0005-0000-0000-00009C950000}"/>
    <cellStyle name="40% - Accent6 5 2 2 3 3 2 2" xfId="21846" xr:uid="{00000000-0005-0000-0000-00009D950000}"/>
    <cellStyle name="40% - Accent6 5 2 2 3 3 2 2 2" xfId="44448" xr:uid="{00000000-0005-0000-0000-00009E950000}"/>
    <cellStyle name="40% - Accent6 5 2 2 3 3 2 3" xfId="33147" xr:uid="{00000000-0005-0000-0000-00009F950000}"/>
    <cellStyle name="40% - Accent6 5 2 2 3 3 3" xfId="16196" xr:uid="{00000000-0005-0000-0000-0000A0950000}"/>
    <cellStyle name="40% - Accent6 5 2 2 3 3 3 2" xfId="38798" xr:uid="{00000000-0005-0000-0000-0000A1950000}"/>
    <cellStyle name="40% - Accent6 5 2 2 3 3 4" xfId="27497" xr:uid="{00000000-0005-0000-0000-0000A2950000}"/>
    <cellStyle name="40% - Accent6 5 2 2 3 4" xfId="7082" xr:uid="{00000000-0005-0000-0000-0000A3950000}"/>
    <cellStyle name="40% - Accent6 5 2 2 3 4 2" xfId="18383" xr:uid="{00000000-0005-0000-0000-0000A4950000}"/>
    <cellStyle name="40% - Accent6 5 2 2 3 4 2 2" xfId="40985" xr:uid="{00000000-0005-0000-0000-0000A5950000}"/>
    <cellStyle name="40% - Accent6 5 2 2 3 4 3" xfId="29684" xr:uid="{00000000-0005-0000-0000-0000A6950000}"/>
    <cellStyle name="40% - Accent6 5 2 2 3 5" xfId="12733" xr:uid="{00000000-0005-0000-0000-0000A7950000}"/>
    <cellStyle name="40% - Accent6 5 2 2 3 5 2" xfId="35335" xr:uid="{00000000-0005-0000-0000-0000A8950000}"/>
    <cellStyle name="40% - Accent6 5 2 2 3 6" xfId="24034" xr:uid="{00000000-0005-0000-0000-0000A9950000}"/>
    <cellStyle name="40% - Accent6 5 2 2 4" xfId="2064" xr:uid="{00000000-0005-0000-0000-0000AA950000}"/>
    <cellStyle name="40% - Accent6 5 2 2 4 2" xfId="3837" xr:uid="{00000000-0005-0000-0000-0000AB950000}"/>
    <cellStyle name="40% - Accent6 5 2 2 4 2 2" xfId="9545" xr:uid="{00000000-0005-0000-0000-0000AC950000}"/>
    <cellStyle name="40% - Accent6 5 2 2 4 2 2 2" xfId="20846" xr:uid="{00000000-0005-0000-0000-0000AD950000}"/>
    <cellStyle name="40% - Accent6 5 2 2 4 2 2 2 2" xfId="43448" xr:uid="{00000000-0005-0000-0000-0000AE950000}"/>
    <cellStyle name="40% - Accent6 5 2 2 4 2 2 3" xfId="32147" xr:uid="{00000000-0005-0000-0000-0000AF950000}"/>
    <cellStyle name="40% - Accent6 5 2 2 4 2 3" xfId="15196" xr:uid="{00000000-0005-0000-0000-0000B0950000}"/>
    <cellStyle name="40% - Accent6 5 2 2 4 2 3 2" xfId="37798" xr:uid="{00000000-0005-0000-0000-0000B1950000}"/>
    <cellStyle name="40% - Accent6 5 2 2 4 2 4" xfId="26497" xr:uid="{00000000-0005-0000-0000-0000B2950000}"/>
    <cellStyle name="40% - Accent6 5 2 2 4 3" xfId="5505" xr:uid="{00000000-0005-0000-0000-0000B3950000}"/>
    <cellStyle name="40% - Accent6 5 2 2 4 3 2" xfId="11155" xr:uid="{00000000-0005-0000-0000-0000B4950000}"/>
    <cellStyle name="40% - Accent6 5 2 2 4 3 2 2" xfId="22456" xr:uid="{00000000-0005-0000-0000-0000B5950000}"/>
    <cellStyle name="40% - Accent6 5 2 2 4 3 2 2 2" xfId="45058" xr:uid="{00000000-0005-0000-0000-0000B6950000}"/>
    <cellStyle name="40% - Accent6 5 2 2 4 3 2 3" xfId="33757" xr:uid="{00000000-0005-0000-0000-0000B7950000}"/>
    <cellStyle name="40% - Accent6 5 2 2 4 3 3" xfId="16806" xr:uid="{00000000-0005-0000-0000-0000B8950000}"/>
    <cellStyle name="40% - Accent6 5 2 2 4 3 3 2" xfId="39408" xr:uid="{00000000-0005-0000-0000-0000B9950000}"/>
    <cellStyle name="40% - Accent6 5 2 2 4 3 4" xfId="28107" xr:uid="{00000000-0005-0000-0000-0000BA950000}"/>
    <cellStyle name="40% - Accent6 5 2 2 4 4" xfId="7920" xr:uid="{00000000-0005-0000-0000-0000BB950000}"/>
    <cellStyle name="40% - Accent6 5 2 2 4 4 2" xfId="19221" xr:uid="{00000000-0005-0000-0000-0000BC950000}"/>
    <cellStyle name="40% - Accent6 5 2 2 4 4 2 2" xfId="41823" xr:uid="{00000000-0005-0000-0000-0000BD950000}"/>
    <cellStyle name="40% - Accent6 5 2 2 4 4 3" xfId="30522" xr:uid="{00000000-0005-0000-0000-0000BE950000}"/>
    <cellStyle name="40% - Accent6 5 2 2 4 5" xfId="13571" xr:uid="{00000000-0005-0000-0000-0000BF950000}"/>
    <cellStyle name="40% - Accent6 5 2 2 4 5 2" xfId="36173" xr:uid="{00000000-0005-0000-0000-0000C0950000}"/>
    <cellStyle name="40% - Accent6 5 2 2 4 6" xfId="24872" xr:uid="{00000000-0005-0000-0000-0000C1950000}"/>
    <cellStyle name="40% - Accent6 5 2 2 5" xfId="2486" xr:uid="{00000000-0005-0000-0000-0000C2950000}"/>
    <cellStyle name="40% - Accent6 5 2 2 5 2" xfId="8322" xr:uid="{00000000-0005-0000-0000-0000C3950000}"/>
    <cellStyle name="40% - Accent6 5 2 2 5 2 2" xfId="19623" xr:uid="{00000000-0005-0000-0000-0000C4950000}"/>
    <cellStyle name="40% - Accent6 5 2 2 5 2 2 2" xfId="42225" xr:uid="{00000000-0005-0000-0000-0000C5950000}"/>
    <cellStyle name="40% - Accent6 5 2 2 5 2 3" xfId="30924" xr:uid="{00000000-0005-0000-0000-0000C6950000}"/>
    <cellStyle name="40% - Accent6 5 2 2 5 3" xfId="13973" xr:uid="{00000000-0005-0000-0000-0000C7950000}"/>
    <cellStyle name="40% - Accent6 5 2 2 5 3 2" xfId="36575" xr:uid="{00000000-0005-0000-0000-0000C8950000}"/>
    <cellStyle name="40% - Accent6 5 2 2 5 4" xfId="25274" xr:uid="{00000000-0005-0000-0000-0000C9950000}"/>
    <cellStyle name="40% - Accent6 5 2 2 6" xfId="4271" xr:uid="{00000000-0005-0000-0000-0000CA950000}"/>
    <cellStyle name="40% - Accent6 5 2 2 6 2" xfId="9921" xr:uid="{00000000-0005-0000-0000-0000CB950000}"/>
    <cellStyle name="40% - Accent6 5 2 2 6 2 2" xfId="21222" xr:uid="{00000000-0005-0000-0000-0000CC950000}"/>
    <cellStyle name="40% - Accent6 5 2 2 6 2 2 2" xfId="43824" xr:uid="{00000000-0005-0000-0000-0000CD950000}"/>
    <cellStyle name="40% - Accent6 5 2 2 6 2 3" xfId="32523" xr:uid="{00000000-0005-0000-0000-0000CE950000}"/>
    <cellStyle name="40% - Accent6 5 2 2 6 3" xfId="15572" xr:uid="{00000000-0005-0000-0000-0000CF950000}"/>
    <cellStyle name="40% - Accent6 5 2 2 6 3 2" xfId="38174" xr:uid="{00000000-0005-0000-0000-0000D0950000}"/>
    <cellStyle name="40% - Accent6 5 2 2 6 4" xfId="26873" xr:uid="{00000000-0005-0000-0000-0000D1950000}"/>
    <cellStyle name="40% - Accent6 5 2 2 7" xfId="6751" xr:uid="{00000000-0005-0000-0000-0000D2950000}"/>
    <cellStyle name="40% - Accent6 5 2 2 7 2" xfId="18052" xr:uid="{00000000-0005-0000-0000-0000D3950000}"/>
    <cellStyle name="40% - Accent6 5 2 2 7 2 2" xfId="40654" xr:uid="{00000000-0005-0000-0000-0000D4950000}"/>
    <cellStyle name="40% - Accent6 5 2 2 7 3" xfId="29353" xr:uid="{00000000-0005-0000-0000-0000D5950000}"/>
    <cellStyle name="40% - Accent6 5 2 2 8" xfId="12402" xr:uid="{00000000-0005-0000-0000-0000D6950000}"/>
    <cellStyle name="40% - Accent6 5 2 2 8 2" xfId="35004" xr:uid="{00000000-0005-0000-0000-0000D7950000}"/>
    <cellStyle name="40% - Accent6 5 2 2 9" xfId="23703" xr:uid="{00000000-0005-0000-0000-0000D8950000}"/>
    <cellStyle name="40% - Accent6 5 2 3" xfId="1258" xr:uid="{00000000-0005-0000-0000-0000D9950000}"/>
    <cellStyle name="40% - Accent6 5 2 3 2" xfId="2066" xr:uid="{00000000-0005-0000-0000-0000DA950000}"/>
    <cellStyle name="40% - Accent6 5 2 3 2 2" xfId="3326" xr:uid="{00000000-0005-0000-0000-0000DB950000}"/>
    <cellStyle name="40% - Accent6 5 2 3 2 2 2" xfId="6298" xr:uid="{00000000-0005-0000-0000-0000DC950000}"/>
    <cellStyle name="40% - Accent6 5 2 3 2 2 2 2" xfId="11948" xr:uid="{00000000-0005-0000-0000-0000DD950000}"/>
    <cellStyle name="40% - Accent6 5 2 3 2 2 2 2 2" xfId="23249" xr:uid="{00000000-0005-0000-0000-0000DE950000}"/>
    <cellStyle name="40% - Accent6 5 2 3 2 2 2 2 2 2" xfId="45851" xr:uid="{00000000-0005-0000-0000-0000DF950000}"/>
    <cellStyle name="40% - Accent6 5 2 3 2 2 2 2 3" xfId="34550" xr:uid="{00000000-0005-0000-0000-0000E0950000}"/>
    <cellStyle name="40% - Accent6 5 2 3 2 2 2 3" xfId="17599" xr:uid="{00000000-0005-0000-0000-0000E1950000}"/>
    <cellStyle name="40% - Accent6 5 2 3 2 2 2 3 2" xfId="40201" xr:uid="{00000000-0005-0000-0000-0000E2950000}"/>
    <cellStyle name="40% - Accent6 5 2 3 2 2 2 4" xfId="28900" xr:uid="{00000000-0005-0000-0000-0000E3950000}"/>
    <cellStyle name="40% - Accent6 5 2 3 2 2 3" xfId="9116" xr:uid="{00000000-0005-0000-0000-0000E4950000}"/>
    <cellStyle name="40% - Accent6 5 2 3 2 2 3 2" xfId="20417" xr:uid="{00000000-0005-0000-0000-0000E5950000}"/>
    <cellStyle name="40% - Accent6 5 2 3 2 2 3 2 2" xfId="43019" xr:uid="{00000000-0005-0000-0000-0000E6950000}"/>
    <cellStyle name="40% - Accent6 5 2 3 2 2 3 3" xfId="31718" xr:uid="{00000000-0005-0000-0000-0000E7950000}"/>
    <cellStyle name="40% - Accent6 5 2 3 2 2 4" xfId="14767" xr:uid="{00000000-0005-0000-0000-0000E8950000}"/>
    <cellStyle name="40% - Accent6 5 2 3 2 2 4 2" xfId="37369" xr:uid="{00000000-0005-0000-0000-0000E9950000}"/>
    <cellStyle name="40% - Accent6 5 2 3 2 2 5" xfId="26068" xr:uid="{00000000-0005-0000-0000-0000EA950000}"/>
    <cellStyle name="40% - Accent6 5 2 3 2 3" xfId="5064" xr:uid="{00000000-0005-0000-0000-0000EB950000}"/>
    <cellStyle name="40% - Accent6 5 2 3 2 3 2" xfId="10714" xr:uid="{00000000-0005-0000-0000-0000EC950000}"/>
    <cellStyle name="40% - Accent6 5 2 3 2 3 2 2" xfId="22015" xr:uid="{00000000-0005-0000-0000-0000ED950000}"/>
    <cellStyle name="40% - Accent6 5 2 3 2 3 2 2 2" xfId="44617" xr:uid="{00000000-0005-0000-0000-0000EE950000}"/>
    <cellStyle name="40% - Accent6 5 2 3 2 3 2 3" xfId="33316" xr:uid="{00000000-0005-0000-0000-0000EF950000}"/>
    <cellStyle name="40% - Accent6 5 2 3 2 3 3" xfId="16365" xr:uid="{00000000-0005-0000-0000-0000F0950000}"/>
    <cellStyle name="40% - Accent6 5 2 3 2 3 3 2" xfId="38967" xr:uid="{00000000-0005-0000-0000-0000F1950000}"/>
    <cellStyle name="40% - Accent6 5 2 3 2 3 4" xfId="27666" xr:uid="{00000000-0005-0000-0000-0000F2950000}"/>
    <cellStyle name="40% - Accent6 5 2 3 2 4" xfId="7922" xr:uid="{00000000-0005-0000-0000-0000F3950000}"/>
    <cellStyle name="40% - Accent6 5 2 3 2 4 2" xfId="19223" xr:uid="{00000000-0005-0000-0000-0000F4950000}"/>
    <cellStyle name="40% - Accent6 5 2 3 2 4 2 2" xfId="41825" xr:uid="{00000000-0005-0000-0000-0000F5950000}"/>
    <cellStyle name="40% - Accent6 5 2 3 2 4 3" xfId="30524" xr:uid="{00000000-0005-0000-0000-0000F6950000}"/>
    <cellStyle name="40% - Accent6 5 2 3 2 5" xfId="13573" xr:uid="{00000000-0005-0000-0000-0000F7950000}"/>
    <cellStyle name="40% - Accent6 5 2 3 2 5 2" xfId="36175" xr:uid="{00000000-0005-0000-0000-0000F8950000}"/>
    <cellStyle name="40% - Accent6 5 2 3 2 6" xfId="24874" xr:uid="{00000000-0005-0000-0000-0000F9950000}"/>
    <cellStyle name="40% - Accent6 5 2 3 3" xfId="2655" xr:uid="{00000000-0005-0000-0000-0000FA950000}"/>
    <cellStyle name="40% - Accent6 5 2 3 3 2" xfId="5674" xr:uid="{00000000-0005-0000-0000-0000FB950000}"/>
    <cellStyle name="40% - Accent6 5 2 3 3 2 2" xfId="11324" xr:uid="{00000000-0005-0000-0000-0000FC950000}"/>
    <cellStyle name="40% - Accent6 5 2 3 3 2 2 2" xfId="22625" xr:uid="{00000000-0005-0000-0000-0000FD950000}"/>
    <cellStyle name="40% - Accent6 5 2 3 3 2 2 2 2" xfId="45227" xr:uid="{00000000-0005-0000-0000-0000FE950000}"/>
    <cellStyle name="40% - Accent6 5 2 3 3 2 2 3" xfId="33926" xr:uid="{00000000-0005-0000-0000-0000FF950000}"/>
    <cellStyle name="40% - Accent6 5 2 3 3 2 3" xfId="16975" xr:uid="{00000000-0005-0000-0000-000000960000}"/>
    <cellStyle name="40% - Accent6 5 2 3 3 2 3 2" xfId="39577" xr:uid="{00000000-0005-0000-0000-000001960000}"/>
    <cellStyle name="40% - Accent6 5 2 3 3 2 4" xfId="28276" xr:uid="{00000000-0005-0000-0000-000002960000}"/>
    <cellStyle name="40% - Accent6 5 2 3 3 3" xfId="8491" xr:uid="{00000000-0005-0000-0000-000003960000}"/>
    <cellStyle name="40% - Accent6 5 2 3 3 3 2" xfId="19792" xr:uid="{00000000-0005-0000-0000-000004960000}"/>
    <cellStyle name="40% - Accent6 5 2 3 3 3 2 2" xfId="42394" xr:uid="{00000000-0005-0000-0000-000005960000}"/>
    <cellStyle name="40% - Accent6 5 2 3 3 3 3" xfId="31093" xr:uid="{00000000-0005-0000-0000-000006960000}"/>
    <cellStyle name="40% - Accent6 5 2 3 3 4" xfId="14142" xr:uid="{00000000-0005-0000-0000-000007960000}"/>
    <cellStyle name="40% - Accent6 5 2 3 3 4 2" xfId="36744" xr:uid="{00000000-0005-0000-0000-000008960000}"/>
    <cellStyle name="40% - Accent6 5 2 3 3 5" xfId="25443" xr:uid="{00000000-0005-0000-0000-000009960000}"/>
    <cellStyle name="40% - Accent6 5 2 3 4" xfId="4440" xr:uid="{00000000-0005-0000-0000-00000A960000}"/>
    <cellStyle name="40% - Accent6 5 2 3 4 2" xfId="10090" xr:uid="{00000000-0005-0000-0000-00000B960000}"/>
    <cellStyle name="40% - Accent6 5 2 3 4 2 2" xfId="21391" xr:uid="{00000000-0005-0000-0000-00000C960000}"/>
    <cellStyle name="40% - Accent6 5 2 3 4 2 2 2" xfId="43993" xr:uid="{00000000-0005-0000-0000-00000D960000}"/>
    <cellStyle name="40% - Accent6 5 2 3 4 2 3" xfId="32692" xr:uid="{00000000-0005-0000-0000-00000E960000}"/>
    <cellStyle name="40% - Accent6 5 2 3 4 3" xfId="15741" xr:uid="{00000000-0005-0000-0000-00000F960000}"/>
    <cellStyle name="40% - Accent6 5 2 3 4 3 2" xfId="38343" xr:uid="{00000000-0005-0000-0000-000010960000}"/>
    <cellStyle name="40% - Accent6 5 2 3 4 4" xfId="27042" xr:uid="{00000000-0005-0000-0000-000011960000}"/>
    <cellStyle name="40% - Accent6 5 2 3 5" xfId="7237" xr:uid="{00000000-0005-0000-0000-000012960000}"/>
    <cellStyle name="40% - Accent6 5 2 3 5 2" xfId="18538" xr:uid="{00000000-0005-0000-0000-000013960000}"/>
    <cellStyle name="40% - Accent6 5 2 3 5 2 2" xfId="41140" xr:uid="{00000000-0005-0000-0000-000014960000}"/>
    <cellStyle name="40% - Accent6 5 2 3 5 3" xfId="29839" xr:uid="{00000000-0005-0000-0000-000015960000}"/>
    <cellStyle name="40% - Accent6 5 2 3 6" xfId="12888" xr:uid="{00000000-0005-0000-0000-000016960000}"/>
    <cellStyle name="40% - Accent6 5 2 3 6 2" xfId="35490" xr:uid="{00000000-0005-0000-0000-000017960000}"/>
    <cellStyle name="40% - Accent6 5 2 3 7" xfId="24189" xr:uid="{00000000-0005-0000-0000-000018960000}"/>
    <cellStyle name="40% - Accent6 5 2 4" xfId="949" xr:uid="{00000000-0005-0000-0000-000019960000}"/>
    <cellStyle name="40% - Accent6 5 2 4 2" xfId="3019" xr:uid="{00000000-0005-0000-0000-00001A960000}"/>
    <cellStyle name="40% - Accent6 5 2 4 2 2" xfId="5991" xr:uid="{00000000-0005-0000-0000-00001B960000}"/>
    <cellStyle name="40% - Accent6 5 2 4 2 2 2" xfId="11641" xr:uid="{00000000-0005-0000-0000-00001C960000}"/>
    <cellStyle name="40% - Accent6 5 2 4 2 2 2 2" xfId="22942" xr:uid="{00000000-0005-0000-0000-00001D960000}"/>
    <cellStyle name="40% - Accent6 5 2 4 2 2 2 2 2" xfId="45544" xr:uid="{00000000-0005-0000-0000-00001E960000}"/>
    <cellStyle name="40% - Accent6 5 2 4 2 2 2 3" xfId="34243" xr:uid="{00000000-0005-0000-0000-00001F960000}"/>
    <cellStyle name="40% - Accent6 5 2 4 2 2 3" xfId="17292" xr:uid="{00000000-0005-0000-0000-000020960000}"/>
    <cellStyle name="40% - Accent6 5 2 4 2 2 3 2" xfId="39894" xr:uid="{00000000-0005-0000-0000-000021960000}"/>
    <cellStyle name="40% - Accent6 5 2 4 2 2 4" xfId="28593" xr:uid="{00000000-0005-0000-0000-000022960000}"/>
    <cellStyle name="40% - Accent6 5 2 4 2 3" xfId="8809" xr:uid="{00000000-0005-0000-0000-000023960000}"/>
    <cellStyle name="40% - Accent6 5 2 4 2 3 2" xfId="20110" xr:uid="{00000000-0005-0000-0000-000024960000}"/>
    <cellStyle name="40% - Accent6 5 2 4 2 3 2 2" xfId="42712" xr:uid="{00000000-0005-0000-0000-000025960000}"/>
    <cellStyle name="40% - Accent6 5 2 4 2 3 3" xfId="31411" xr:uid="{00000000-0005-0000-0000-000026960000}"/>
    <cellStyle name="40% - Accent6 5 2 4 2 4" xfId="14460" xr:uid="{00000000-0005-0000-0000-000027960000}"/>
    <cellStyle name="40% - Accent6 5 2 4 2 4 2" xfId="37062" xr:uid="{00000000-0005-0000-0000-000028960000}"/>
    <cellStyle name="40% - Accent6 5 2 4 2 5" xfId="25761" xr:uid="{00000000-0005-0000-0000-000029960000}"/>
    <cellStyle name="40% - Accent6 5 2 4 3" xfId="4757" xr:uid="{00000000-0005-0000-0000-00002A960000}"/>
    <cellStyle name="40% - Accent6 5 2 4 3 2" xfId="10407" xr:uid="{00000000-0005-0000-0000-00002B960000}"/>
    <cellStyle name="40% - Accent6 5 2 4 3 2 2" xfId="21708" xr:uid="{00000000-0005-0000-0000-00002C960000}"/>
    <cellStyle name="40% - Accent6 5 2 4 3 2 2 2" xfId="44310" xr:uid="{00000000-0005-0000-0000-00002D960000}"/>
    <cellStyle name="40% - Accent6 5 2 4 3 2 3" xfId="33009" xr:uid="{00000000-0005-0000-0000-00002E960000}"/>
    <cellStyle name="40% - Accent6 5 2 4 3 3" xfId="16058" xr:uid="{00000000-0005-0000-0000-00002F960000}"/>
    <cellStyle name="40% - Accent6 5 2 4 3 3 2" xfId="38660" xr:uid="{00000000-0005-0000-0000-000030960000}"/>
    <cellStyle name="40% - Accent6 5 2 4 3 4" xfId="27359" xr:uid="{00000000-0005-0000-0000-000031960000}"/>
    <cellStyle name="40% - Accent6 5 2 4 4" xfId="6944" xr:uid="{00000000-0005-0000-0000-000032960000}"/>
    <cellStyle name="40% - Accent6 5 2 4 4 2" xfId="18245" xr:uid="{00000000-0005-0000-0000-000033960000}"/>
    <cellStyle name="40% - Accent6 5 2 4 4 2 2" xfId="40847" xr:uid="{00000000-0005-0000-0000-000034960000}"/>
    <cellStyle name="40% - Accent6 5 2 4 4 3" xfId="29546" xr:uid="{00000000-0005-0000-0000-000035960000}"/>
    <cellStyle name="40% - Accent6 5 2 4 5" xfId="12595" xr:uid="{00000000-0005-0000-0000-000036960000}"/>
    <cellStyle name="40% - Accent6 5 2 4 5 2" xfId="35197" xr:uid="{00000000-0005-0000-0000-000037960000}"/>
    <cellStyle name="40% - Accent6 5 2 4 6" xfId="23896" xr:uid="{00000000-0005-0000-0000-000038960000}"/>
    <cellStyle name="40% - Accent6 5 2 5" xfId="2063" xr:uid="{00000000-0005-0000-0000-000039960000}"/>
    <cellStyle name="40% - Accent6 5 2 5 2" xfId="3836" xr:uid="{00000000-0005-0000-0000-00003A960000}"/>
    <cellStyle name="40% - Accent6 5 2 5 2 2" xfId="9544" xr:uid="{00000000-0005-0000-0000-00003B960000}"/>
    <cellStyle name="40% - Accent6 5 2 5 2 2 2" xfId="20845" xr:uid="{00000000-0005-0000-0000-00003C960000}"/>
    <cellStyle name="40% - Accent6 5 2 5 2 2 2 2" xfId="43447" xr:uid="{00000000-0005-0000-0000-00003D960000}"/>
    <cellStyle name="40% - Accent6 5 2 5 2 2 3" xfId="32146" xr:uid="{00000000-0005-0000-0000-00003E960000}"/>
    <cellStyle name="40% - Accent6 5 2 5 2 3" xfId="15195" xr:uid="{00000000-0005-0000-0000-00003F960000}"/>
    <cellStyle name="40% - Accent6 5 2 5 2 3 2" xfId="37797" xr:uid="{00000000-0005-0000-0000-000040960000}"/>
    <cellStyle name="40% - Accent6 5 2 5 2 4" xfId="26496" xr:uid="{00000000-0005-0000-0000-000041960000}"/>
    <cellStyle name="40% - Accent6 5 2 5 3" xfId="5367" xr:uid="{00000000-0005-0000-0000-000042960000}"/>
    <cellStyle name="40% - Accent6 5 2 5 3 2" xfId="11017" xr:uid="{00000000-0005-0000-0000-000043960000}"/>
    <cellStyle name="40% - Accent6 5 2 5 3 2 2" xfId="22318" xr:uid="{00000000-0005-0000-0000-000044960000}"/>
    <cellStyle name="40% - Accent6 5 2 5 3 2 2 2" xfId="44920" xr:uid="{00000000-0005-0000-0000-000045960000}"/>
    <cellStyle name="40% - Accent6 5 2 5 3 2 3" xfId="33619" xr:uid="{00000000-0005-0000-0000-000046960000}"/>
    <cellStyle name="40% - Accent6 5 2 5 3 3" xfId="16668" xr:uid="{00000000-0005-0000-0000-000047960000}"/>
    <cellStyle name="40% - Accent6 5 2 5 3 3 2" xfId="39270" xr:uid="{00000000-0005-0000-0000-000048960000}"/>
    <cellStyle name="40% - Accent6 5 2 5 3 4" xfId="27969" xr:uid="{00000000-0005-0000-0000-000049960000}"/>
    <cellStyle name="40% - Accent6 5 2 5 4" xfId="7919" xr:uid="{00000000-0005-0000-0000-00004A960000}"/>
    <cellStyle name="40% - Accent6 5 2 5 4 2" xfId="19220" xr:uid="{00000000-0005-0000-0000-00004B960000}"/>
    <cellStyle name="40% - Accent6 5 2 5 4 2 2" xfId="41822" xr:uid="{00000000-0005-0000-0000-00004C960000}"/>
    <cellStyle name="40% - Accent6 5 2 5 4 3" xfId="30521" xr:uid="{00000000-0005-0000-0000-00004D960000}"/>
    <cellStyle name="40% - Accent6 5 2 5 5" xfId="13570" xr:uid="{00000000-0005-0000-0000-00004E960000}"/>
    <cellStyle name="40% - Accent6 5 2 5 5 2" xfId="36172" xr:uid="{00000000-0005-0000-0000-00004F960000}"/>
    <cellStyle name="40% - Accent6 5 2 5 6" xfId="24871" xr:uid="{00000000-0005-0000-0000-000050960000}"/>
    <cellStyle name="40% - Accent6 5 2 6" xfId="2346" xr:uid="{00000000-0005-0000-0000-000051960000}"/>
    <cellStyle name="40% - Accent6 5 2 6 2" xfId="8182" xr:uid="{00000000-0005-0000-0000-000052960000}"/>
    <cellStyle name="40% - Accent6 5 2 6 2 2" xfId="19483" xr:uid="{00000000-0005-0000-0000-000053960000}"/>
    <cellStyle name="40% - Accent6 5 2 6 2 2 2" xfId="42085" xr:uid="{00000000-0005-0000-0000-000054960000}"/>
    <cellStyle name="40% - Accent6 5 2 6 2 3" xfId="30784" xr:uid="{00000000-0005-0000-0000-000055960000}"/>
    <cellStyle name="40% - Accent6 5 2 6 3" xfId="13833" xr:uid="{00000000-0005-0000-0000-000056960000}"/>
    <cellStyle name="40% - Accent6 5 2 6 3 2" xfId="36435" xr:uid="{00000000-0005-0000-0000-000057960000}"/>
    <cellStyle name="40% - Accent6 5 2 6 4" xfId="25134" xr:uid="{00000000-0005-0000-0000-000058960000}"/>
    <cellStyle name="40% - Accent6 5 2 7" xfId="4133" xr:uid="{00000000-0005-0000-0000-000059960000}"/>
    <cellStyle name="40% - Accent6 5 2 7 2" xfId="9783" xr:uid="{00000000-0005-0000-0000-00005A960000}"/>
    <cellStyle name="40% - Accent6 5 2 7 2 2" xfId="21084" xr:uid="{00000000-0005-0000-0000-00005B960000}"/>
    <cellStyle name="40% - Accent6 5 2 7 2 2 2" xfId="43686" xr:uid="{00000000-0005-0000-0000-00005C960000}"/>
    <cellStyle name="40% - Accent6 5 2 7 2 3" xfId="32385" xr:uid="{00000000-0005-0000-0000-00005D960000}"/>
    <cellStyle name="40% - Accent6 5 2 7 3" xfId="15434" xr:uid="{00000000-0005-0000-0000-00005E960000}"/>
    <cellStyle name="40% - Accent6 5 2 7 3 2" xfId="38036" xr:uid="{00000000-0005-0000-0000-00005F960000}"/>
    <cellStyle name="40% - Accent6 5 2 7 4" xfId="26735" xr:uid="{00000000-0005-0000-0000-000060960000}"/>
    <cellStyle name="40% - Accent6 5 2 8" xfId="6584" xr:uid="{00000000-0005-0000-0000-000061960000}"/>
    <cellStyle name="40% - Accent6 5 2 8 2" xfId="17885" xr:uid="{00000000-0005-0000-0000-000062960000}"/>
    <cellStyle name="40% - Accent6 5 2 8 2 2" xfId="40487" xr:uid="{00000000-0005-0000-0000-000063960000}"/>
    <cellStyle name="40% - Accent6 5 2 8 3" xfId="29186" xr:uid="{00000000-0005-0000-0000-000064960000}"/>
    <cellStyle name="40% - Accent6 5 2 9" xfId="12235" xr:uid="{00000000-0005-0000-0000-000065960000}"/>
    <cellStyle name="40% - Accent6 5 2 9 2" xfId="34837" xr:uid="{00000000-0005-0000-0000-000066960000}"/>
    <cellStyle name="40% - Accent6 5 3" xfId="590" xr:uid="{00000000-0005-0000-0000-000067960000}"/>
    <cellStyle name="40% - Accent6 5 3 2" xfId="1303" xr:uid="{00000000-0005-0000-0000-000068960000}"/>
    <cellStyle name="40% - Accent6 5 3 2 2" xfId="2068" xr:uid="{00000000-0005-0000-0000-000069960000}"/>
    <cellStyle name="40% - Accent6 5 3 2 2 2" xfId="3372" xr:uid="{00000000-0005-0000-0000-00006A960000}"/>
    <cellStyle name="40% - Accent6 5 3 2 2 2 2" xfId="6344" xr:uid="{00000000-0005-0000-0000-00006B960000}"/>
    <cellStyle name="40% - Accent6 5 3 2 2 2 2 2" xfId="11994" xr:uid="{00000000-0005-0000-0000-00006C960000}"/>
    <cellStyle name="40% - Accent6 5 3 2 2 2 2 2 2" xfId="23295" xr:uid="{00000000-0005-0000-0000-00006D960000}"/>
    <cellStyle name="40% - Accent6 5 3 2 2 2 2 2 2 2" xfId="45897" xr:uid="{00000000-0005-0000-0000-00006E960000}"/>
    <cellStyle name="40% - Accent6 5 3 2 2 2 2 2 3" xfId="34596" xr:uid="{00000000-0005-0000-0000-00006F960000}"/>
    <cellStyle name="40% - Accent6 5 3 2 2 2 2 3" xfId="17645" xr:uid="{00000000-0005-0000-0000-000070960000}"/>
    <cellStyle name="40% - Accent6 5 3 2 2 2 2 3 2" xfId="40247" xr:uid="{00000000-0005-0000-0000-000071960000}"/>
    <cellStyle name="40% - Accent6 5 3 2 2 2 2 4" xfId="28946" xr:uid="{00000000-0005-0000-0000-000072960000}"/>
    <cellStyle name="40% - Accent6 5 3 2 2 2 3" xfId="9162" xr:uid="{00000000-0005-0000-0000-000073960000}"/>
    <cellStyle name="40% - Accent6 5 3 2 2 2 3 2" xfId="20463" xr:uid="{00000000-0005-0000-0000-000074960000}"/>
    <cellStyle name="40% - Accent6 5 3 2 2 2 3 2 2" xfId="43065" xr:uid="{00000000-0005-0000-0000-000075960000}"/>
    <cellStyle name="40% - Accent6 5 3 2 2 2 3 3" xfId="31764" xr:uid="{00000000-0005-0000-0000-000076960000}"/>
    <cellStyle name="40% - Accent6 5 3 2 2 2 4" xfId="14813" xr:uid="{00000000-0005-0000-0000-000077960000}"/>
    <cellStyle name="40% - Accent6 5 3 2 2 2 4 2" xfId="37415" xr:uid="{00000000-0005-0000-0000-000078960000}"/>
    <cellStyle name="40% - Accent6 5 3 2 2 2 5" xfId="26114" xr:uid="{00000000-0005-0000-0000-000079960000}"/>
    <cellStyle name="40% - Accent6 5 3 2 2 3" xfId="5110" xr:uid="{00000000-0005-0000-0000-00007A960000}"/>
    <cellStyle name="40% - Accent6 5 3 2 2 3 2" xfId="10760" xr:uid="{00000000-0005-0000-0000-00007B960000}"/>
    <cellStyle name="40% - Accent6 5 3 2 2 3 2 2" xfId="22061" xr:uid="{00000000-0005-0000-0000-00007C960000}"/>
    <cellStyle name="40% - Accent6 5 3 2 2 3 2 2 2" xfId="44663" xr:uid="{00000000-0005-0000-0000-00007D960000}"/>
    <cellStyle name="40% - Accent6 5 3 2 2 3 2 3" xfId="33362" xr:uid="{00000000-0005-0000-0000-00007E960000}"/>
    <cellStyle name="40% - Accent6 5 3 2 2 3 3" xfId="16411" xr:uid="{00000000-0005-0000-0000-00007F960000}"/>
    <cellStyle name="40% - Accent6 5 3 2 2 3 3 2" xfId="39013" xr:uid="{00000000-0005-0000-0000-000080960000}"/>
    <cellStyle name="40% - Accent6 5 3 2 2 3 4" xfId="27712" xr:uid="{00000000-0005-0000-0000-000081960000}"/>
    <cellStyle name="40% - Accent6 5 3 2 2 4" xfId="7924" xr:uid="{00000000-0005-0000-0000-000082960000}"/>
    <cellStyle name="40% - Accent6 5 3 2 2 4 2" xfId="19225" xr:uid="{00000000-0005-0000-0000-000083960000}"/>
    <cellStyle name="40% - Accent6 5 3 2 2 4 2 2" xfId="41827" xr:uid="{00000000-0005-0000-0000-000084960000}"/>
    <cellStyle name="40% - Accent6 5 3 2 2 4 3" xfId="30526" xr:uid="{00000000-0005-0000-0000-000085960000}"/>
    <cellStyle name="40% - Accent6 5 3 2 2 5" xfId="13575" xr:uid="{00000000-0005-0000-0000-000086960000}"/>
    <cellStyle name="40% - Accent6 5 3 2 2 5 2" xfId="36177" xr:uid="{00000000-0005-0000-0000-000087960000}"/>
    <cellStyle name="40% - Accent6 5 3 2 2 6" xfId="24876" xr:uid="{00000000-0005-0000-0000-000088960000}"/>
    <cellStyle name="40% - Accent6 5 3 2 3" xfId="2701" xr:uid="{00000000-0005-0000-0000-000089960000}"/>
    <cellStyle name="40% - Accent6 5 3 2 3 2" xfId="5720" xr:uid="{00000000-0005-0000-0000-00008A960000}"/>
    <cellStyle name="40% - Accent6 5 3 2 3 2 2" xfId="11370" xr:uid="{00000000-0005-0000-0000-00008B960000}"/>
    <cellStyle name="40% - Accent6 5 3 2 3 2 2 2" xfId="22671" xr:uid="{00000000-0005-0000-0000-00008C960000}"/>
    <cellStyle name="40% - Accent6 5 3 2 3 2 2 2 2" xfId="45273" xr:uid="{00000000-0005-0000-0000-00008D960000}"/>
    <cellStyle name="40% - Accent6 5 3 2 3 2 2 3" xfId="33972" xr:uid="{00000000-0005-0000-0000-00008E960000}"/>
    <cellStyle name="40% - Accent6 5 3 2 3 2 3" xfId="17021" xr:uid="{00000000-0005-0000-0000-00008F960000}"/>
    <cellStyle name="40% - Accent6 5 3 2 3 2 3 2" xfId="39623" xr:uid="{00000000-0005-0000-0000-000090960000}"/>
    <cellStyle name="40% - Accent6 5 3 2 3 2 4" xfId="28322" xr:uid="{00000000-0005-0000-0000-000091960000}"/>
    <cellStyle name="40% - Accent6 5 3 2 3 3" xfId="8537" xr:uid="{00000000-0005-0000-0000-000092960000}"/>
    <cellStyle name="40% - Accent6 5 3 2 3 3 2" xfId="19838" xr:uid="{00000000-0005-0000-0000-000093960000}"/>
    <cellStyle name="40% - Accent6 5 3 2 3 3 2 2" xfId="42440" xr:uid="{00000000-0005-0000-0000-000094960000}"/>
    <cellStyle name="40% - Accent6 5 3 2 3 3 3" xfId="31139" xr:uid="{00000000-0005-0000-0000-000095960000}"/>
    <cellStyle name="40% - Accent6 5 3 2 3 4" xfId="14188" xr:uid="{00000000-0005-0000-0000-000096960000}"/>
    <cellStyle name="40% - Accent6 5 3 2 3 4 2" xfId="36790" xr:uid="{00000000-0005-0000-0000-000097960000}"/>
    <cellStyle name="40% - Accent6 5 3 2 3 5" xfId="25489" xr:uid="{00000000-0005-0000-0000-000098960000}"/>
    <cellStyle name="40% - Accent6 5 3 2 4" xfId="4486" xr:uid="{00000000-0005-0000-0000-000099960000}"/>
    <cellStyle name="40% - Accent6 5 3 2 4 2" xfId="10136" xr:uid="{00000000-0005-0000-0000-00009A960000}"/>
    <cellStyle name="40% - Accent6 5 3 2 4 2 2" xfId="21437" xr:uid="{00000000-0005-0000-0000-00009B960000}"/>
    <cellStyle name="40% - Accent6 5 3 2 4 2 2 2" xfId="44039" xr:uid="{00000000-0005-0000-0000-00009C960000}"/>
    <cellStyle name="40% - Accent6 5 3 2 4 2 3" xfId="32738" xr:uid="{00000000-0005-0000-0000-00009D960000}"/>
    <cellStyle name="40% - Accent6 5 3 2 4 3" xfId="15787" xr:uid="{00000000-0005-0000-0000-00009E960000}"/>
    <cellStyle name="40% - Accent6 5 3 2 4 3 2" xfId="38389" xr:uid="{00000000-0005-0000-0000-00009F960000}"/>
    <cellStyle name="40% - Accent6 5 3 2 4 4" xfId="27088" xr:uid="{00000000-0005-0000-0000-0000A0960000}"/>
    <cellStyle name="40% - Accent6 5 3 2 5" xfId="7282" xr:uid="{00000000-0005-0000-0000-0000A1960000}"/>
    <cellStyle name="40% - Accent6 5 3 2 5 2" xfId="18583" xr:uid="{00000000-0005-0000-0000-0000A2960000}"/>
    <cellStyle name="40% - Accent6 5 3 2 5 2 2" xfId="41185" xr:uid="{00000000-0005-0000-0000-0000A3960000}"/>
    <cellStyle name="40% - Accent6 5 3 2 5 3" xfId="29884" xr:uid="{00000000-0005-0000-0000-0000A4960000}"/>
    <cellStyle name="40% - Accent6 5 3 2 6" xfId="12933" xr:uid="{00000000-0005-0000-0000-0000A5960000}"/>
    <cellStyle name="40% - Accent6 5 3 2 6 2" xfId="35535" xr:uid="{00000000-0005-0000-0000-0000A6960000}"/>
    <cellStyle name="40% - Accent6 5 3 2 7" xfId="24234" xr:uid="{00000000-0005-0000-0000-0000A7960000}"/>
    <cellStyle name="40% - Accent6 5 3 3" xfId="1001" xr:uid="{00000000-0005-0000-0000-0000A8960000}"/>
    <cellStyle name="40% - Accent6 5 3 3 2" xfId="3064" xr:uid="{00000000-0005-0000-0000-0000A9960000}"/>
    <cellStyle name="40% - Accent6 5 3 3 2 2" xfId="6036" xr:uid="{00000000-0005-0000-0000-0000AA960000}"/>
    <cellStyle name="40% - Accent6 5 3 3 2 2 2" xfId="11686" xr:uid="{00000000-0005-0000-0000-0000AB960000}"/>
    <cellStyle name="40% - Accent6 5 3 3 2 2 2 2" xfId="22987" xr:uid="{00000000-0005-0000-0000-0000AC960000}"/>
    <cellStyle name="40% - Accent6 5 3 3 2 2 2 2 2" xfId="45589" xr:uid="{00000000-0005-0000-0000-0000AD960000}"/>
    <cellStyle name="40% - Accent6 5 3 3 2 2 2 3" xfId="34288" xr:uid="{00000000-0005-0000-0000-0000AE960000}"/>
    <cellStyle name="40% - Accent6 5 3 3 2 2 3" xfId="17337" xr:uid="{00000000-0005-0000-0000-0000AF960000}"/>
    <cellStyle name="40% - Accent6 5 3 3 2 2 3 2" xfId="39939" xr:uid="{00000000-0005-0000-0000-0000B0960000}"/>
    <cellStyle name="40% - Accent6 5 3 3 2 2 4" xfId="28638" xr:uid="{00000000-0005-0000-0000-0000B1960000}"/>
    <cellStyle name="40% - Accent6 5 3 3 2 3" xfId="8854" xr:uid="{00000000-0005-0000-0000-0000B2960000}"/>
    <cellStyle name="40% - Accent6 5 3 3 2 3 2" xfId="20155" xr:uid="{00000000-0005-0000-0000-0000B3960000}"/>
    <cellStyle name="40% - Accent6 5 3 3 2 3 2 2" xfId="42757" xr:uid="{00000000-0005-0000-0000-0000B4960000}"/>
    <cellStyle name="40% - Accent6 5 3 3 2 3 3" xfId="31456" xr:uid="{00000000-0005-0000-0000-0000B5960000}"/>
    <cellStyle name="40% - Accent6 5 3 3 2 4" xfId="14505" xr:uid="{00000000-0005-0000-0000-0000B6960000}"/>
    <cellStyle name="40% - Accent6 5 3 3 2 4 2" xfId="37107" xr:uid="{00000000-0005-0000-0000-0000B7960000}"/>
    <cellStyle name="40% - Accent6 5 3 3 2 5" xfId="25806" xr:uid="{00000000-0005-0000-0000-0000B8960000}"/>
    <cellStyle name="40% - Accent6 5 3 3 3" xfId="4802" xr:uid="{00000000-0005-0000-0000-0000B9960000}"/>
    <cellStyle name="40% - Accent6 5 3 3 3 2" xfId="10452" xr:uid="{00000000-0005-0000-0000-0000BA960000}"/>
    <cellStyle name="40% - Accent6 5 3 3 3 2 2" xfId="21753" xr:uid="{00000000-0005-0000-0000-0000BB960000}"/>
    <cellStyle name="40% - Accent6 5 3 3 3 2 2 2" xfId="44355" xr:uid="{00000000-0005-0000-0000-0000BC960000}"/>
    <cellStyle name="40% - Accent6 5 3 3 3 2 3" xfId="33054" xr:uid="{00000000-0005-0000-0000-0000BD960000}"/>
    <cellStyle name="40% - Accent6 5 3 3 3 3" xfId="16103" xr:uid="{00000000-0005-0000-0000-0000BE960000}"/>
    <cellStyle name="40% - Accent6 5 3 3 3 3 2" xfId="38705" xr:uid="{00000000-0005-0000-0000-0000BF960000}"/>
    <cellStyle name="40% - Accent6 5 3 3 3 4" xfId="27404" xr:uid="{00000000-0005-0000-0000-0000C0960000}"/>
    <cellStyle name="40% - Accent6 5 3 3 4" xfId="6989" xr:uid="{00000000-0005-0000-0000-0000C1960000}"/>
    <cellStyle name="40% - Accent6 5 3 3 4 2" xfId="18290" xr:uid="{00000000-0005-0000-0000-0000C2960000}"/>
    <cellStyle name="40% - Accent6 5 3 3 4 2 2" xfId="40892" xr:uid="{00000000-0005-0000-0000-0000C3960000}"/>
    <cellStyle name="40% - Accent6 5 3 3 4 3" xfId="29591" xr:uid="{00000000-0005-0000-0000-0000C4960000}"/>
    <cellStyle name="40% - Accent6 5 3 3 5" xfId="12640" xr:uid="{00000000-0005-0000-0000-0000C5960000}"/>
    <cellStyle name="40% - Accent6 5 3 3 5 2" xfId="35242" xr:uid="{00000000-0005-0000-0000-0000C6960000}"/>
    <cellStyle name="40% - Accent6 5 3 3 6" xfId="23941" xr:uid="{00000000-0005-0000-0000-0000C7960000}"/>
    <cellStyle name="40% - Accent6 5 3 4" xfId="2067" xr:uid="{00000000-0005-0000-0000-0000C8960000}"/>
    <cellStyle name="40% - Accent6 5 3 4 2" xfId="3838" xr:uid="{00000000-0005-0000-0000-0000C9960000}"/>
    <cellStyle name="40% - Accent6 5 3 4 2 2" xfId="9546" xr:uid="{00000000-0005-0000-0000-0000CA960000}"/>
    <cellStyle name="40% - Accent6 5 3 4 2 2 2" xfId="20847" xr:uid="{00000000-0005-0000-0000-0000CB960000}"/>
    <cellStyle name="40% - Accent6 5 3 4 2 2 2 2" xfId="43449" xr:uid="{00000000-0005-0000-0000-0000CC960000}"/>
    <cellStyle name="40% - Accent6 5 3 4 2 2 3" xfId="32148" xr:uid="{00000000-0005-0000-0000-0000CD960000}"/>
    <cellStyle name="40% - Accent6 5 3 4 2 3" xfId="15197" xr:uid="{00000000-0005-0000-0000-0000CE960000}"/>
    <cellStyle name="40% - Accent6 5 3 4 2 3 2" xfId="37799" xr:uid="{00000000-0005-0000-0000-0000CF960000}"/>
    <cellStyle name="40% - Accent6 5 3 4 2 4" xfId="26498" xr:uid="{00000000-0005-0000-0000-0000D0960000}"/>
    <cellStyle name="40% - Accent6 5 3 4 3" xfId="5412" xr:uid="{00000000-0005-0000-0000-0000D1960000}"/>
    <cellStyle name="40% - Accent6 5 3 4 3 2" xfId="11062" xr:uid="{00000000-0005-0000-0000-0000D2960000}"/>
    <cellStyle name="40% - Accent6 5 3 4 3 2 2" xfId="22363" xr:uid="{00000000-0005-0000-0000-0000D3960000}"/>
    <cellStyle name="40% - Accent6 5 3 4 3 2 2 2" xfId="44965" xr:uid="{00000000-0005-0000-0000-0000D4960000}"/>
    <cellStyle name="40% - Accent6 5 3 4 3 2 3" xfId="33664" xr:uid="{00000000-0005-0000-0000-0000D5960000}"/>
    <cellStyle name="40% - Accent6 5 3 4 3 3" xfId="16713" xr:uid="{00000000-0005-0000-0000-0000D6960000}"/>
    <cellStyle name="40% - Accent6 5 3 4 3 3 2" xfId="39315" xr:uid="{00000000-0005-0000-0000-0000D7960000}"/>
    <cellStyle name="40% - Accent6 5 3 4 3 4" xfId="28014" xr:uid="{00000000-0005-0000-0000-0000D8960000}"/>
    <cellStyle name="40% - Accent6 5 3 4 4" xfId="7923" xr:uid="{00000000-0005-0000-0000-0000D9960000}"/>
    <cellStyle name="40% - Accent6 5 3 4 4 2" xfId="19224" xr:uid="{00000000-0005-0000-0000-0000DA960000}"/>
    <cellStyle name="40% - Accent6 5 3 4 4 2 2" xfId="41826" xr:uid="{00000000-0005-0000-0000-0000DB960000}"/>
    <cellStyle name="40% - Accent6 5 3 4 4 3" xfId="30525" xr:uid="{00000000-0005-0000-0000-0000DC960000}"/>
    <cellStyle name="40% - Accent6 5 3 4 5" xfId="13574" xr:uid="{00000000-0005-0000-0000-0000DD960000}"/>
    <cellStyle name="40% - Accent6 5 3 4 5 2" xfId="36176" xr:uid="{00000000-0005-0000-0000-0000DE960000}"/>
    <cellStyle name="40% - Accent6 5 3 4 6" xfId="24875" xr:uid="{00000000-0005-0000-0000-0000DF960000}"/>
    <cellStyle name="40% - Accent6 5 3 5" xfId="2393" xr:uid="{00000000-0005-0000-0000-0000E0960000}"/>
    <cellStyle name="40% - Accent6 5 3 5 2" xfId="8229" xr:uid="{00000000-0005-0000-0000-0000E1960000}"/>
    <cellStyle name="40% - Accent6 5 3 5 2 2" xfId="19530" xr:uid="{00000000-0005-0000-0000-0000E2960000}"/>
    <cellStyle name="40% - Accent6 5 3 5 2 2 2" xfId="42132" xr:uid="{00000000-0005-0000-0000-0000E3960000}"/>
    <cellStyle name="40% - Accent6 5 3 5 2 3" xfId="30831" xr:uid="{00000000-0005-0000-0000-0000E4960000}"/>
    <cellStyle name="40% - Accent6 5 3 5 3" xfId="13880" xr:uid="{00000000-0005-0000-0000-0000E5960000}"/>
    <cellStyle name="40% - Accent6 5 3 5 3 2" xfId="36482" xr:uid="{00000000-0005-0000-0000-0000E6960000}"/>
    <cellStyle name="40% - Accent6 5 3 5 4" xfId="25181" xr:uid="{00000000-0005-0000-0000-0000E7960000}"/>
    <cellStyle name="40% - Accent6 5 3 6" xfId="4178" xr:uid="{00000000-0005-0000-0000-0000E8960000}"/>
    <cellStyle name="40% - Accent6 5 3 6 2" xfId="9828" xr:uid="{00000000-0005-0000-0000-0000E9960000}"/>
    <cellStyle name="40% - Accent6 5 3 6 2 2" xfId="21129" xr:uid="{00000000-0005-0000-0000-0000EA960000}"/>
    <cellStyle name="40% - Accent6 5 3 6 2 2 2" xfId="43731" xr:uid="{00000000-0005-0000-0000-0000EB960000}"/>
    <cellStyle name="40% - Accent6 5 3 6 2 3" xfId="32430" xr:uid="{00000000-0005-0000-0000-0000EC960000}"/>
    <cellStyle name="40% - Accent6 5 3 6 3" xfId="15479" xr:uid="{00000000-0005-0000-0000-0000ED960000}"/>
    <cellStyle name="40% - Accent6 5 3 6 3 2" xfId="38081" xr:uid="{00000000-0005-0000-0000-0000EE960000}"/>
    <cellStyle name="40% - Accent6 5 3 6 4" xfId="26780" xr:uid="{00000000-0005-0000-0000-0000EF960000}"/>
    <cellStyle name="40% - Accent6 5 3 7" xfId="6656" xr:uid="{00000000-0005-0000-0000-0000F0960000}"/>
    <cellStyle name="40% - Accent6 5 3 7 2" xfId="17957" xr:uid="{00000000-0005-0000-0000-0000F1960000}"/>
    <cellStyle name="40% - Accent6 5 3 7 2 2" xfId="40559" xr:uid="{00000000-0005-0000-0000-0000F2960000}"/>
    <cellStyle name="40% - Accent6 5 3 7 3" xfId="29258" xr:uid="{00000000-0005-0000-0000-0000F3960000}"/>
    <cellStyle name="40% - Accent6 5 3 8" xfId="12307" xr:uid="{00000000-0005-0000-0000-0000F4960000}"/>
    <cellStyle name="40% - Accent6 5 3 8 2" xfId="34909" xr:uid="{00000000-0005-0000-0000-0000F5960000}"/>
    <cellStyle name="40% - Accent6 5 3 9" xfId="23608" xr:uid="{00000000-0005-0000-0000-0000F6960000}"/>
    <cellStyle name="40% - Accent6 5 4" xfId="1163" xr:uid="{00000000-0005-0000-0000-0000F7960000}"/>
    <cellStyle name="40% - Accent6 5 4 2" xfId="2069" xr:uid="{00000000-0005-0000-0000-0000F8960000}"/>
    <cellStyle name="40% - Accent6 5 4 2 2" xfId="3231" xr:uid="{00000000-0005-0000-0000-0000F9960000}"/>
    <cellStyle name="40% - Accent6 5 4 2 2 2" xfId="6203" xr:uid="{00000000-0005-0000-0000-0000FA960000}"/>
    <cellStyle name="40% - Accent6 5 4 2 2 2 2" xfId="11853" xr:uid="{00000000-0005-0000-0000-0000FB960000}"/>
    <cellStyle name="40% - Accent6 5 4 2 2 2 2 2" xfId="23154" xr:uid="{00000000-0005-0000-0000-0000FC960000}"/>
    <cellStyle name="40% - Accent6 5 4 2 2 2 2 2 2" xfId="45756" xr:uid="{00000000-0005-0000-0000-0000FD960000}"/>
    <cellStyle name="40% - Accent6 5 4 2 2 2 2 3" xfId="34455" xr:uid="{00000000-0005-0000-0000-0000FE960000}"/>
    <cellStyle name="40% - Accent6 5 4 2 2 2 3" xfId="17504" xr:uid="{00000000-0005-0000-0000-0000FF960000}"/>
    <cellStyle name="40% - Accent6 5 4 2 2 2 3 2" xfId="40106" xr:uid="{00000000-0005-0000-0000-000000970000}"/>
    <cellStyle name="40% - Accent6 5 4 2 2 2 4" xfId="28805" xr:uid="{00000000-0005-0000-0000-000001970000}"/>
    <cellStyle name="40% - Accent6 5 4 2 2 3" xfId="9021" xr:uid="{00000000-0005-0000-0000-000002970000}"/>
    <cellStyle name="40% - Accent6 5 4 2 2 3 2" xfId="20322" xr:uid="{00000000-0005-0000-0000-000003970000}"/>
    <cellStyle name="40% - Accent6 5 4 2 2 3 2 2" xfId="42924" xr:uid="{00000000-0005-0000-0000-000004970000}"/>
    <cellStyle name="40% - Accent6 5 4 2 2 3 3" xfId="31623" xr:uid="{00000000-0005-0000-0000-000005970000}"/>
    <cellStyle name="40% - Accent6 5 4 2 2 4" xfId="14672" xr:uid="{00000000-0005-0000-0000-000006970000}"/>
    <cellStyle name="40% - Accent6 5 4 2 2 4 2" xfId="37274" xr:uid="{00000000-0005-0000-0000-000007970000}"/>
    <cellStyle name="40% - Accent6 5 4 2 2 5" xfId="25973" xr:uid="{00000000-0005-0000-0000-000008970000}"/>
    <cellStyle name="40% - Accent6 5 4 2 3" xfId="4969" xr:uid="{00000000-0005-0000-0000-000009970000}"/>
    <cellStyle name="40% - Accent6 5 4 2 3 2" xfId="10619" xr:uid="{00000000-0005-0000-0000-00000A970000}"/>
    <cellStyle name="40% - Accent6 5 4 2 3 2 2" xfId="21920" xr:uid="{00000000-0005-0000-0000-00000B970000}"/>
    <cellStyle name="40% - Accent6 5 4 2 3 2 2 2" xfId="44522" xr:uid="{00000000-0005-0000-0000-00000C970000}"/>
    <cellStyle name="40% - Accent6 5 4 2 3 2 3" xfId="33221" xr:uid="{00000000-0005-0000-0000-00000D970000}"/>
    <cellStyle name="40% - Accent6 5 4 2 3 3" xfId="16270" xr:uid="{00000000-0005-0000-0000-00000E970000}"/>
    <cellStyle name="40% - Accent6 5 4 2 3 3 2" xfId="38872" xr:uid="{00000000-0005-0000-0000-00000F970000}"/>
    <cellStyle name="40% - Accent6 5 4 2 3 4" xfId="27571" xr:uid="{00000000-0005-0000-0000-000010970000}"/>
    <cellStyle name="40% - Accent6 5 4 2 4" xfId="7925" xr:uid="{00000000-0005-0000-0000-000011970000}"/>
    <cellStyle name="40% - Accent6 5 4 2 4 2" xfId="19226" xr:uid="{00000000-0005-0000-0000-000012970000}"/>
    <cellStyle name="40% - Accent6 5 4 2 4 2 2" xfId="41828" xr:uid="{00000000-0005-0000-0000-000013970000}"/>
    <cellStyle name="40% - Accent6 5 4 2 4 3" xfId="30527" xr:uid="{00000000-0005-0000-0000-000014970000}"/>
    <cellStyle name="40% - Accent6 5 4 2 5" xfId="13576" xr:uid="{00000000-0005-0000-0000-000015970000}"/>
    <cellStyle name="40% - Accent6 5 4 2 5 2" xfId="36178" xr:uid="{00000000-0005-0000-0000-000016970000}"/>
    <cellStyle name="40% - Accent6 5 4 2 6" xfId="24877" xr:uid="{00000000-0005-0000-0000-000017970000}"/>
    <cellStyle name="40% - Accent6 5 4 3" xfId="2560" xr:uid="{00000000-0005-0000-0000-000018970000}"/>
    <cellStyle name="40% - Accent6 5 4 3 2" xfId="5579" xr:uid="{00000000-0005-0000-0000-000019970000}"/>
    <cellStyle name="40% - Accent6 5 4 3 2 2" xfId="11229" xr:uid="{00000000-0005-0000-0000-00001A970000}"/>
    <cellStyle name="40% - Accent6 5 4 3 2 2 2" xfId="22530" xr:uid="{00000000-0005-0000-0000-00001B970000}"/>
    <cellStyle name="40% - Accent6 5 4 3 2 2 2 2" xfId="45132" xr:uid="{00000000-0005-0000-0000-00001C970000}"/>
    <cellStyle name="40% - Accent6 5 4 3 2 2 3" xfId="33831" xr:uid="{00000000-0005-0000-0000-00001D970000}"/>
    <cellStyle name="40% - Accent6 5 4 3 2 3" xfId="16880" xr:uid="{00000000-0005-0000-0000-00001E970000}"/>
    <cellStyle name="40% - Accent6 5 4 3 2 3 2" xfId="39482" xr:uid="{00000000-0005-0000-0000-00001F970000}"/>
    <cellStyle name="40% - Accent6 5 4 3 2 4" xfId="28181" xr:uid="{00000000-0005-0000-0000-000020970000}"/>
    <cellStyle name="40% - Accent6 5 4 3 3" xfId="8396" xr:uid="{00000000-0005-0000-0000-000021970000}"/>
    <cellStyle name="40% - Accent6 5 4 3 3 2" xfId="19697" xr:uid="{00000000-0005-0000-0000-000022970000}"/>
    <cellStyle name="40% - Accent6 5 4 3 3 2 2" xfId="42299" xr:uid="{00000000-0005-0000-0000-000023970000}"/>
    <cellStyle name="40% - Accent6 5 4 3 3 3" xfId="30998" xr:uid="{00000000-0005-0000-0000-000024970000}"/>
    <cellStyle name="40% - Accent6 5 4 3 4" xfId="14047" xr:uid="{00000000-0005-0000-0000-000025970000}"/>
    <cellStyle name="40% - Accent6 5 4 3 4 2" xfId="36649" xr:uid="{00000000-0005-0000-0000-000026970000}"/>
    <cellStyle name="40% - Accent6 5 4 3 5" xfId="25348" xr:uid="{00000000-0005-0000-0000-000027970000}"/>
    <cellStyle name="40% - Accent6 5 4 4" xfId="4345" xr:uid="{00000000-0005-0000-0000-000028970000}"/>
    <cellStyle name="40% - Accent6 5 4 4 2" xfId="9995" xr:uid="{00000000-0005-0000-0000-000029970000}"/>
    <cellStyle name="40% - Accent6 5 4 4 2 2" xfId="21296" xr:uid="{00000000-0005-0000-0000-00002A970000}"/>
    <cellStyle name="40% - Accent6 5 4 4 2 2 2" xfId="43898" xr:uid="{00000000-0005-0000-0000-00002B970000}"/>
    <cellStyle name="40% - Accent6 5 4 4 2 3" xfId="32597" xr:uid="{00000000-0005-0000-0000-00002C970000}"/>
    <cellStyle name="40% - Accent6 5 4 4 3" xfId="15646" xr:uid="{00000000-0005-0000-0000-00002D970000}"/>
    <cellStyle name="40% - Accent6 5 4 4 3 2" xfId="38248" xr:uid="{00000000-0005-0000-0000-00002E970000}"/>
    <cellStyle name="40% - Accent6 5 4 4 4" xfId="26947" xr:uid="{00000000-0005-0000-0000-00002F970000}"/>
    <cellStyle name="40% - Accent6 5 4 5" xfId="7142" xr:uid="{00000000-0005-0000-0000-000030970000}"/>
    <cellStyle name="40% - Accent6 5 4 5 2" xfId="18443" xr:uid="{00000000-0005-0000-0000-000031970000}"/>
    <cellStyle name="40% - Accent6 5 4 5 2 2" xfId="41045" xr:uid="{00000000-0005-0000-0000-000032970000}"/>
    <cellStyle name="40% - Accent6 5 4 5 3" xfId="29744" xr:uid="{00000000-0005-0000-0000-000033970000}"/>
    <cellStyle name="40% - Accent6 5 4 6" xfId="12793" xr:uid="{00000000-0005-0000-0000-000034970000}"/>
    <cellStyle name="40% - Accent6 5 4 6 2" xfId="35395" xr:uid="{00000000-0005-0000-0000-000035970000}"/>
    <cellStyle name="40% - Accent6 5 4 7" xfId="24094" xr:uid="{00000000-0005-0000-0000-000036970000}"/>
    <cellStyle name="40% - Accent6 5 5" xfId="843" xr:uid="{00000000-0005-0000-0000-000037970000}"/>
    <cellStyle name="40% - Accent6 5 5 2" xfId="2924" xr:uid="{00000000-0005-0000-0000-000038970000}"/>
    <cellStyle name="40% - Accent6 5 5 2 2" xfId="5896" xr:uid="{00000000-0005-0000-0000-000039970000}"/>
    <cellStyle name="40% - Accent6 5 5 2 2 2" xfId="11546" xr:uid="{00000000-0005-0000-0000-00003A970000}"/>
    <cellStyle name="40% - Accent6 5 5 2 2 2 2" xfId="22847" xr:uid="{00000000-0005-0000-0000-00003B970000}"/>
    <cellStyle name="40% - Accent6 5 5 2 2 2 2 2" xfId="45449" xr:uid="{00000000-0005-0000-0000-00003C970000}"/>
    <cellStyle name="40% - Accent6 5 5 2 2 2 3" xfId="34148" xr:uid="{00000000-0005-0000-0000-00003D970000}"/>
    <cellStyle name="40% - Accent6 5 5 2 2 3" xfId="17197" xr:uid="{00000000-0005-0000-0000-00003E970000}"/>
    <cellStyle name="40% - Accent6 5 5 2 2 3 2" xfId="39799" xr:uid="{00000000-0005-0000-0000-00003F970000}"/>
    <cellStyle name="40% - Accent6 5 5 2 2 4" xfId="28498" xr:uid="{00000000-0005-0000-0000-000040970000}"/>
    <cellStyle name="40% - Accent6 5 5 2 3" xfId="8714" xr:uid="{00000000-0005-0000-0000-000041970000}"/>
    <cellStyle name="40% - Accent6 5 5 2 3 2" xfId="20015" xr:uid="{00000000-0005-0000-0000-000042970000}"/>
    <cellStyle name="40% - Accent6 5 5 2 3 2 2" xfId="42617" xr:uid="{00000000-0005-0000-0000-000043970000}"/>
    <cellStyle name="40% - Accent6 5 5 2 3 3" xfId="31316" xr:uid="{00000000-0005-0000-0000-000044970000}"/>
    <cellStyle name="40% - Accent6 5 5 2 4" xfId="14365" xr:uid="{00000000-0005-0000-0000-000045970000}"/>
    <cellStyle name="40% - Accent6 5 5 2 4 2" xfId="36967" xr:uid="{00000000-0005-0000-0000-000046970000}"/>
    <cellStyle name="40% - Accent6 5 5 2 5" xfId="25666" xr:uid="{00000000-0005-0000-0000-000047970000}"/>
    <cellStyle name="40% - Accent6 5 5 3" xfId="4662" xr:uid="{00000000-0005-0000-0000-000048970000}"/>
    <cellStyle name="40% - Accent6 5 5 3 2" xfId="10312" xr:uid="{00000000-0005-0000-0000-000049970000}"/>
    <cellStyle name="40% - Accent6 5 5 3 2 2" xfId="21613" xr:uid="{00000000-0005-0000-0000-00004A970000}"/>
    <cellStyle name="40% - Accent6 5 5 3 2 2 2" xfId="44215" xr:uid="{00000000-0005-0000-0000-00004B970000}"/>
    <cellStyle name="40% - Accent6 5 5 3 2 3" xfId="32914" xr:uid="{00000000-0005-0000-0000-00004C970000}"/>
    <cellStyle name="40% - Accent6 5 5 3 3" xfId="15963" xr:uid="{00000000-0005-0000-0000-00004D970000}"/>
    <cellStyle name="40% - Accent6 5 5 3 3 2" xfId="38565" xr:uid="{00000000-0005-0000-0000-00004E970000}"/>
    <cellStyle name="40% - Accent6 5 5 3 4" xfId="27264" xr:uid="{00000000-0005-0000-0000-00004F970000}"/>
    <cellStyle name="40% - Accent6 5 5 4" xfId="6848" xr:uid="{00000000-0005-0000-0000-000050970000}"/>
    <cellStyle name="40% - Accent6 5 5 4 2" xfId="18149" xr:uid="{00000000-0005-0000-0000-000051970000}"/>
    <cellStyle name="40% - Accent6 5 5 4 2 2" xfId="40751" xr:uid="{00000000-0005-0000-0000-000052970000}"/>
    <cellStyle name="40% - Accent6 5 5 4 3" xfId="29450" xr:uid="{00000000-0005-0000-0000-000053970000}"/>
    <cellStyle name="40% - Accent6 5 5 5" xfId="12499" xr:uid="{00000000-0005-0000-0000-000054970000}"/>
    <cellStyle name="40% - Accent6 5 5 5 2" xfId="35101" xr:uid="{00000000-0005-0000-0000-000055970000}"/>
    <cellStyle name="40% - Accent6 5 5 6" xfId="23800" xr:uid="{00000000-0005-0000-0000-000056970000}"/>
    <cellStyle name="40% - Accent6 5 6" xfId="2062" xr:uid="{00000000-0005-0000-0000-000057970000}"/>
    <cellStyle name="40% - Accent6 5 6 2" xfId="3835" xr:uid="{00000000-0005-0000-0000-000058970000}"/>
    <cellStyle name="40% - Accent6 5 6 2 2" xfId="9543" xr:uid="{00000000-0005-0000-0000-000059970000}"/>
    <cellStyle name="40% - Accent6 5 6 2 2 2" xfId="20844" xr:uid="{00000000-0005-0000-0000-00005A970000}"/>
    <cellStyle name="40% - Accent6 5 6 2 2 2 2" xfId="43446" xr:uid="{00000000-0005-0000-0000-00005B970000}"/>
    <cellStyle name="40% - Accent6 5 6 2 2 3" xfId="32145" xr:uid="{00000000-0005-0000-0000-00005C970000}"/>
    <cellStyle name="40% - Accent6 5 6 2 3" xfId="15194" xr:uid="{00000000-0005-0000-0000-00005D970000}"/>
    <cellStyle name="40% - Accent6 5 6 2 3 2" xfId="37796" xr:uid="{00000000-0005-0000-0000-00005E970000}"/>
    <cellStyle name="40% - Accent6 5 6 2 4" xfId="26495" xr:uid="{00000000-0005-0000-0000-00005F970000}"/>
    <cellStyle name="40% - Accent6 5 6 3" xfId="5272" xr:uid="{00000000-0005-0000-0000-000060970000}"/>
    <cellStyle name="40% - Accent6 5 6 3 2" xfId="10922" xr:uid="{00000000-0005-0000-0000-000061970000}"/>
    <cellStyle name="40% - Accent6 5 6 3 2 2" xfId="22223" xr:uid="{00000000-0005-0000-0000-000062970000}"/>
    <cellStyle name="40% - Accent6 5 6 3 2 2 2" xfId="44825" xr:uid="{00000000-0005-0000-0000-000063970000}"/>
    <cellStyle name="40% - Accent6 5 6 3 2 3" xfId="33524" xr:uid="{00000000-0005-0000-0000-000064970000}"/>
    <cellStyle name="40% - Accent6 5 6 3 3" xfId="16573" xr:uid="{00000000-0005-0000-0000-000065970000}"/>
    <cellStyle name="40% - Accent6 5 6 3 3 2" xfId="39175" xr:uid="{00000000-0005-0000-0000-000066970000}"/>
    <cellStyle name="40% - Accent6 5 6 3 4" xfId="27874" xr:uid="{00000000-0005-0000-0000-000067970000}"/>
    <cellStyle name="40% - Accent6 5 6 4" xfId="7918" xr:uid="{00000000-0005-0000-0000-000068970000}"/>
    <cellStyle name="40% - Accent6 5 6 4 2" xfId="19219" xr:uid="{00000000-0005-0000-0000-000069970000}"/>
    <cellStyle name="40% - Accent6 5 6 4 2 2" xfId="41821" xr:uid="{00000000-0005-0000-0000-00006A970000}"/>
    <cellStyle name="40% - Accent6 5 6 4 3" xfId="30520" xr:uid="{00000000-0005-0000-0000-00006B970000}"/>
    <cellStyle name="40% - Accent6 5 6 5" xfId="13569" xr:uid="{00000000-0005-0000-0000-00006C970000}"/>
    <cellStyle name="40% - Accent6 5 6 5 2" xfId="36171" xr:uid="{00000000-0005-0000-0000-00006D970000}"/>
    <cellStyle name="40% - Accent6 5 6 6" xfId="24870" xr:uid="{00000000-0005-0000-0000-00006E970000}"/>
    <cellStyle name="40% - Accent6 5 7" xfId="2245" xr:uid="{00000000-0005-0000-0000-00006F970000}"/>
    <cellStyle name="40% - Accent6 5 7 2" xfId="8086" xr:uid="{00000000-0005-0000-0000-000070970000}"/>
    <cellStyle name="40% - Accent6 5 7 2 2" xfId="19387" xr:uid="{00000000-0005-0000-0000-000071970000}"/>
    <cellStyle name="40% - Accent6 5 7 2 2 2" xfId="41989" xr:uid="{00000000-0005-0000-0000-000072970000}"/>
    <cellStyle name="40% - Accent6 5 7 2 3" xfId="30688" xr:uid="{00000000-0005-0000-0000-000073970000}"/>
    <cellStyle name="40% - Accent6 5 7 3" xfId="13737" xr:uid="{00000000-0005-0000-0000-000074970000}"/>
    <cellStyle name="40% - Accent6 5 7 3 2" xfId="36339" xr:uid="{00000000-0005-0000-0000-000075970000}"/>
    <cellStyle name="40% - Accent6 5 7 4" xfId="25038" xr:uid="{00000000-0005-0000-0000-000076970000}"/>
    <cellStyle name="40% - Accent6 5 8" xfId="4038" xr:uid="{00000000-0005-0000-0000-000077970000}"/>
    <cellStyle name="40% - Accent6 5 8 2" xfId="9688" xr:uid="{00000000-0005-0000-0000-000078970000}"/>
    <cellStyle name="40% - Accent6 5 8 2 2" xfId="20989" xr:uid="{00000000-0005-0000-0000-000079970000}"/>
    <cellStyle name="40% - Accent6 5 8 2 2 2" xfId="43591" xr:uid="{00000000-0005-0000-0000-00007A970000}"/>
    <cellStyle name="40% - Accent6 5 8 2 3" xfId="32290" xr:uid="{00000000-0005-0000-0000-00007B970000}"/>
    <cellStyle name="40% - Accent6 5 8 3" xfId="15339" xr:uid="{00000000-0005-0000-0000-00007C970000}"/>
    <cellStyle name="40% - Accent6 5 8 3 2" xfId="37941" xr:uid="{00000000-0005-0000-0000-00007D970000}"/>
    <cellStyle name="40% - Accent6 5 8 4" xfId="26640" xr:uid="{00000000-0005-0000-0000-00007E970000}"/>
    <cellStyle name="40% - Accent6 5 9" xfId="6489" xr:uid="{00000000-0005-0000-0000-00007F970000}"/>
    <cellStyle name="40% - Accent6 5 9 2" xfId="17790" xr:uid="{00000000-0005-0000-0000-000080970000}"/>
    <cellStyle name="40% - Accent6 5 9 2 2" xfId="40392" xr:uid="{00000000-0005-0000-0000-000081970000}"/>
    <cellStyle name="40% - Accent6 5 9 3" xfId="29091" xr:uid="{00000000-0005-0000-0000-000082970000}"/>
    <cellStyle name="40% - Accent6 6" xfId="296" xr:uid="{00000000-0005-0000-0000-000083970000}"/>
    <cellStyle name="40% - Accent6 7" xfId="399" xr:uid="{00000000-0005-0000-0000-000084970000}"/>
    <cellStyle name="40% - Accent6 7 10" xfId="23494" xr:uid="{00000000-0005-0000-0000-000085970000}"/>
    <cellStyle name="40% - Accent6 7 2" xfId="644" xr:uid="{00000000-0005-0000-0000-000086970000}"/>
    <cellStyle name="40% - Accent6 7 2 2" xfId="1354" xr:uid="{00000000-0005-0000-0000-000087970000}"/>
    <cellStyle name="40% - Accent6 7 2 2 2" xfId="2072" xr:uid="{00000000-0005-0000-0000-000088970000}"/>
    <cellStyle name="40% - Accent6 7 2 2 2 2" xfId="3423" xr:uid="{00000000-0005-0000-0000-000089970000}"/>
    <cellStyle name="40% - Accent6 7 2 2 2 2 2" xfId="6395" xr:uid="{00000000-0005-0000-0000-00008A970000}"/>
    <cellStyle name="40% - Accent6 7 2 2 2 2 2 2" xfId="12045" xr:uid="{00000000-0005-0000-0000-00008B970000}"/>
    <cellStyle name="40% - Accent6 7 2 2 2 2 2 2 2" xfId="23346" xr:uid="{00000000-0005-0000-0000-00008C970000}"/>
    <cellStyle name="40% - Accent6 7 2 2 2 2 2 2 2 2" xfId="45948" xr:uid="{00000000-0005-0000-0000-00008D970000}"/>
    <cellStyle name="40% - Accent6 7 2 2 2 2 2 2 3" xfId="34647" xr:uid="{00000000-0005-0000-0000-00008E970000}"/>
    <cellStyle name="40% - Accent6 7 2 2 2 2 2 3" xfId="17696" xr:uid="{00000000-0005-0000-0000-00008F970000}"/>
    <cellStyle name="40% - Accent6 7 2 2 2 2 2 3 2" xfId="40298" xr:uid="{00000000-0005-0000-0000-000090970000}"/>
    <cellStyle name="40% - Accent6 7 2 2 2 2 2 4" xfId="28997" xr:uid="{00000000-0005-0000-0000-000091970000}"/>
    <cellStyle name="40% - Accent6 7 2 2 2 2 3" xfId="9213" xr:uid="{00000000-0005-0000-0000-000092970000}"/>
    <cellStyle name="40% - Accent6 7 2 2 2 2 3 2" xfId="20514" xr:uid="{00000000-0005-0000-0000-000093970000}"/>
    <cellStyle name="40% - Accent6 7 2 2 2 2 3 2 2" xfId="43116" xr:uid="{00000000-0005-0000-0000-000094970000}"/>
    <cellStyle name="40% - Accent6 7 2 2 2 2 3 3" xfId="31815" xr:uid="{00000000-0005-0000-0000-000095970000}"/>
    <cellStyle name="40% - Accent6 7 2 2 2 2 4" xfId="14864" xr:uid="{00000000-0005-0000-0000-000096970000}"/>
    <cellStyle name="40% - Accent6 7 2 2 2 2 4 2" xfId="37466" xr:uid="{00000000-0005-0000-0000-000097970000}"/>
    <cellStyle name="40% - Accent6 7 2 2 2 2 5" xfId="26165" xr:uid="{00000000-0005-0000-0000-000098970000}"/>
    <cellStyle name="40% - Accent6 7 2 2 2 3" xfId="5161" xr:uid="{00000000-0005-0000-0000-000099970000}"/>
    <cellStyle name="40% - Accent6 7 2 2 2 3 2" xfId="10811" xr:uid="{00000000-0005-0000-0000-00009A970000}"/>
    <cellStyle name="40% - Accent6 7 2 2 2 3 2 2" xfId="22112" xr:uid="{00000000-0005-0000-0000-00009B970000}"/>
    <cellStyle name="40% - Accent6 7 2 2 2 3 2 2 2" xfId="44714" xr:uid="{00000000-0005-0000-0000-00009C970000}"/>
    <cellStyle name="40% - Accent6 7 2 2 2 3 2 3" xfId="33413" xr:uid="{00000000-0005-0000-0000-00009D970000}"/>
    <cellStyle name="40% - Accent6 7 2 2 2 3 3" xfId="16462" xr:uid="{00000000-0005-0000-0000-00009E970000}"/>
    <cellStyle name="40% - Accent6 7 2 2 2 3 3 2" xfId="39064" xr:uid="{00000000-0005-0000-0000-00009F970000}"/>
    <cellStyle name="40% - Accent6 7 2 2 2 3 4" xfId="27763" xr:uid="{00000000-0005-0000-0000-0000A0970000}"/>
    <cellStyle name="40% - Accent6 7 2 2 2 4" xfId="7928" xr:uid="{00000000-0005-0000-0000-0000A1970000}"/>
    <cellStyle name="40% - Accent6 7 2 2 2 4 2" xfId="19229" xr:uid="{00000000-0005-0000-0000-0000A2970000}"/>
    <cellStyle name="40% - Accent6 7 2 2 2 4 2 2" xfId="41831" xr:uid="{00000000-0005-0000-0000-0000A3970000}"/>
    <cellStyle name="40% - Accent6 7 2 2 2 4 3" xfId="30530" xr:uid="{00000000-0005-0000-0000-0000A4970000}"/>
    <cellStyle name="40% - Accent6 7 2 2 2 5" xfId="13579" xr:uid="{00000000-0005-0000-0000-0000A5970000}"/>
    <cellStyle name="40% - Accent6 7 2 2 2 5 2" xfId="36181" xr:uid="{00000000-0005-0000-0000-0000A6970000}"/>
    <cellStyle name="40% - Accent6 7 2 2 2 6" xfId="24880" xr:uid="{00000000-0005-0000-0000-0000A7970000}"/>
    <cellStyle name="40% - Accent6 7 2 2 3" xfId="2752" xr:uid="{00000000-0005-0000-0000-0000A8970000}"/>
    <cellStyle name="40% - Accent6 7 2 2 3 2" xfId="5771" xr:uid="{00000000-0005-0000-0000-0000A9970000}"/>
    <cellStyle name="40% - Accent6 7 2 2 3 2 2" xfId="11421" xr:uid="{00000000-0005-0000-0000-0000AA970000}"/>
    <cellStyle name="40% - Accent6 7 2 2 3 2 2 2" xfId="22722" xr:uid="{00000000-0005-0000-0000-0000AB970000}"/>
    <cellStyle name="40% - Accent6 7 2 2 3 2 2 2 2" xfId="45324" xr:uid="{00000000-0005-0000-0000-0000AC970000}"/>
    <cellStyle name="40% - Accent6 7 2 2 3 2 2 3" xfId="34023" xr:uid="{00000000-0005-0000-0000-0000AD970000}"/>
    <cellStyle name="40% - Accent6 7 2 2 3 2 3" xfId="17072" xr:uid="{00000000-0005-0000-0000-0000AE970000}"/>
    <cellStyle name="40% - Accent6 7 2 2 3 2 3 2" xfId="39674" xr:uid="{00000000-0005-0000-0000-0000AF970000}"/>
    <cellStyle name="40% - Accent6 7 2 2 3 2 4" xfId="28373" xr:uid="{00000000-0005-0000-0000-0000B0970000}"/>
    <cellStyle name="40% - Accent6 7 2 2 3 3" xfId="8588" xr:uid="{00000000-0005-0000-0000-0000B1970000}"/>
    <cellStyle name="40% - Accent6 7 2 2 3 3 2" xfId="19889" xr:uid="{00000000-0005-0000-0000-0000B2970000}"/>
    <cellStyle name="40% - Accent6 7 2 2 3 3 2 2" xfId="42491" xr:uid="{00000000-0005-0000-0000-0000B3970000}"/>
    <cellStyle name="40% - Accent6 7 2 2 3 3 3" xfId="31190" xr:uid="{00000000-0005-0000-0000-0000B4970000}"/>
    <cellStyle name="40% - Accent6 7 2 2 3 4" xfId="14239" xr:uid="{00000000-0005-0000-0000-0000B5970000}"/>
    <cellStyle name="40% - Accent6 7 2 2 3 4 2" xfId="36841" xr:uid="{00000000-0005-0000-0000-0000B6970000}"/>
    <cellStyle name="40% - Accent6 7 2 2 3 5" xfId="25540" xr:uid="{00000000-0005-0000-0000-0000B7970000}"/>
    <cellStyle name="40% - Accent6 7 2 2 4" xfId="4537" xr:uid="{00000000-0005-0000-0000-0000B8970000}"/>
    <cellStyle name="40% - Accent6 7 2 2 4 2" xfId="10187" xr:uid="{00000000-0005-0000-0000-0000B9970000}"/>
    <cellStyle name="40% - Accent6 7 2 2 4 2 2" xfId="21488" xr:uid="{00000000-0005-0000-0000-0000BA970000}"/>
    <cellStyle name="40% - Accent6 7 2 2 4 2 2 2" xfId="44090" xr:uid="{00000000-0005-0000-0000-0000BB970000}"/>
    <cellStyle name="40% - Accent6 7 2 2 4 2 3" xfId="32789" xr:uid="{00000000-0005-0000-0000-0000BC970000}"/>
    <cellStyle name="40% - Accent6 7 2 2 4 3" xfId="15838" xr:uid="{00000000-0005-0000-0000-0000BD970000}"/>
    <cellStyle name="40% - Accent6 7 2 2 4 3 2" xfId="38440" xr:uid="{00000000-0005-0000-0000-0000BE970000}"/>
    <cellStyle name="40% - Accent6 7 2 2 4 4" xfId="27139" xr:uid="{00000000-0005-0000-0000-0000BF970000}"/>
    <cellStyle name="40% - Accent6 7 2 2 5" xfId="7333" xr:uid="{00000000-0005-0000-0000-0000C0970000}"/>
    <cellStyle name="40% - Accent6 7 2 2 5 2" xfId="18634" xr:uid="{00000000-0005-0000-0000-0000C1970000}"/>
    <cellStyle name="40% - Accent6 7 2 2 5 2 2" xfId="41236" xr:uid="{00000000-0005-0000-0000-0000C2970000}"/>
    <cellStyle name="40% - Accent6 7 2 2 5 3" xfId="29935" xr:uid="{00000000-0005-0000-0000-0000C3970000}"/>
    <cellStyle name="40% - Accent6 7 2 2 6" xfId="12984" xr:uid="{00000000-0005-0000-0000-0000C4970000}"/>
    <cellStyle name="40% - Accent6 7 2 2 6 2" xfId="35586" xr:uid="{00000000-0005-0000-0000-0000C5970000}"/>
    <cellStyle name="40% - Accent6 7 2 2 7" xfId="24285" xr:uid="{00000000-0005-0000-0000-0000C6970000}"/>
    <cellStyle name="40% - Accent6 7 2 3" xfId="1052" xr:uid="{00000000-0005-0000-0000-0000C7970000}"/>
    <cellStyle name="40% - Accent6 7 2 3 2" xfId="3115" xr:uid="{00000000-0005-0000-0000-0000C8970000}"/>
    <cellStyle name="40% - Accent6 7 2 3 2 2" xfId="6087" xr:uid="{00000000-0005-0000-0000-0000C9970000}"/>
    <cellStyle name="40% - Accent6 7 2 3 2 2 2" xfId="11737" xr:uid="{00000000-0005-0000-0000-0000CA970000}"/>
    <cellStyle name="40% - Accent6 7 2 3 2 2 2 2" xfId="23038" xr:uid="{00000000-0005-0000-0000-0000CB970000}"/>
    <cellStyle name="40% - Accent6 7 2 3 2 2 2 2 2" xfId="45640" xr:uid="{00000000-0005-0000-0000-0000CC970000}"/>
    <cellStyle name="40% - Accent6 7 2 3 2 2 2 3" xfId="34339" xr:uid="{00000000-0005-0000-0000-0000CD970000}"/>
    <cellStyle name="40% - Accent6 7 2 3 2 2 3" xfId="17388" xr:uid="{00000000-0005-0000-0000-0000CE970000}"/>
    <cellStyle name="40% - Accent6 7 2 3 2 2 3 2" xfId="39990" xr:uid="{00000000-0005-0000-0000-0000CF970000}"/>
    <cellStyle name="40% - Accent6 7 2 3 2 2 4" xfId="28689" xr:uid="{00000000-0005-0000-0000-0000D0970000}"/>
    <cellStyle name="40% - Accent6 7 2 3 2 3" xfId="8905" xr:uid="{00000000-0005-0000-0000-0000D1970000}"/>
    <cellStyle name="40% - Accent6 7 2 3 2 3 2" xfId="20206" xr:uid="{00000000-0005-0000-0000-0000D2970000}"/>
    <cellStyle name="40% - Accent6 7 2 3 2 3 2 2" xfId="42808" xr:uid="{00000000-0005-0000-0000-0000D3970000}"/>
    <cellStyle name="40% - Accent6 7 2 3 2 3 3" xfId="31507" xr:uid="{00000000-0005-0000-0000-0000D4970000}"/>
    <cellStyle name="40% - Accent6 7 2 3 2 4" xfId="14556" xr:uid="{00000000-0005-0000-0000-0000D5970000}"/>
    <cellStyle name="40% - Accent6 7 2 3 2 4 2" xfId="37158" xr:uid="{00000000-0005-0000-0000-0000D6970000}"/>
    <cellStyle name="40% - Accent6 7 2 3 2 5" xfId="25857" xr:uid="{00000000-0005-0000-0000-0000D7970000}"/>
    <cellStyle name="40% - Accent6 7 2 3 3" xfId="4853" xr:uid="{00000000-0005-0000-0000-0000D8970000}"/>
    <cellStyle name="40% - Accent6 7 2 3 3 2" xfId="10503" xr:uid="{00000000-0005-0000-0000-0000D9970000}"/>
    <cellStyle name="40% - Accent6 7 2 3 3 2 2" xfId="21804" xr:uid="{00000000-0005-0000-0000-0000DA970000}"/>
    <cellStyle name="40% - Accent6 7 2 3 3 2 2 2" xfId="44406" xr:uid="{00000000-0005-0000-0000-0000DB970000}"/>
    <cellStyle name="40% - Accent6 7 2 3 3 2 3" xfId="33105" xr:uid="{00000000-0005-0000-0000-0000DC970000}"/>
    <cellStyle name="40% - Accent6 7 2 3 3 3" xfId="16154" xr:uid="{00000000-0005-0000-0000-0000DD970000}"/>
    <cellStyle name="40% - Accent6 7 2 3 3 3 2" xfId="38756" xr:uid="{00000000-0005-0000-0000-0000DE970000}"/>
    <cellStyle name="40% - Accent6 7 2 3 3 4" xfId="27455" xr:uid="{00000000-0005-0000-0000-0000DF970000}"/>
    <cellStyle name="40% - Accent6 7 2 3 4" xfId="7040" xr:uid="{00000000-0005-0000-0000-0000E0970000}"/>
    <cellStyle name="40% - Accent6 7 2 3 4 2" xfId="18341" xr:uid="{00000000-0005-0000-0000-0000E1970000}"/>
    <cellStyle name="40% - Accent6 7 2 3 4 2 2" xfId="40943" xr:uid="{00000000-0005-0000-0000-0000E2970000}"/>
    <cellStyle name="40% - Accent6 7 2 3 4 3" xfId="29642" xr:uid="{00000000-0005-0000-0000-0000E3970000}"/>
    <cellStyle name="40% - Accent6 7 2 3 5" xfId="12691" xr:uid="{00000000-0005-0000-0000-0000E4970000}"/>
    <cellStyle name="40% - Accent6 7 2 3 5 2" xfId="35293" xr:uid="{00000000-0005-0000-0000-0000E5970000}"/>
    <cellStyle name="40% - Accent6 7 2 3 6" xfId="23992" xr:uid="{00000000-0005-0000-0000-0000E6970000}"/>
    <cellStyle name="40% - Accent6 7 2 4" xfId="2071" xr:uid="{00000000-0005-0000-0000-0000E7970000}"/>
    <cellStyle name="40% - Accent6 7 2 4 2" xfId="3840" xr:uid="{00000000-0005-0000-0000-0000E8970000}"/>
    <cellStyle name="40% - Accent6 7 2 4 2 2" xfId="9548" xr:uid="{00000000-0005-0000-0000-0000E9970000}"/>
    <cellStyle name="40% - Accent6 7 2 4 2 2 2" xfId="20849" xr:uid="{00000000-0005-0000-0000-0000EA970000}"/>
    <cellStyle name="40% - Accent6 7 2 4 2 2 2 2" xfId="43451" xr:uid="{00000000-0005-0000-0000-0000EB970000}"/>
    <cellStyle name="40% - Accent6 7 2 4 2 2 3" xfId="32150" xr:uid="{00000000-0005-0000-0000-0000EC970000}"/>
    <cellStyle name="40% - Accent6 7 2 4 2 3" xfId="15199" xr:uid="{00000000-0005-0000-0000-0000ED970000}"/>
    <cellStyle name="40% - Accent6 7 2 4 2 3 2" xfId="37801" xr:uid="{00000000-0005-0000-0000-0000EE970000}"/>
    <cellStyle name="40% - Accent6 7 2 4 2 4" xfId="26500" xr:uid="{00000000-0005-0000-0000-0000EF970000}"/>
    <cellStyle name="40% - Accent6 7 2 4 3" xfId="5463" xr:uid="{00000000-0005-0000-0000-0000F0970000}"/>
    <cellStyle name="40% - Accent6 7 2 4 3 2" xfId="11113" xr:uid="{00000000-0005-0000-0000-0000F1970000}"/>
    <cellStyle name="40% - Accent6 7 2 4 3 2 2" xfId="22414" xr:uid="{00000000-0005-0000-0000-0000F2970000}"/>
    <cellStyle name="40% - Accent6 7 2 4 3 2 2 2" xfId="45016" xr:uid="{00000000-0005-0000-0000-0000F3970000}"/>
    <cellStyle name="40% - Accent6 7 2 4 3 2 3" xfId="33715" xr:uid="{00000000-0005-0000-0000-0000F4970000}"/>
    <cellStyle name="40% - Accent6 7 2 4 3 3" xfId="16764" xr:uid="{00000000-0005-0000-0000-0000F5970000}"/>
    <cellStyle name="40% - Accent6 7 2 4 3 3 2" xfId="39366" xr:uid="{00000000-0005-0000-0000-0000F6970000}"/>
    <cellStyle name="40% - Accent6 7 2 4 3 4" xfId="28065" xr:uid="{00000000-0005-0000-0000-0000F7970000}"/>
    <cellStyle name="40% - Accent6 7 2 4 4" xfId="7927" xr:uid="{00000000-0005-0000-0000-0000F8970000}"/>
    <cellStyle name="40% - Accent6 7 2 4 4 2" xfId="19228" xr:uid="{00000000-0005-0000-0000-0000F9970000}"/>
    <cellStyle name="40% - Accent6 7 2 4 4 2 2" xfId="41830" xr:uid="{00000000-0005-0000-0000-0000FA970000}"/>
    <cellStyle name="40% - Accent6 7 2 4 4 3" xfId="30529" xr:uid="{00000000-0005-0000-0000-0000FB970000}"/>
    <cellStyle name="40% - Accent6 7 2 4 5" xfId="13578" xr:uid="{00000000-0005-0000-0000-0000FC970000}"/>
    <cellStyle name="40% - Accent6 7 2 4 5 2" xfId="36180" xr:uid="{00000000-0005-0000-0000-0000FD970000}"/>
    <cellStyle name="40% - Accent6 7 2 4 6" xfId="24879" xr:uid="{00000000-0005-0000-0000-0000FE970000}"/>
    <cellStyle name="40% - Accent6 7 2 5" xfId="2444" xr:uid="{00000000-0005-0000-0000-0000FF970000}"/>
    <cellStyle name="40% - Accent6 7 2 5 2" xfId="8280" xr:uid="{00000000-0005-0000-0000-000000980000}"/>
    <cellStyle name="40% - Accent6 7 2 5 2 2" xfId="19581" xr:uid="{00000000-0005-0000-0000-000001980000}"/>
    <cellStyle name="40% - Accent6 7 2 5 2 2 2" xfId="42183" xr:uid="{00000000-0005-0000-0000-000002980000}"/>
    <cellStyle name="40% - Accent6 7 2 5 2 3" xfId="30882" xr:uid="{00000000-0005-0000-0000-000003980000}"/>
    <cellStyle name="40% - Accent6 7 2 5 3" xfId="13931" xr:uid="{00000000-0005-0000-0000-000004980000}"/>
    <cellStyle name="40% - Accent6 7 2 5 3 2" xfId="36533" xr:uid="{00000000-0005-0000-0000-000005980000}"/>
    <cellStyle name="40% - Accent6 7 2 5 4" xfId="25232" xr:uid="{00000000-0005-0000-0000-000006980000}"/>
    <cellStyle name="40% - Accent6 7 2 6" xfId="4229" xr:uid="{00000000-0005-0000-0000-000007980000}"/>
    <cellStyle name="40% - Accent6 7 2 6 2" xfId="9879" xr:uid="{00000000-0005-0000-0000-000008980000}"/>
    <cellStyle name="40% - Accent6 7 2 6 2 2" xfId="21180" xr:uid="{00000000-0005-0000-0000-000009980000}"/>
    <cellStyle name="40% - Accent6 7 2 6 2 2 2" xfId="43782" xr:uid="{00000000-0005-0000-0000-00000A980000}"/>
    <cellStyle name="40% - Accent6 7 2 6 2 3" xfId="32481" xr:uid="{00000000-0005-0000-0000-00000B980000}"/>
    <cellStyle name="40% - Accent6 7 2 6 3" xfId="15530" xr:uid="{00000000-0005-0000-0000-00000C980000}"/>
    <cellStyle name="40% - Accent6 7 2 6 3 2" xfId="38132" xr:uid="{00000000-0005-0000-0000-00000D980000}"/>
    <cellStyle name="40% - Accent6 7 2 6 4" xfId="26831" xr:uid="{00000000-0005-0000-0000-00000E980000}"/>
    <cellStyle name="40% - Accent6 7 2 7" xfId="6709" xr:uid="{00000000-0005-0000-0000-00000F980000}"/>
    <cellStyle name="40% - Accent6 7 2 7 2" xfId="18010" xr:uid="{00000000-0005-0000-0000-000010980000}"/>
    <cellStyle name="40% - Accent6 7 2 7 2 2" xfId="40612" xr:uid="{00000000-0005-0000-0000-000011980000}"/>
    <cellStyle name="40% - Accent6 7 2 7 3" xfId="29311" xr:uid="{00000000-0005-0000-0000-000012980000}"/>
    <cellStyle name="40% - Accent6 7 2 8" xfId="12360" xr:uid="{00000000-0005-0000-0000-000013980000}"/>
    <cellStyle name="40% - Accent6 7 2 8 2" xfId="34962" xr:uid="{00000000-0005-0000-0000-000014980000}"/>
    <cellStyle name="40% - Accent6 7 2 9" xfId="23661" xr:uid="{00000000-0005-0000-0000-000015980000}"/>
    <cellStyle name="40% - Accent6 7 3" xfId="1216" xr:uid="{00000000-0005-0000-0000-000016980000}"/>
    <cellStyle name="40% - Accent6 7 3 2" xfId="2073" xr:uid="{00000000-0005-0000-0000-000017980000}"/>
    <cellStyle name="40% - Accent6 7 3 2 2" xfId="3284" xr:uid="{00000000-0005-0000-0000-000018980000}"/>
    <cellStyle name="40% - Accent6 7 3 2 2 2" xfId="6256" xr:uid="{00000000-0005-0000-0000-000019980000}"/>
    <cellStyle name="40% - Accent6 7 3 2 2 2 2" xfId="11906" xr:uid="{00000000-0005-0000-0000-00001A980000}"/>
    <cellStyle name="40% - Accent6 7 3 2 2 2 2 2" xfId="23207" xr:uid="{00000000-0005-0000-0000-00001B980000}"/>
    <cellStyle name="40% - Accent6 7 3 2 2 2 2 2 2" xfId="45809" xr:uid="{00000000-0005-0000-0000-00001C980000}"/>
    <cellStyle name="40% - Accent6 7 3 2 2 2 2 3" xfId="34508" xr:uid="{00000000-0005-0000-0000-00001D980000}"/>
    <cellStyle name="40% - Accent6 7 3 2 2 2 3" xfId="17557" xr:uid="{00000000-0005-0000-0000-00001E980000}"/>
    <cellStyle name="40% - Accent6 7 3 2 2 2 3 2" xfId="40159" xr:uid="{00000000-0005-0000-0000-00001F980000}"/>
    <cellStyle name="40% - Accent6 7 3 2 2 2 4" xfId="28858" xr:uid="{00000000-0005-0000-0000-000020980000}"/>
    <cellStyle name="40% - Accent6 7 3 2 2 3" xfId="9074" xr:uid="{00000000-0005-0000-0000-000021980000}"/>
    <cellStyle name="40% - Accent6 7 3 2 2 3 2" xfId="20375" xr:uid="{00000000-0005-0000-0000-000022980000}"/>
    <cellStyle name="40% - Accent6 7 3 2 2 3 2 2" xfId="42977" xr:uid="{00000000-0005-0000-0000-000023980000}"/>
    <cellStyle name="40% - Accent6 7 3 2 2 3 3" xfId="31676" xr:uid="{00000000-0005-0000-0000-000024980000}"/>
    <cellStyle name="40% - Accent6 7 3 2 2 4" xfId="14725" xr:uid="{00000000-0005-0000-0000-000025980000}"/>
    <cellStyle name="40% - Accent6 7 3 2 2 4 2" xfId="37327" xr:uid="{00000000-0005-0000-0000-000026980000}"/>
    <cellStyle name="40% - Accent6 7 3 2 2 5" xfId="26026" xr:uid="{00000000-0005-0000-0000-000027980000}"/>
    <cellStyle name="40% - Accent6 7 3 2 3" xfId="5022" xr:uid="{00000000-0005-0000-0000-000028980000}"/>
    <cellStyle name="40% - Accent6 7 3 2 3 2" xfId="10672" xr:uid="{00000000-0005-0000-0000-000029980000}"/>
    <cellStyle name="40% - Accent6 7 3 2 3 2 2" xfId="21973" xr:uid="{00000000-0005-0000-0000-00002A980000}"/>
    <cellStyle name="40% - Accent6 7 3 2 3 2 2 2" xfId="44575" xr:uid="{00000000-0005-0000-0000-00002B980000}"/>
    <cellStyle name="40% - Accent6 7 3 2 3 2 3" xfId="33274" xr:uid="{00000000-0005-0000-0000-00002C980000}"/>
    <cellStyle name="40% - Accent6 7 3 2 3 3" xfId="16323" xr:uid="{00000000-0005-0000-0000-00002D980000}"/>
    <cellStyle name="40% - Accent6 7 3 2 3 3 2" xfId="38925" xr:uid="{00000000-0005-0000-0000-00002E980000}"/>
    <cellStyle name="40% - Accent6 7 3 2 3 4" xfId="27624" xr:uid="{00000000-0005-0000-0000-00002F980000}"/>
    <cellStyle name="40% - Accent6 7 3 2 4" xfId="7929" xr:uid="{00000000-0005-0000-0000-000030980000}"/>
    <cellStyle name="40% - Accent6 7 3 2 4 2" xfId="19230" xr:uid="{00000000-0005-0000-0000-000031980000}"/>
    <cellStyle name="40% - Accent6 7 3 2 4 2 2" xfId="41832" xr:uid="{00000000-0005-0000-0000-000032980000}"/>
    <cellStyle name="40% - Accent6 7 3 2 4 3" xfId="30531" xr:uid="{00000000-0005-0000-0000-000033980000}"/>
    <cellStyle name="40% - Accent6 7 3 2 5" xfId="13580" xr:uid="{00000000-0005-0000-0000-000034980000}"/>
    <cellStyle name="40% - Accent6 7 3 2 5 2" xfId="36182" xr:uid="{00000000-0005-0000-0000-000035980000}"/>
    <cellStyle name="40% - Accent6 7 3 2 6" xfId="24881" xr:uid="{00000000-0005-0000-0000-000036980000}"/>
    <cellStyle name="40% - Accent6 7 3 3" xfId="2613" xr:uid="{00000000-0005-0000-0000-000037980000}"/>
    <cellStyle name="40% - Accent6 7 3 3 2" xfId="5632" xr:uid="{00000000-0005-0000-0000-000038980000}"/>
    <cellStyle name="40% - Accent6 7 3 3 2 2" xfId="11282" xr:uid="{00000000-0005-0000-0000-000039980000}"/>
    <cellStyle name="40% - Accent6 7 3 3 2 2 2" xfId="22583" xr:uid="{00000000-0005-0000-0000-00003A980000}"/>
    <cellStyle name="40% - Accent6 7 3 3 2 2 2 2" xfId="45185" xr:uid="{00000000-0005-0000-0000-00003B980000}"/>
    <cellStyle name="40% - Accent6 7 3 3 2 2 3" xfId="33884" xr:uid="{00000000-0005-0000-0000-00003C980000}"/>
    <cellStyle name="40% - Accent6 7 3 3 2 3" xfId="16933" xr:uid="{00000000-0005-0000-0000-00003D980000}"/>
    <cellStyle name="40% - Accent6 7 3 3 2 3 2" xfId="39535" xr:uid="{00000000-0005-0000-0000-00003E980000}"/>
    <cellStyle name="40% - Accent6 7 3 3 2 4" xfId="28234" xr:uid="{00000000-0005-0000-0000-00003F980000}"/>
    <cellStyle name="40% - Accent6 7 3 3 3" xfId="8449" xr:uid="{00000000-0005-0000-0000-000040980000}"/>
    <cellStyle name="40% - Accent6 7 3 3 3 2" xfId="19750" xr:uid="{00000000-0005-0000-0000-000041980000}"/>
    <cellStyle name="40% - Accent6 7 3 3 3 2 2" xfId="42352" xr:uid="{00000000-0005-0000-0000-000042980000}"/>
    <cellStyle name="40% - Accent6 7 3 3 3 3" xfId="31051" xr:uid="{00000000-0005-0000-0000-000043980000}"/>
    <cellStyle name="40% - Accent6 7 3 3 4" xfId="14100" xr:uid="{00000000-0005-0000-0000-000044980000}"/>
    <cellStyle name="40% - Accent6 7 3 3 4 2" xfId="36702" xr:uid="{00000000-0005-0000-0000-000045980000}"/>
    <cellStyle name="40% - Accent6 7 3 3 5" xfId="25401" xr:uid="{00000000-0005-0000-0000-000046980000}"/>
    <cellStyle name="40% - Accent6 7 3 4" xfId="4398" xr:uid="{00000000-0005-0000-0000-000047980000}"/>
    <cellStyle name="40% - Accent6 7 3 4 2" xfId="10048" xr:uid="{00000000-0005-0000-0000-000048980000}"/>
    <cellStyle name="40% - Accent6 7 3 4 2 2" xfId="21349" xr:uid="{00000000-0005-0000-0000-000049980000}"/>
    <cellStyle name="40% - Accent6 7 3 4 2 2 2" xfId="43951" xr:uid="{00000000-0005-0000-0000-00004A980000}"/>
    <cellStyle name="40% - Accent6 7 3 4 2 3" xfId="32650" xr:uid="{00000000-0005-0000-0000-00004B980000}"/>
    <cellStyle name="40% - Accent6 7 3 4 3" xfId="15699" xr:uid="{00000000-0005-0000-0000-00004C980000}"/>
    <cellStyle name="40% - Accent6 7 3 4 3 2" xfId="38301" xr:uid="{00000000-0005-0000-0000-00004D980000}"/>
    <cellStyle name="40% - Accent6 7 3 4 4" xfId="27000" xr:uid="{00000000-0005-0000-0000-00004E980000}"/>
    <cellStyle name="40% - Accent6 7 3 5" xfId="7195" xr:uid="{00000000-0005-0000-0000-00004F980000}"/>
    <cellStyle name="40% - Accent6 7 3 5 2" xfId="18496" xr:uid="{00000000-0005-0000-0000-000050980000}"/>
    <cellStyle name="40% - Accent6 7 3 5 2 2" xfId="41098" xr:uid="{00000000-0005-0000-0000-000051980000}"/>
    <cellStyle name="40% - Accent6 7 3 5 3" xfId="29797" xr:uid="{00000000-0005-0000-0000-000052980000}"/>
    <cellStyle name="40% - Accent6 7 3 6" xfId="12846" xr:uid="{00000000-0005-0000-0000-000053980000}"/>
    <cellStyle name="40% - Accent6 7 3 6 2" xfId="35448" xr:uid="{00000000-0005-0000-0000-000054980000}"/>
    <cellStyle name="40% - Accent6 7 3 7" xfId="24147" xr:uid="{00000000-0005-0000-0000-000055980000}"/>
    <cellStyle name="40% - Accent6 7 4" xfId="907" xr:uid="{00000000-0005-0000-0000-000056980000}"/>
    <cellStyle name="40% - Accent6 7 4 2" xfId="2977" xr:uid="{00000000-0005-0000-0000-000057980000}"/>
    <cellStyle name="40% - Accent6 7 4 2 2" xfId="5949" xr:uid="{00000000-0005-0000-0000-000058980000}"/>
    <cellStyle name="40% - Accent6 7 4 2 2 2" xfId="11599" xr:uid="{00000000-0005-0000-0000-000059980000}"/>
    <cellStyle name="40% - Accent6 7 4 2 2 2 2" xfId="22900" xr:uid="{00000000-0005-0000-0000-00005A980000}"/>
    <cellStyle name="40% - Accent6 7 4 2 2 2 2 2" xfId="45502" xr:uid="{00000000-0005-0000-0000-00005B980000}"/>
    <cellStyle name="40% - Accent6 7 4 2 2 2 3" xfId="34201" xr:uid="{00000000-0005-0000-0000-00005C980000}"/>
    <cellStyle name="40% - Accent6 7 4 2 2 3" xfId="17250" xr:uid="{00000000-0005-0000-0000-00005D980000}"/>
    <cellStyle name="40% - Accent6 7 4 2 2 3 2" xfId="39852" xr:uid="{00000000-0005-0000-0000-00005E980000}"/>
    <cellStyle name="40% - Accent6 7 4 2 2 4" xfId="28551" xr:uid="{00000000-0005-0000-0000-00005F980000}"/>
    <cellStyle name="40% - Accent6 7 4 2 3" xfId="8767" xr:uid="{00000000-0005-0000-0000-000060980000}"/>
    <cellStyle name="40% - Accent6 7 4 2 3 2" xfId="20068" xr:uid="{00000000-0005-0000-0000-000061980000}"/>
    <cellStyle name="40% - Accent6 7 4 2 3 2 2" xfId="42670" xr:uid="{00000000-0005-0000-0000-000062980000}"/>
    <cellStyle name="40% - Accent6 7 4 2 3 3" xfId="31369" xr:uid="{00000000-0005-0000-0000-000063980000}"/>
    <cellStyle name="40% - Accent6 7 4 2 4" xfId="14418" xr:uid="{00000000-0005-0000-0000-000064980000}"/>
    <cellStyle name="40% - Accent6 7 4 2 4 2" xfId="37020" xr:uid="{00000000-0005-0000-0000-000065980000}"/>
    <cellStyle name="40% - Accent6 7 4 2 5" xfId="25719" xr:uid="{00000000-0005-0000-0000-000066980000}"/>
    <cellStyle name="40% - Accent6 7 4 3" xfId="4715" xr:uid="{00000000-0005-0000-0000-000067980000}"/>
    <cellStyle name="40% - Accent6 7 4 3 2" xfId="10365" xr:uid="{00000000-0005-0000-0000-000068980000}"/>
    <cellStyle name="40% - Accent6 7 4 3 2 2" xfId="21666" xr:uid="{00000000-0005-0000-0000-000069980000}"/>
    <cellStyle name="40% - Accent6 7 4 3 2 2 2" xfId="44268" xr:uid="{00000000-0005-0000-0000-00006A980000}"/>
    <cellStyle name="40% - Accent6 7 4 3 2 3" xfId="32967" xr:uid="{00000000-0005-0000-0000-00006B980000}"/>
    <cellStyle name="40% - Accent6 7 4 3 3" xfId="16016" xr:uid="{00000000-0005-0000-0000-00006C980000}"/>
    <cellStyle name="40% - Accent6 7 4 3 3 2" xfId="38618" xr:uid="{00000000-0005-0000-0000-00006D980000}"/>
    <cellStyle name="40% - Accent6 7 4 3 4" xfId="27317" xr:uid="{00000000-0005-0000-0000-00006E980000}"/>
    <cellStyle name="40% - Accent6 7 4 4" xfId="6902" xr:uid="{00000000-0005-0000-0000-00006F980000}"/>
    <cellStyle name="40% - Accent6 7 4 4 2" xfId="18203" xr:uid="{00000000-0005-0000-0000-000070980000}"/>
    <cellStyle name="40% - Accent6 7 4 4 2 2" xfId="40805" xr:uid="{00000000-0005-0000-0000-000071980000}"/>
    <cellStyle name="40% - Accent6 7 4 4 3" xfId="29504" xr:uid="{00000000-0005-0000-0000-000072980000}"/>
    <cellStyle name="40% - Accent6 7 4 5" xfId="12553" xr:uid="{00000000-0005-0000-0000-000073980000}"/>
    <cellStyle name="40% - Accent6 7 4 5 2" xfId="35155" xr:uid="{00000000-0005-0000-0000-000074980000}"/>
    <cellStyle name="40% - Accent6 7 4 6" xfId="23854" xr:uid="{00000000-0005-0000-0000-000075980000}"/>
    <cellStyle name="40% - Accent6 7 5" xfId="2070" xr:uid="{00000000-0005-0000-0000-000076980000}"/>
    <cellStyle name="40% - Accent6 7 5 2" xfId="3839" xr:uid="{00000000-0005-0000-0000-000077980000}"/>
    <cellStyle name="40% - Accent6 7 5 2 2" xfId="9547" xr:uid="{00000000-0005-0000-0000-000078980000}"/>
    <cellStyle name="40% - Accent6 7 5 2 2 2" xfId="20848" xr:uid="{00000000-0005-0000-0000-000079980000}"/>
    <cellStyle name="40% - Accent6 7 5 2 2 2 2" xfId="43450" xr:uid="{00000000-0005-0000-0000-00007A980000}"/>
    <cellStyle name="40% - Accent6 7 5 2 2 3" xfId="32149" xr:uid="{00000000-0005-0000-0000-00007B980000}"/>
    <cellStyle name="40% - Accent6 7 5 2 3" xfId="15198" xr:uid="{00000000-0005-0000-0000-00007C980000}"/>
    <cellStyle name="40% - Accent6 7 5 2 3 2" xfId="37800" xr:uid="{00000000-0005-0000-0000-00007D980000}"/>
    <cellStyle name="40% - Accent6 7 5 2 4" xfId="26499" xr:uid="{00000000-0005-0000-0000-00007E980000}"/>
    <cellStyle name="40% - Accent6 7 5 3" xfId="5325" xr:uid="{00000000-0005-0000-0000-00007F980000}"/>
    <cellStyle name="40% - Accent6 7 5 3 2" xfId="10975" xr:uid="{00000000-0005-0000-0000-000080980000}"/>
    <cellStyle name="40% - Accent6 7 5 3 2 2" xfId="22276" xr:uid="{00000000-0005-0000-0000-000081980000}"/>
    <cellStyle name="40% - Accent6 7 5 3 2 2 2" xfId="44878" xr:uid="{00000000-0005-0000-0000-000082980000}"/>
    <cellStyle name="40% - Accent6 7 5 3 2 3" xfId="33577" xr:uid="{00000000-0005-0000-0000-000083980000}"/>
    <cellStyle name="40% - Accent6 7 5 3 3" xfId="16626" xr:uid="{00000000-0005-0000-0000-000084980000}"/>
    <cellStyle name="40% - Accent6 7 5 3 3 2" xfId="39228" xr:uid="{00000000-0005-0000-0000-000085980000}"/>
    <cellStyle name="40% - Accent6 7 5 3 4" xfId="27927" xr:uid="{00000000-0005-0000-0000-000086980000}"/>
    <cellStyle name="40% - Accent6 7 5 4" xfId="7926" xr:uid="{00000000-0005-0000-0000-000087980000}"/>
    <cellStyle name="40% - Accent6 7 5 4 2" xfId="19227" xr:uid="{00000000-0005-0000-0000-000088980000}"/>
    <cellStyle name="40% - Accent6 7 5 4 2 2" xfId="41829" xr:uid="{00000000-0005-0000-0000-000089980000}"/>
    <cellStyle name="40% - Accent6 7 5 4 3" xfId="30528" xr:uid="{00000000-0005-0000-0000-00008A980000}"/>
    <cellStyle name="40% - Accent6 7 5 5" xfId="13577" xr:uid="{00000000-0005-0000-0000-00008B980000}"/>
    <cellStyle name="40% - Accent6 7 5 5 2" xfId="36179" xr:uid="{00000000-0005-0000-0000-00008C980000}"/>
    <cellStyle name="40% - Accent6 7 5 6" xfId="24878" xr:uid="{00000000-0005-0000-0000-00008D980000}"/>
    <cellStyle name="40% - Accent6 7 6" xfId="2304" xr:uid="{00000000-0005-0000-0000-00008E980000}"/>
    <cellStyle name="40% - Accent6 7 6 2" xfId="8140" xr:uid="{00000000-0005-0000-0000-00008F980000}"/>
    <cellStyle name="40% - Accent6 7 6 2 2" xfId="19441" xr:uid="{00000000-0005-0000-0000-000090980000}"/>
    <cellStyle name="40% - Accent6 7 6 2 2 2" xfId="42043" xr:uid="{00000000-0005-0000-0000-000091980000}"/>
    <cellStyle name="40% - Accent6 7 6 2 3" xfId="30742" xr:uid="{00000000-0005-0000-0000-000092980000}"/>
    <cellStyle name="40% - Accent6 7 6 3" xfId="13791" xr:uid="{00000000-0005-0000-0000-000093980000}"/>
    <cellStyle name="40% - Accent6 7 6 3 2" xfId="36393" xr:uid="{00000000-0005-0000-0000-000094980000}"/>
    <cellStyle name="40% - Accent6 7 6 4" xfId="25092" xr:uid="{00000000-0005-0000-0000-000095980000}"/>
    <cellStyle name="40% - Accent6 7 7" xfId="4091" xr:uid="{00000000-0005-0000-0000-000096980000}"/>
    <cellStyle name="40% - Accent6 7 7 2" xfId="9741" xr:uid="{00000000-0005-0000-0000-000097980000}"/>
    <cellStyle name="40% - Accent6 7 7 2 2" xfId="21042" xr:uid="{00000000-0005-0000-0000-000098980000}"/>
    <cellStyle name="40% - Accent6 7 7 2 2 2" xfId="43644" xr:uid="{00000000-0005-0000-0000-000099980000}"/>
    <cellStyle name="40% - Accent6 7 7 2 3" xfId="32343" xr:uid="{00000000-0005-0000-0000-00009A980000}"/>
    <cellStyle name="40% - Accent6 7 7 3" xfId="15392" xr:uid="{00000000-0005-0000-0000-00009B980000}"/>
    <cellStyle name="40% - Accent6 7 7 3 2" xfId="37994" xr:uid="{00000000-0005-0000-0000-00009C980000}"/>
    <cellStyle name="40% - Accent6 7 7 4" xfId="26693" xr:uid="{00000000-0005-0000-0000-00009D980000}"/>
    <cellStyle name="40% - Accent6 7 8" xfId="6542" xr:uid="{00000000-0005-0000-0000-00009E980000}"/>
    <cellStyle name="40% - Accent6 7 8 2" xfId="17843" xr:uid="{00000000-0005-0000-0000-00009F980000}"/>
    <cellStyle name="40% - Accent6 7 8 2 2" xfId="40445" xr:uid="{00000000-0005-0000-0000-0000A0980000}"/>
    <cellStyle name="40% - Accent6 7 8 3" xfId="29144" xr:uid="{00000000-0005-0000-0000-0000A1980000}"/>
    <cellStyle name="40% - Accent6 7 9" xfId="12193" xr:uid="{00000000-0005-0000-0000-0000A2980000}"/>
    <cellStyle name="40% - Accent6 7 9 2" xfId="34795" xr:uid="{00000000-0005-0000-0000-0000A3980000}"/>
    <cellStyle name="40% - Accent6 8" xfId="502" xr:uid="{00000000-0005-0000-0000-0000A4980000}"/>
    <cellStyle name="40% - Accent6 8 2" xfId="1273" xr:uid="{00000000-0005-0000-0000-0000A5980000}"/>
    <cellStyle name="40% - Accent6 8 2 2" xfId="2075" xr:uid="{00000000-0005-0000-0000-0000A6980000}"/>
    <cellStyle name="40% - Accent6 8 2 2 2" xfId="3342" xr:uid="{00000000-0005-0000-0000-0000A7980000}"/>
    <cellStyle name="40% - Accent6 8 2 2 2 2" xfId="6314" xr:uid="{00000000-0005-0000-0000-0000A8980000}"/>
    <cellStyle name="40% - Accent6 8 2 2 2 2 2" xfId="11964" xr:uid="{00000000-0005-0000-0000-0000A9980000}"/>
    <cellStyle name="40% - Accent6 8 2 2 2 2 2 2" xfId="23265" xr:uid="{00000000-0005-0000-0000-0000AA980000}"/>
    <cellStyle name="40% - Accent6 8 2 2 2 2 2 2 2" xfId="45867" xr:uid="{00000000-0005-0000-0000-0000AB980000}"/>
    <cellStyle name="40% - Accent6 8 2 2 2 2 2 3" xfId="34566" xr:uid="{00000000-0005-0000-0000-0000AC980000}"/>
    <cellStyle name="40% - Accent6 8 2 2 2 2 3" xfId="17615" xr:uid="{00000000-0005-0000-0000-0000AD980000}"/>
    <cellStyle name="40% - Accent6 8 2 2 2 2 3 2" xfId="40217" xr:uid="{00000000-0005-0000-0000-0000AE980000}"/>
    <cellStyle name="40% - Accent6 8 2 2 2 2 4" xfId="28916" xr:uid="{00000000-0005-0000-0000-0000AF980000}"/>
    <cellStyle name="40% - Accent6 8 2 2 2 3" xfId="9132" xr:uid="{00000000-0005-0000-0000-0000B0980000}"/>
    <cellStyle name="40% - Accent6 8 2 2 2 3 2" xfId="20433" xr:uid="{00000000-0005-0000-0000-0000B1980000}"/>
    <cellStyle name="40% - Accent6 8 2 2 2 3 2 2" xfId="43035" xr:uid="{00000000-0005-0000-0000-0000B2980000}"/>
    <cellStyle name="40% - Accent6 8 2 2 2 3 3" xfId="31734" xr:uid="{00000000-0005-0000-0000-0000B3980000}"/>
    <cellStyle name="40% - Accent6 8 2 2 2 4" xfId="14783" xr:uid="{00000000-0005-0000-0000-0000B4980000}"/>
    <cellStyle name="40% - Accent6 8 2 2 2 4 2" xfId="37385" xr:uid="{00000000-0005-0000-0000-0000B5980000}"/>
    <cellStyle name="40% - Accent6 8 2 2 2 5" xfId="26084" xr:uid="{00000000-0005-0000-0000-0000B6980000}"/>
    <cellStyle name="40% - Accent6 8 2 2 3" xfId="5080" xr:uid="{00000000-0005-0000-0000-0000B7980000}"/>
    <cellStyle name="40% - Accent6 8 2 2 3 2" xfId="10730" xr:uid="{00000000-0005-0000-0000-0000B8980000}"/>
    <cellStyle name="40% - Accent6 8 2 2 3 2 2" xfId="22031" xr:uid="{00000000-0005-0000-0000-0000B9980000}"/>
    <cellStyle name="40% - Accent6 8 2 2 3 2 2 2" xfId="44633" xr:uid="{00000000-0005-0000-0000-0000BA980000}"/>
    <cellStyle name="40% - Accent6 8 2 2 3 2 3" xfId="33332" xr:uid="{00000000-0005-0000-0000-0000BB980000}"/>
    <cellStyle name="40% - Accent6 8 2 2 3 3" xfId="16381" xr:uid="{00000000-0005-0000-0000-0000BC980000}"/>
    <cellStyle name="40% - Accent6 8 2 2 3 3 2" xfId="38983" xr:uid="{00000000-0005-0000-0000-0000BD980000}"/>
    <cellStyle name="40% - Accent6 8 2 2 3 4" xfId="27682" xr:uid="{00000000-0005-0000-0000-0000BE980000}"/>
    <cellStyle name="40% - Accent6 8 2 2 4" xfId="7931" xr:uid="{00000000-0005-0000-0000-0000BF980000}"/>
    <cellStyle name="40% - Accent6 8 2 2 4 2" xfId="19232" xr:uid="{00000000-0005-0000-0000-0000C0980000}"/>
    <cellStyle name="40% - Accent6 8 2 2 4 2 2" xfId="41834" xr:uid="{00000000-0005-0000-0000-0000C1980000}"/>
    <cellStyle name="40% - Accent6 8 2 2 4 3" xfId="30533" xr:uid="{00000000-0005-0000-0000-0000C2980000}"/>
    <cellStyle name="40% - Accent6 8 2 2 5" xfId="13582" xr:uid="{00000000-0005-0000-0000-0000C3980000}"/>
    <cellStyle name="40% - Accent6 8 2 2 5 2" xfId="36184" xr:uid="{00000000-0005-0000-0000-0000C4980000}"/>
    <cellStyle name="40% - Accent6 8 2 2 6" xfId="24883" xr:uid="{00000000-0005-0000-0000-0000C5980000}"/>
    <cellStyle name="40% - Accent6 8 2 3" xfId="2671" xr:uid="{00000000-0005-0000-0000-0000C6980000}"/>
    <cellStyle name="40% - Accent6 8 2 3 2" xfId="5690" xr:uid="{00000000-0005-0000-0000-0000C7980000}"/>
    <cellStyle name="40% - Accent6 8 2 3 2 2" xfId="11340" xr:uid="{00000000-0005-0000-0000-0000C8980000}"/>
    <cellStyle name="40% - Accent6 8 2 3 2 2 2" xfId="22641" xr:uid="{00000000-0005-0000-0000-0000C9980000}"/>
    <cellStyle name="40% - Accent6 8 2 3 2 2 2 2" xfId="45243" xr:uid="{00000000-0005-0000-0000-0000CA980000}"/>
    <cellStyle name="40% - Accent6 8 2 3 2 2 3" xfId="33942" xr:uid="{00000000-0005-0000-0000-0000CB980000}"/>
    <cellStyle name="40% - Accent6 8 2 3 2 3" xfId="16991" xr:uid="{00000000-0005-0000-0000-0000CC980000}"/>
    <cellStyle name="40% - Accent6 8 2 3 2 3 2" xfId="39593" xr:uid="{00000000-0005-0000-0000-0000CD980000}"/>
    <cellStyle name="40% - Accent6 8 2 3 2 4" xfId="28292" xr:uid="{00000000-0005-0000-0000-0000CE980000}"/>
    <cellStyle name="40% - Accent6 8 2 3 3" xfId="8507" xr:uid="{00000000-0005-0000-0000-0000CF980000}"/>
    <cellStyle name="40% - Accent6 8 2 3 3 2" xfId="19808" xr:uid="{00000000-0005-0000-0000-0000D0980000}"/>
    <cellStyle name="40% - Accent6 8 2 3 3 2 2" xfId="42410" xr:uid="{00000000-0005-0000-0000-0000D1980000}"/>
    <cellStyle name="40% - Accent6 8 2 3 3 3" xfId="31109" xr:uid="{00000000-0005-0000-0000-0000D2980000}"/>
    <cellStyle name="40% - Accent6 8 2 3 4" xfId="14158" xr:uid="{00000000-0005-0000-0000-0000D3980000}"/>
    <cellStyle name="40% - Accent6 8 2 3 4 2" xfId="36760" xr:uid="{00000000-0005-0000-0000-0000D4980000}"/>
    <cellStyle name="40% - Accent6 8 2 3 5" xfId="25459" xr:uid="{00000000-0005-0000-0000-0000D5980000}"/>
    <cellStyle name="40% - Accent6 8 2 4" xfId="4456" xr:uid="{00000000-0005-0000-0000-0000D6980000}"/>
    <cellStyle name="40% - Accent6 8 2 4 2" xfId="10106" xr:uid="{00000000-0005-0000-0000-0000D7980000}"/>
    <cellStyle name="40% - Accent6 8 2 4 2 2" xfId="21407" xr:uid="{00000000-0005-0000-0000-0000D8980000}"/>
    <cellStyle name="40% - Accent6 8 2 4 2 2 2" xfId="44009" xr:uid="{00000000-0005-0000-0000-0000D9980000}"/>
    <cellStyle name="40% - Accent6 8 2 4 2 3" xfId="32708" xr:uid="{00000000-0005-0000-0000-0000DA980000}"/>
    <cellStyle name="40% - Accent6 8 2 4 3" xfId="15757" xr:uid="{00000000-0005-0000-0000-0000DB980000}"/>
    <cellStyle name="40% - Accent6 8 2 4 3 2" xfId="38359" xr:uid="{00000000-0005-0000-0000-0000DC980000}"/>
    <cellStyle name="40% - Accent6 8 2 4 4" xfId="27058" xr:uid="{00000000-0005-0000-0000-0000DD980000}"/>
    <cellStyle name="40% - Accent6 8 2 5" xfId="7252" xr:uid="{00000000-0005-0000-0000-0000DE980000}"/>
    <cellStyle name="40% - Accent6 8 2 5 2" xfId="18553" xr:uid="{00000000-0005-0000-0000-0000DF980000}"/>
    <cellStyle name="40% - Accent6 8 2 5 2 2" xfId="41155" xr:uid="{00000000-0005-0000-0000-0000E0980000}"/>
    <cellStyle name="40% - Accent6 8 2 5 3" xfId="29854" xr:uid="{00000000-0005-0000-0000-0000E1980000}"/>
    <cellStyle name="40% - Accent6 8 2 6" xfId="12903" xr:uid="{00000000-0005-0000-0000-0000E2980000}"/>
    <cellStyle name="40% - Accent6 8 2 6 2" xfId="35505" xr:uid="{00000000-0005-0000-0000-0000E3980000}"/>
    <cellStyle name="40% - Accent6 8 2 7" xfId="24204" xr:uid="{00000000-0005-0000-0000-0000E4980000}"/>
    <cellStyle name="40% - Accent6 8 3" xfId="970" xr:uid="{00000000-0005-0000-0000-0000E5980000}"/>
    <cellStyle name="40% - Accent6 8 3 2" xfId="3034" xr:uid="{00000000-0005-0000-0000-0000E6980000}"/>
    <cellStyle name="40% - Accent6 8 3 2 2" xfId="6006" xr:uid="{00000000-0005-0000-0000-0000E7980000}"/>
    <cellStyle name="40% - Accent6 8 3 2 2 2" xfId="11656" xr:uid="{00000000-0005-0000-0000-0000E8980000}"/>
    <cellStyle name="40% - Accent6 8 3 2 2 2 2" xfId="22957" xr:uid="{00000000-0005-0000-0000-0000E9980000}"/>
    <cellStyle name="40% - Accent6 8 3 2 2 2 2 2" xfId="45559" xr:uid="{00000000-0005-0000-0000-0000EA980000}"/>
    <cellStyle name="40% - Accent6 8 3 2 2 2 3" xfId="34258" xr:uid="{00000000-0005-0000-0000-0000EB980000}"/>
    <cellStyle name="40% - Accent6 8 3 2 2 3" xfId="17307" xr:uid="{00000000-0005-0000-0000-0000EC980000}"/>
    <cellStyle name="40% - Accent6 8 3 2 2 3 2" xfId="39909" xr:uid="{00000000-0005-0000-0000-0000ED980000}"/>
    <cellStyle name="40% - Accent6 8 3 2 2 4" xfId="28608" xr:uid="{00000000-0005-0000-0000-0000EE980000}"/>
    <cellStyle name="40% - Accent6 8 3 2 3" xfId="8824" xr:uid="{00000000-0005-0000-0000-0000EF980000}"/>
    <cellStyle name="40% - Accent6 8 3 2 3 2" xfId="20125" xr:uid="{00000000-0005-0000-0000-0000F0980000}"/>
    <cellStyle name="40% - Accent6 8 3 2 3 2 2" xfId="42727" xr:uid="{00000000-0005-0000-0000-0000F1980000}"/>
    <cellStyle name="40% - Accent6 8 3 2 3 3" xfId="31426" xr:uid="{00000000-0005-0000-0000-0000F2980000}"/>
    <cellStyle name="40% - Accent6 8 3 2 4" xfId="14475" xr:uid="{00000000-0005-0000-0000-0000F3980000}"/>
    <cellStyle name="40% - Accent6 8 3 2 4 2" xfId="37077" xr:uid="{00000000-0005-0000-0000-0000F4980000}"/>
    <cellStyle name="40% - Accent6 8 3 2 5" xfId="25776" xr:uid="{00000000-0005-0000-0000-0000F5980000}"/>
    <cellStyle name="40% - Accent6 8 3 3" xfId="4772" xr:uid="{00000000-0005-0000-0000-0000F6980000}"/>
    <cellStyle name="40% - Accent6 8 3 3 2" xfId="10422" xr:uid="{00000000-0005-0000-0000-0000F7980000}"/>
    <cellStyle name="40% - Accent6 8 3 3 2 2" xfId="21723" xr:uid="{00000000-0005-0000-0000-0000F8980000}"/>
    <cellStyle name="40% - Accent6 8 3 3 2 2 2" xfId="44325" xr:uid="{00000000-0005-0000-0000-0000F9980000}"/>
    <cellStyle name="40% - Accent6 8 3 3 2 3" xfId="33024" xr:uid="{00000000-0005-0000-0000-0000FA980000}"/>
    <cellStyle name="40% - Accent6 8 3 3 3" xfId="16073" xr:uid="{00000000-0005-0000-0000-0000FB980000}"/>
    <cellStyle name="40% - Accent6 8 3 3 3 2" xfId="38675" xr:uid="{00000000-0005-0000-0000-0000FC980000}"/>
    <cellStyle name="40% - Accent6 8 3 3 4" xfId="27374" xr:uid="{00000000-0005-0000-0000-0000FD980000}"/>
    <cellStyle name="40% - Accent6 8 3 4" xfId="6959" xr:uid="{00000000-0005-0000-0000-0000FE980000}"/>
    <cellStyle name="40% - Accent6 8 3 4 2" xfId="18260" xr:uid="{00000000-0005-0000-0000-0000FF980000}"/>
    <cellStyle name="40% - Accent6 8 3 4 2 2" xfId="40862" xr:uid="{00000000-0005-0000-0000-000000990000}"/>
    <cellStyle name="40% - Accent6 8 3 4 3" xfId="29561" xr:uid="{00000000-0005-0000-0000-000001990000}"/>
    <cellStyle name="40% - Accent6 8 3 5" xfId="12610" xr:uid="{00000000-0005-0000-0000-000002990000}"/>
    <cellStyle name="40% - Accent6 8 3 5 2" xfId="35212" xr:uid="{00000000-0005-0000-0000-000003990000}"/>
    <cellStyle name="40% - Accent6 8 3 6" xfId="23911" xr:uid="{00000000-0005-0000-0000-000004990000}"/>
    <cellStyle name="40% - Accent6 8 4" xfId="2074" xr:uid="{00000000-0005-0000-0000-000005990000}"/>
    <cellStyle name="40% - Accent6 8 4 2" xfId="3841" xr:uid="{00000000-0005-0000-0000-000006990000}"/>
    <cellStyle name="40% - Accent6 8 4 2 2" xfId="9549" xr:uid="{00000000-0005-0000-0000-000007990000}"/>
    <cellStyle name="40% - Accent6 8 4 2 2 2" xfId="20850" xr:uid="{00000000-0005-0000-0000-000008990000}"/>
    <cellStyle name="40% - Accent6 8 4 2 2 2 2" xfId="43452" xr:uid="{00000000-0005-0000-0000-000009990000}"/>
    <cellStyle name="40% - Accent6 8 4 2 2 3" xfId="32151" xr:uid="{00000000-0005-0000-0000-00000A990000}"/>
    <cellStyle name="40% - Accent6 8 4 2 3" xfId="15200" xr:uid="{00000000-0005-0000-0000-00000B990000}"/>
    <cellStyle name="40% - Accent6 8 4 2 3 2" xfId="37802" xr:uid="{00000000-0005-0000-0000-00000C990000}"/>
    <cellStyle name="40% - Accent6 8 4 2 4" xfId="26501" xr:uid="{00000000-0005-0000-0000-00000D990000}"/>
    <cellStyle name="40% - Accent6 8 4 3" xfId="5382" xr:uid="{00000000-0005-0000-0000-00000E990000}"/>
    <cellStyle name="40% - Accent6 8 4 3 2" xfId="11032" xr:uid="{00000000-0005-0000-0000-00000F990000}"/>
    <cellStyle name="40% - Accent6 8 4 3 2 2" xfId="22333" xr:uid="{00000000-0005-0000-0000-000010990000}"/>
    <cellStyle name="40% - Accent6 8 4 3 2 2 2" xfId="44935" xr:uid="{00000000-0005-0000-0000-000011990000}"/>
    <cellStyle name="40% - Accent6 8 4 3 2 3" xfId="33634" xr:uid="{00000000-0005-0000-0000-000012990000}"/>
    <cellStyle name="40% - Accent6 8 4 3 3" xfId="16683" xr:uid="{00000000-0005-0000-0000-000013990000}"/>
    <cellStyle name="40% - Accent6 8 4 3 3 2" xfId="39285" xr:uid="{00000000-0005-0000-0000-000014990000}"/>
    <cellStyle name="40% - Accent6 8 4 3 4" xfId="27984" xr:uid="{00000000-0005-0000-0000-000015990000}"/>
    <cellStyle name="40% - Accent6 8 4 4" xfId="7930" xr:uid="{00000000-0005-0000-0000-000016990000}"/>
    <cellStyle name="40% - Accent6 8 4 4 2" xfId="19231" xr:uid="{00000000-0005-0000-0000-000017990000}"/>
    <cellStyle name="40% - Accent6 8 4 4 2 2" xfId="41833" xr:uid="{00000000-0005-0000-0000-000018990000}"/>
    <cellStyle name="40% - Accent6 8 4 4 3" xfId="30532" xr:uid="{00000000-0005-0000-0000-000019990000}"/>
    <cellStyle name="40% - Accent6 8 4 5" xfId="13581" xr:uid="{00000000-0005-0000-0000-00001A990000}"/>
    <cellStyle name="40% - Accent6 8 4 5 2" xfId="36183" xr:uid="{00000000-0005-0000-0000-00001B990000}"/>
    <cellStyle name="40% - Accent6 8 4 6" xfId="24882" xr:uid="{00000000-0005-0000-0000-00001C990000}"/>
    <cellStyle name="40% - Accent6 8 5" xfId="2363" xr:uid="{00000000-0005-0000-0000-00001D990000}"/>
    <cellStyle name="40% - Accent6 8 5 2" xfId="8199" xr:uid="{00000000-0005-0000-0000-00001E990000}"/>
    <cellStyle name="40% - Accent6 8 5 2 2" xfId="19500" xr:uid="{00000000-0005-0000-0000-00001F990000}"/>
    <cellStyle name="40% - Accent6 8 5 2 2 2" xfId="42102" xr:uid="{00000000-0005-0000-0000-000020990000}"/>
    <cellStyle name="40% - Accent6 8 5 2 3" xfId="30801" xr:uid="{00000000-0005-0000-0000-000021990000}"/>
    <cellStyle name="40% - Accent6 8 5 3" xfId="13850" xr:uid="{00000000-0005-0000-0000-000022990000}"/>
    <cellStyle name="40% - Accent6 8 5 3 2" xfId="36452" xr:uid="{00000000-0005-0000-0000-000023990000}"/>
    <cellStyle name="40% - Accent6 8 5 4" xfId="25151" xr:uid="{00000000-0005-0000-0000-000024990000}"/>
    <cellStyle name="40% - Accent6 8 6" xfId="4148" xr:uid="{00000000-0005-0000-0000-000025990000}"/>
    <cellStyle name="40% - Accent6 8 6 2" xfId="9798" xr:uid="{00000000-0005-0000-0000-000026990000}"/>
    <cellStyle name="40% - Accent6 8 6 2 2" xfId="21099" xr:uid="{00000000-0005-0000-0000-000027990000}"/>
    <cellStyle name="40% - Accent6 8 6 2 2 2" xfId="43701" xr:uid="{00000000-0005-0000-0000-000028990000}"/>
    <cellStyle name="40% - Accent6 8 6 2 3" xfId="32400" xr:uid="{00000000-0005-0000-0000-000029990000}"/>
    <cellStyle name="40% - Accent6 8 6 3" xfId="15449" xr:uid="{00000000-0005-0000-0000-00002A990000}"/>
    <cellStyle name="40% - Accent6 8 6 3 2" xfId="38051" xr:uid="{00000000-0005-0000-0000-00002B990000}"/>
    <cellStyle name="40% - Accent6 8 6 4" xfId="26750" xr:uid="{00000000-0005-0000-0000-00002C990000}"/>
    <cellStyle name="40% - Accent6 8 7" xfId="6599" xr:uid="{00000000-0005-0000-0000-00002D990000}"/>
    <cellStyle name="40% - Accent6 8 7 2" xfId="17900" xr:uid="{00000000-0005-0000-0000-00002E990000}"/>
    <cellStyle name="40% - Accent6 8 7 2 2" xfId="40502" xr:uid="{00000000-0005-0000-0000-00002F990000}"/>
    <cellStyle name="40% - Accent6 8 7 3" xfId="29201" xr:uid="{00000000-0005-0000-0000-000030990000}"/>
    <cellStyle name="40% - Accent6 8 8" xfId="12250" xr:uid="{00000000-0005-0000-0000-000031990000}"/>
    <cellStyle name="40% - Accent6 8 8 2" xfId="34852" xr:uid="{00000000-0005-0000-0000-000032990000}"/>
    <cellStyle name="40% - Accent6 8 9" xfId="23551" xr:uid="{00000000-0005-0000-0000-000033990000}"/>
    <cellStyle name="40% - Accent6 9" xfId="704" xr:uid="{00000000-0005-0000-0000-000034990000}"/>
    <cellStyle name="40% - Accent6 9 2" xfId="769" xr:uid="{00000000-0005-0000-0000-000035990000}"/>
    <cellStyle name="40% - Accent6 9 2 2" xfId="3174" xr:uid="{00000000-0005-0000-0000-000036990000}"/>
    <cellStyle name="40% - Accent6 9 2 2 2" xfId="6146" xr:uid="{00000000-0005-0000-0000-000037990000}"/>
    <cellStyle name="40% - Accent6 9 2 2 2 2" xfId="11796" xr:uid="{00000000-0005-0000-0000-000038990000}"/>
    <cellStyle name="40% - Accent6 9 2 2 2 2 2" xfId="23097" xr:uid="{00000000-0005-0000-0000-000039990000}"/>
    <cellStyle name="40% - Accent6 9 2 2 2 2 2 2" xfId="45699" xr:uid="{00000000-0005-0000-0000-00003A990000}"/>
    <cellStyle name="40% - Accent6 9 2 2 2 2 3" xfId="34398" xr:uid="{00000000-0005-0000-0000-00003B990000}"/>
    <cellStyle name="40% - Accent6 9 2 2 2 3" xfId="17447" xr:uid="{00000000-0005-0000-0000-00003C990000}"/>
    <cellStyle name="40% - Accent6 9 2 2 2 3 2" xfId="40049" xr:uid="{00000000-0005-0000-0000-00003D990000}"/>
    <cellStyle name="40% - Accent6 9 2 2 2 4" xfId="28748" xr:uid="{00000000-0005-0000-0000-00003E990000}"/>
    <cellStyle name="40% - Accent6 9 2 2 3" xfId="8964" xr:uid="{00000000-0005-0000-0000-00003F990000}"/>
    <cellStyle name="40% - Accent6 9 2 2 3 2" xfId="20265" xr:uid="{00000000-0005-0000-0000-000040990000}"/>
    <cellStyle name="40% - Accent6 9 2 2 3 2 2" xfId="42867" xr:uid="{00000000-0005-0000-0000-000041990000}"/>
    <cellStyle name="40% - Accent6 9 2 2 3 3" xfId="31566" xr:uid="{00000000-0005-0000-0000-000042990000}"/>
    <cellStyle name="40% - Accent6 9 2 2 4" xfId="14615" xr:uid="{00000000-0005-0000-0000-000043990000}"/>
    <cellStyle name="40% - Accent6 9 2 2 4 2" xfId="37217" xr:uid="{00000000-0005-0000-0000-000044990000}"/>
    <cellStyle name="40% - Accent6 9 2 2 5" xfId="25916" xr:uid="{00000000-0005-0000-0000-000045990000}"/>
    <cellStyle name="40% - Accent6 9 2 3" xfId="4912" xr:uid="{00000000-0005-0000-0000-000046990000}"/>
    <cellStyle name="40% - Accent6 9 2 3 2" xfId="10562" xr:uid="{00000000-0005-0000-0000-000047990000}"/>
    <cellStyle name="40% - Accent6 9 2 3 2 2" xfId="21863" xr:uid="{00000000-0005-0000-0000-000048990000}"/>
    <cellStyle name="40% - Accent6 9 2 3 2 2 2" xfId="44465" xr:uid="{00000000-0005-0000-0000-000049990000}"/>
    <cellStyle name="40% - Accent6 9 2 3 2 3" xfId="33164" xr:uid="{00000000-0005-0000-0000-00004A990000}"/>
    <cellStyle name="40% - Accent6 9 2 3 3" xfId="16213" xr:uid="{00000000-0005-0000-0000-00004B990000}"/>
    <cellStyle name="40% - Accent6 9 2 3 3 2" xfId="38815" xr:uid="{00000000-0005-0000-0000-00004C990000}"/>
    <cellStyle name="40% - Accent6 9 2 3 4" xfId="27514" xr:uid="{00000000-0005-0000-0000-00004D990000}"/>
    <cellStyle name="40% - Accent6 9 2 4" xfId="6788" xr:uid="{00000000-0005-0000-0000-00004E990000}"/>
    <cellStyle name="40% - Accent6 9 2 4 2" xfId="18089" xr:uid="{00000000-0005-0000-0000-00004F990000}"/>
    <cellStyle name="40% - Accent6 9 2 4 2 2" xfId="40691" xr:uid="{00000000-0005-0000-0000-000050990000}"/>
    <cellStyle name="40% - Accent6 9 2 4 3" xfId="29390" xr:uid="{00000000-0005-0000-0000-000051990000}"/>
    <cellStyle name="40% - Accent6 9 2 5" xfId="12439" xr:uid="{00000000-0005-0000-0000-000052990000}"/>
    <cellStyle name="40% - Accent6 9 2 5 2" xfId="35041" xr:uid="{00000000-0005-0000-0000-000053990000}"/>
    <cellStyle name="40% - Accent6 9 2 6" xfId="23740" xr:uid="{00000000-0005-0000-0000-000054990000}"/>
    <cellStyle name="40% - Accent6 9 3" xfId="2076" xr:uid="{00000000-0005-0000-0000-000055990000}"/>
    <cellStyle name="40% - Accent6 9 3 2" xfId="3842" xr:uid="{00000000-0005-0000-0000-000056990000}"/>
    <cellStyle name="40% - Accent6 9 3 2 2" xfId="9550" xr:uid="{00000000-0005-0000-0000-000057990000}"/>
    <cellStyle name="40% - Accent6 9 3 2 2 2" xfId="20851" xr:uid="{00000000-0005-0000-0000-000058990000}"/>
    <cellStyle name="40% - Accent6 9 3 2 2 2 2" xfId="43453" xr:uid="{00000000-0005-0000-0000-000059990000}"/>
    <cellStyle name="40% - Accent6 9 3 2 2 3" xfId="32152" xr:uid="{00000000-0005-0000-0000-00005A990000}"/>
    <cellStyle name="40% - Accent6 9 3 2 3" xfId="15201" xr:uid="{00000000-0005-0000-0000-00005B990000}"/>
    <cellStyle name="40% - Accent6 9 3 2 3 2" xfId="37803" xr:uid="{00000000-0005-0000-0000-00005C990000}"/>
    <cellStyle name="40% - Accent6 9 3 2 4" xfId="26502" xr:uid="{00000000-0005-0000-0000-00005D990000}"/>
    <cellStyle name="40% - Accent6 9 3 3" xfId="5522" xr:uid="{00000000-0005-0000-0000-00005E990000}"/>
    <cellStyle name="40% - Accent6 9 3 3 2" xfId="11172" xr:uid="{00000000-0005-0000-0000-00005F990000}"/>
    <cellStyle name="40% - Accent6 9 3 3 2 2" xfId="22473" xr:uid="{00000000-0005-0000-0000-000060990000}"/>
    <cellStyle name="40% - Accent6 9 3 3 2 2 2" xfId="45075" xr:uid="{00000000-0005-0000-0000-000061990000}"/>
    <cellStyle name="40% - Accent6 9 3 3 2 3" xfId="33774" xr:uid="{00000000-0005-0000-0000-000062990000}"/>
    <cellStyle name="40% - Accent6 9 3 3 3" xfId="16823" xr:uid="{00000000-0005-0000-0000-000063990000}"/>
    <cellStyle name="40% - Accent6 9 3 3 3 2" xfId="39425" xr:uid="{00000000-0005-0000-0000-000064990000}"/>
    <cellStyle name="40% - Accent6 9 3 3 4" xfId="28124" xr:uid="{00000000-0005-0000-0000-000065990000}"/>
    <cellStyle name="40% - Accent6 9 3 4" xfId="7932" xr:uid="{00000000-0005-0000-0000-000066990000}"/>
    <cellStyle name="40% - Accent6 9 3 4 2" xfId="19233" xr:uid="{00000000-0005-0000-0000-000067990000}"/>
    <cellStyle name="40% - Accent6 9 3 4 2 2" xfId="41835" xr:uid="{00000000-0005-0000-0000-000068990000}"/>
    <cellStyle name="40% - Accent6 9 3 4 3" xfId="30534" xr:uid="{00000000-0005-0000-0000-000069990000}"/>
    <cellStyle name="40% - Accent6 9 3 5" xfId="13583" xr:uid="{00000000-0005-0000-0000-00006A990000}"/>
    <cellStyle name="40% - Accent6 9 3 5 2" xfId="36185" xr:uid="{00000000-0005-0000-0000-00006B990000}"/>
    <cellStyle name="40% - Accent6 9 3 6" xfId="24884" xr:uid="{00000000-0005-0000-0000-00006C990000}"/>
    <cellStyle name="40% - Accent6 9 4" xfId="2503" xr:uid="{00000000-0005-0000-0000-00006D990000}"/>
    <cellStyle name="40% - Accent6 9 4 2" xfId="8339" xr:uid="{00000000-0005-0000-0000-00006E990000}"/>
    <cellStyle name="40% - Accent6 9 4 2 2" xfId="19640" xr:uid="{00000000-0005-0000-0000-00006F990000}"/>
    <cellStyle name="40% - Accent6 9 4 2 2 2" xfId="42242" xr:uid="{00000000-0005-0000-0000-000070990000}"/>
    <cellStyle name="40% - Accent6 9 4 2 3" xfId="30941" xr:uid="{00000000-0005-0000-0000-000071990000}"/>
    <cellStyle name="40% - Accent6 9 4 3" xfId="13990" xr:uid="{00000000-0005-0000-0000-000072990000}"/>
    <cellStyle name="40% - Accent6 9 4 3 2" xfId="36592" xr:uid="{00000000-0005-0000-0000-000073990000}"/>
    <cellStyle name="40% - Accent6 9 4 4" xfId="25291" xr:uid="{00000000-0005-0000-0000-000074990000}"/>
    <cellStyle name="40% - Accent6 9 5" xfId="4288" xr:uid="{00000000-0005-0000-0000-000075990000}"/>
    <cellStyle name="40% - Accent6 9 5 2" xfId="9938" xr:uid="{00000000-0005-0000-0000-000076990000}"/>
    <cellStyle name="40% - Accent6 9 5 2 2" xfId="21239" xr:uid="{00000000-0005-0000-0000-000077990000}"/>
    <cellStyle name="40% - Accent6 9 5 2 2 2" xfId="43841" xr:uid="{00000000-0005-0000-0000-000078990000}"/>
    <cellStyle name="40% - Accent6 9 5 2 3" xfId="32540" xr:uid="{00000000-0005-0000-0000-000079990000}"/>
    <cellStyle name="40% - Accent6 9 5 3" xfId="15589" xr:uid="{00000000-0005-0000-0000-00007A990000}"/>
    <cellStyle name="40% - Accent6 9 5 3 2" xfId="38191" xr:uid="{00000000-0005-0000-0000-00007B990000}"/>
    <cellStyle name="40% - Accent6 9 5 4" xfId="26890" xr:uid="{00000000-0005-0000-0000-00007C990000}"/>
    <cellStyle name="40% - Accent6 9 6" xfId="6767" xr:uid="{00000000-0005-0000-0000-00007D990000}"/>
    <cellStyle name="40% - Accent6 9 6 2" xfId="18068" xr:uid="{00000000-0005-0000-0000-00007E990000}"/>
    <cellStyle name="40% - Accent6 9 6 2 2" xfId="40670" xr:uid="{00000000-0005-0000-0000-00007F990000}"/>
    <cellStyle name="40% - Accent6 9 6 3" xfId="29369" xr:uid="{00000000-0005-0000-0000-000080990000}"/>
    <cellStyle name="40% - Accent6 9 7" xfId="12418" xr:uid="{00000000-0005-0000-0000-000081990000}"/>
    <cellStyle name="40% - Accent6 9 7 2" xfId="35020" xr:uid="{00000000-0005-0000-0000-000082990000}"/>
    <cellStyle name="40% - Accent6 9 8" xfId="23719" xr:uid="{00000000-0005-0000-0000-000083990000}"/>
    <cellStyle name="60% - Accent1" xfId="21" builtinId="32" customBuiltin="1"/>
    <cellStyle name="60% - Accent1 10" xfId="115" xr:uid="{00000000-0005-0000-0000-000085990000}"/>
    <cellStyle name="60% - Accent1 2" xfId="158" xr:uid="{00000000-0005-0000-0000-000086990000}"/>
    <cellStyle name="60% - Accent1 2 2" xfId="384" xr:uid="{00000000-0005-0000-0000-000087990000}"/>
    <cellStyle name="60% - Accent1 2 3" xfId="2838" xr:uid="{00000000-0005-0000-0000-000088990000}"/>
    <cellStyle name="60% - Accent1 2 4" xfId="3895" xr:uid="{00000000-0005-0000-0000-000089990000}"/>
    <cellStyle name="60% - Accent1 3" xfId="209" xr:uid="{00000000-0005-0000-0000-00008A990000}"/>
    <cellStyle name="60% - Accent1 3 2" xfId="542" xr:uid="{00000000-0005-0000-0000-00008B990000}"/>
    <cellStyle name="60% - Accent1 3 3" xfId="458" xr:uid="{00000000-0005-0000-0000-00008C990000}"/>
    <cellStyle name="60% - Accent1 3 4" xfId="1434" xr:uid="{00000000-0005-0000-0000-00008D990000}"/>
    <cellStyle name="60% - Accent1 4" xfId="297" xr:uid="{00000000-0005-0000-0000-00008E990000}"/>
    <cellStyle name="60% - Accent1 5" xfId="750" xr:uid="{00000000-0005-0000-0000-00008F990000}"/>
    <cellStyle name="60% - Accent1 6" xfId="1473" xr:uid="{00000000-0005-0000-0000-000090990000}"/>
    <cellStyle name="60% - Accent1 7" xfId="1445" xr:uid="{00000000-0005-0000-0000-000091990000}"/>
    <cellStyle name="60% - Accent1 8" xfId="1433" xr:uid="{00000000-0005-0000-0000-000092990000}"/>
    <cellStyle name="60% - Accent1 8 2" xfId="3830" xr:uid="{00000000-0005-0000-0000-000093990000}"/>
    <cellStyle name="60% - Accent1 9" xfId="3539" xr:uid="{00000000-0005-0000-0000-000094990000}"/>
    <cellStyle name="60% - Accent2" xfId="25" builtinId="36" customBuiltin="1"/>
    <cellStyle name="60% - Accent2 10" xfId="116" xr:uid="{00000000-0005-0000-0000-000096990000}"/>
    <cellStyle name="60% - Accent2 2" xfId="159" xr:uid="{00000000-0005-0000-0000-000097990000}"/>
    <cellStyle name="60% - Accent2 2 2" xfId="282" xr:uid="{00000000-0005-0000-0000-000098990000}"/>
    <cellStyle name="60% - Accent2 2 3" xfId="2839" xr:uid="{00000000-0005-0000-0000-000099990000}"/>
    <cellStyle name="60% - Accent2 2 4" xfId="3929" xr:uid="{00000000-0005-0000-0000-00009A990000}"/>
    <cellStyle name="60% - Accent2 3" xfId="213" xr:uid="{00000000-0005-0000-0000-00009B990000}"/>
    <cellStyle name="60% - Accent2 3 2" xfId="546" xr:uid="{00000000-0005-0000-0000-00009C990000}"/>
    <cellStyle name="60% - Accent2 3 3" xfId="459" xr:uid="{00000000-0005-0000-0000-00009D990000}"/>
    <cellStyle name="60% - Accent2 3 4" xfId="1417" xr:uid="{00000000-0005-0000-0000-00009E990000}"/>
    <cellStyle name="60% - Accent2 4" xfId="298" xr:uid="{00000000-0005-0000-0000-00009F990000}"/>
    <cellStyle name="60% - Accent2 5" xfId="754" xr:uid="{00000000-0005-0000-0000-0000A0990000}"/>
    <cellStyle name="60% - Accent2 6" xfId="1451" xr:uid="{00000000-0005-0000-0000-0000A1990000}"/>
    <cellStyle name="60% - Accent2 7" xfId="1516" xr:uid="{00000000-0005-0000-0000-0000A2990000}"/>
    <cellStyle name="60% - Accent2 8" xfId="849" xr:uid="{00000000-0005-0000-0000-0000A3990000}"/>
    <cellStyle name="60% - Accent2 8 2" xfId="3950" xr:uid="{00000000-0005-0000-0000-0000A4990000}"/>
    <cellStyle name="60% - Accent2 9" xfId="3572" xr:uid="{00000000-0005-0000-0000-0000A5990000}"/>
    <cellStyle name="60% - Accent3" xfId="29" builtinId="40" customBuiltin="1"/>
    <cellStyle name="60% - Accent3 10" xfId="117" xr:uid="{00000000-0005-0000-0000-0000A7990000}"/>
    <cellStyle name="60% - Accent3 2" xfId="160" xr:uid="{00000000-0005-0000-0000-0000A8990000}"/>
    <cellStyle name="60% - Accent3 2 2" xfId="337" xr:uid="{00000000-0005-0000-0000-0000A9990000}"/>
    <cellStyle name="60% - Accent3 2 3" xfId="2840" xr:uid="{00000000-0005-0000-0000-0000AA990000}"/>
    <cellStyle name="60% - Accent3 2 4" xfId="3926" xr:uid="{00000000-0005-0000-0000-0000AB990000}"/>
    <cellStyle name="60% - Accent3 3" xfId="217" xr:uid="{00000000-0005-0000-0000-0000AC990000}"/>
    <cellStyle name="60% - Accent3 3 2" xfId="550" xr:uid="{00000000-0005-0000-0000-0000AD990000}"/>
    <cellStyle name="60% - Accent3 3 3" xfId="460" xr:uid="{00000000-0005-0000-0000-0000AE990000}"/>
    <cellStyle name="60% - Accent3 3 4" xfId="1507" xr:uid="{00000000-0005-0000-0000-0000AF990000}"/>
    <cellStyle name="60% - Accent3 4" xfId="299" xr:uid="{00000000-0005-0000-0000-0000B0990000}"/>
    <cellStyle name="60% - Accent3 5" xfId="758" xr:uid="{00000000-0005-0000-0000-0000B1990000}"/>
    <cellStyle name="60% - Accent3 6" xfId="1488" xr:uid="{00000000-0005-0000-0000-0000B2990000}"/>
    <cellStyle name="60% - Accent3 7" xfId="1524" xr:uid="{00000000-0005-0000-0000-0000B3990000}"/>
    <cellStyle name="60% - Accent3 8" xfId="1453" xr:uid="{00000000-0005-0000-0000-0000B4990000}"/>
    <cellStyle name="60% - Accent3 8 2" xfId="3892" xr:uid="{00000000-0005-0000-0000-0000B5990000}"/>
    <cellStyle name="60% - Accent3 9" xfId="2232" xr:uid="{00000000-0005-0000-0000-0000B6990000}"/>
    <cellStyle name="60% - Accent4" xfId="33" builtinId="44" customBuiltin="1"/>
    <cellStyle name="60% - Accent4 10" xfId="118" xr:uid="{00000000-0005-0000-0000-0000B8990000}"/>
    <cellStyle name="60% - Accent4 2" xfId="161" xr:uid="{00000000-0005-0000-0000-0000B9990000}"/>
    <cellStyle name="60% - Accent4 2 2" xfId="375" xr:uid="{00000000-0005-0000-0000-0000BA990000}"/>
    <cellStyle name="60% - Accent4 2 3" xfId="2841" xr:uid="{00000000-0005-0000-0000-0000BB990000}"/>
    <cellStyle name="60% - Accent4 2 4" xfId="3924" xr:uid="{00000000-0005-0000-0000-0000BC990000}"/>
    <cellStyle name="60% - Accent4 3" xfId="221" xr:uid="{00000000-0005-0000-0000-0000BD990000}"/>
    <cellStyle name="60% - Accent4 3 2" xfId="554" xr:uid="{00000000-0005-0000-0000-0000BE990000}"/>
    <cellStyle name="60% - Accent4 3 3" xfId="461" xr:uid="{00000000-0005-0000-0000-0000BF990000}"/>
    <cellStyle name="60% - Accent4 3 4" xfId="1482" xr:uid="{00000000-0005-0000-0000-0000C0990000}"/>
    <cellStyle name="60% - Accent4 4" xfId="300" xr:uid="{00000000-0005-0000-0000-0000C1990000}"/>
    <cellStyle name="60% - Accent4 5" xfId="762" xr:uid="{00000000-0005-0000-0000-0000C2990000}"/>
    <cellStyle name="60% - Accent4 6" xfId="788" xr:uid="{00000000-0005-0000-0000-0000C3990000}"/>
    <cellStyle name="60% - Accent4 7" xfId="1443" xr:uid="{00000000-0005-0000-0000-0000C4990000}"/>
    <cellStyle name="60% - Accent4 8" xfId="1409" xr:uid="{00000000-0005-0000-0000-0000C5990000}"/>
    <cellStyle name="60% - Accent4 8 2" xfId="3958" xr:uid="{00000000-0005-0000-0000-0000C6990000}"/>
    <cellStyle name="60% - Accent4 9" xfId="2252" xr:uid="{00000000-0005-0000-0000-0000C7990000}"/>
    <cellStyle name="60% - Accent5" xfId="37" builtinId="48" customBuiltin="1"/>
    <cellStyle name="60% - Accent5 10" xfId="119" xr:uid="{00000000-0005-0000-0000-0000C9990000}"/>
    <cellStyle name="60% - Accent5 2" xfId="162" xr:uid="{00000000-0005-0000-0000-0000CA990000}"/>
    <cellStyle name="60% - Accent5 2 2" xfId="371" xr:uid="{00000000-0005-0000-0000-0000CB990000}"/>
    <cellStyle name="60% - Accent5 2 3" xfId="2842" xr:uid="{00000000-0005-0000-0000-0000CC990000}"/>
    <cellStyle name="60% - Accent5 2 4" xfId="3525" xr:uid="{00000000-0005-0000-0000-0000CD990000}"/>
    <cellStyle name="60% - Accent5 3" xfId="225" xr:uid="{00000000-0005-0000-0000-0000CE990000}"/>
    <cellStyle name="60% - Accent5 3 2" xfId="558" xr:uid="{00000000-0005-0000-0000-0000CF990000}"/>
    <cellStyle name="60% - Accent5 3 3" xfId="462" xr:uid="{00000000-0005-0000-0000-0000D0990000}"/>
    <cellStyle name="60% - Accent5 3 4" xfId="1497" xr:uid="{00000000-0005-0000-0000-0000D1990000}"/>
    <cellStyle name="60% - Accent5 4" xfId="301" xr:uid="{00000000-0005-0000-0000-0000D2990000}"/>
    <cellStyle name="60% - Accent5 5" xfId="766" xr:uid="{00000000-0005-0000-0000-0000D3990000}"/>
    <cellStyle name="60% - Accent5 6" xfId="1419" xr:uid="{00000000-0005-0000-0000-0000D4990000}"/>
    <cellStyle name="60% - Accent5 7" xfId="1527" xr:uid="{00000000-0005-0000-0000-0000D5990000}"/>
    <cellStyle name="60% - Accent5 8" xfId="1455" xr:uid="{00000000-0005-0000-0000-0000D6990000}"/>
    <cellStyle name="60% - Accent5 8 2" xfId="3908" xr:uid="{00000000-0005-0000-0000-0000D7990000}"/>
    <cellStyle name="60% - Accent5 9" xfId="3548" xr:uid="{00000000-0005-0000-0000-0000D8990000}"/>
    <cellStyle name="60% - Accent6" xfId="41" builtinId="52" customBuiltin="1"/>
    <cellStyle name="60% - Accent6 10" xfId="120" xr:uid="{00000000-0005-0000-0000-0000DA990000}"/>
    <cellStyle name="60% - Accent6 2" xfId="163" xr:uid="{00000000-0005-0000-0000-0000DB990000}"/>
    <cellStyle name="60% - Accent6 2 2" xfId="279" xr:uid="{00000000-0005-0000-0000-0000DC990000}"/>
    <cellStyle name="60% - Accent6 2 3" xfId="2843" xr:uid="{00000000-0005-0000-0000-0000DD990000}"/>
    <cellStyle name="60% - Accent6 2 4" xfId="3910" xr:uid="{00000000-0005-0000-0000-0000DE990000}"/>
    <cellStyle name="60% - Accent6 3" xfId="229" xr:uid="{00000000-0005-0000-0000-0000DF990000}"/>
    <cellStyle name="60% - Accent6 3 2" xfId="562" xr:uid="{00000000-0005-0000-0000-0000E0990000}"/>
    <cellStyle name="60% - Accent6 3 3" xfId="463" xr:uid="{00000000-0005-0000-0000-0000E1990000}"/>
    <cellStyle name="60% - Accent6 3 4" xfId="1457" xr:uid="{00000000-0005-0000-0000-0000E2990000}"/>
    <cellStyle name="60% - Accent6 4" xfId="302" xr:uid="{00000000-0005-0000-0000-0000E3990000}"/>
    <cellStyle name="60% - Accent6 5" xfId="770" xr:uid="{00000000-0005-0000-0000-0000E4990000}"/>
    <cellStyle name="60% - Accent6 6" xfId="1452" xr:uid="{00000000-0005-0000-0000-0000E5990000}"/>
    <cellStyle name="60% - Accent6 7" xfId="1496" xr:uid="{00000000-0005-0000-0000-0000E6990000}"/>
    <cellStyle name="60% - Accent6 8" xfId="1444" xr:uid="{00000000-0005-0000-0000-0000E7990000}"/>
    <cellStyle name="60% - Accent6 8 2" xfId="3893" xr:uid="{00000000-0005-0000-0000-0000E8990000}"/>
    <cellStyle name="60% - Accent6 9" xfId="3584" xr:uid="{00000000-0005-0000-0000-0000E9990000}"/>
    <cellStyle name="Accent1" xfId="18" builtinId="29" customBuiltin="1"/>
    <cellStyle name="Accent1 10" xfId="121" xr:uid="{00000000-0005-0000-0000-0000EB990000}"/>
    <cellStyle name="Accent1 2" xfId="164" xr:uid="{00000000-0005-0000-0000-0000EC990000}"/>
    <cellStyle name="Accent1 2 2" xfId="376" xr:uid="{00000000-0005-0000-0000-0000ED990000}"/>
    <cellStyle name="Accent1 2 3" xfId="2844" xr:uid="{00000000-0005-0000-0000-0000EE990000}"/>
    <cellStyle name="Accent1 2 4" xfId="3903" xr:uid="{00000000-0005-0000-0000-0000EF990000}"/>
    <cellStyle name="Accent1 3" xfId="206" xr:uid="{00000000-0005-0000-0000-0000F0990000}"/>
    <cellStyle name="Accent1 3 2" xfId="539" xr:uid="{00000000-0005-0000-0000-0000F1990000}"/>
    <cellStyle name="Accent1 3 3" xfId="464" xr:uid="{00000000-0005-0000-0000-0000F2990000}"/>
    <cellStyle name="Accent1 3 4" xfId="858" xr:uid="{00000000-0005-0000-0000-0000F3990000}"/>
    <cellStyle name="Accent1 4" xfId="303" xr:uid="{00000000-0005-0000-0000-0000F4990000}"/>
    <cellStyle name="Accent1 5" xfId="747" xr:uid="{00000000-0005-0000-0000-0000F5990000}"/>
    <cellStyle name="Accent1 6" xfId="708" xr:uid="{00000000-0005-0000-0000-0000F6990000}"/>
    <cellStyle name="Accent1 7" xfId="955" xr:uid="{00000000-0005-0000-0000-0000F7990000}"/>
    <cellStyle name="Accent1 8" xfId="1449" xr:uid="{00000000-0005-0000-0000-0000F8990000}"/>
    <cellStyle name="Accent1 8 2" xfId="3541" xr:uid="{00000000-0005-0000-0000-0000F9990000}"/>
    <cellStyle name="Accent1 9" xfId="2797" xr:uid="{00000000-0005-0000-0000-0000FA990000}"/>
    <cellStyle name="Accent2" xfId="22" builtinId="33" customBuiltin="1"/>
    <cellStyle name="Accent2 10" xfId="122" xr:uid="{00000000-0005-0000-0000-0000FC990000}"/>
    <cellStyle name="Accent2 2" xfId="165" xr:uid="{00000000-0005-0000-0000-0000FD990000}"/>
    <cellStyle name="Accent2 2 2" xfId="386" xr:uid="{00000000-0005-0000-0000-0000FE990000}"/>
    <cellStyle name="Accent2 2 3" xfId="2845" xr:uid="{00000000-0005-0000-0000-0000FF990000}"/>
    <cellStyle name="Accent2 2 4" xfId="3943" xr:uid="{00000000-0005-0000-0000-0000009A0000}"/>
    <cellStyle name="Accent2 3" xfId="210" xr:uid="{00000000-0005-0000-0000-0000019A0000}"/>
    <cellStyle name="Accent2 3 2" xfId="543" xr:uid="{00000000-0005-0000-0000-0000029A0000}"/>
    <cellStyle name="Accent2 3 3" xfId="465" xr:uid="{00000000-0005-0000-0000-0000039A0000}"/>
    <cellStyle name="Accent2 3 4" xfId="1511" xr:uid="{00000000-0005-0000-0000-0000049A0000}"/>
    <cellStyle name="Accent2 4" xfId="304" xr:uid="{00000000-0005-0000-0000-0000059A0000}"/>
    <cellStyle name="Accent2 5" xfId="751" xr:uid="{00000000-0005-0000-0000-0000069A0000}"/>
    <cellStyle name="Accent2 6" xfId="1426" xr:uid="{00000000-0005-0000-0000-0000079A0000}"/>
    <cellStyle name="Accent2 7" xfId="1485" xr:uid="{00000000-0005-0000-0000-0000089A0000}"/>
    <cellStyle name="Accent2 8" xfId="1475" xr:uid="{00000000-0005-0000-0000-0000099A0000}"/>
    <cellStyle name="Accent2 8 2" xfId="3951" xr:uid="{00000000-0005-0000-0000-00000A9A0000}"/>
    <cellStyle name="Accent2 9" xfId="3492" xr:uid="{00000000-0005-0000-0000-00000B9A0000}"/>
    <cellStyle name="Accent3" xfId="26" builtinId="37" customBuiltin="1"/>
    <cellStyle name="Accent3 10" xfId="123" xr:uid="{00000000-0005-0000-0000-00000D9A0000}"/>
    <cellStyle name="Accent3 2" xfId="166" xr:uid="{00000000-0005-0000-0000-00000E9A0000}"/>
    <cellStyle name="Accent3 2 2" xfId="330" xr:uid="{00000000-0005-0000-0000-00000F9A0000}"/>
    <cellStyle name="Accent3 2 3" xfId="2846" xr:uid="{00000000-0005-0000-0000-0000109A0000}"/>
    <cellStyle name="Accent3 2 4" xfId="3578" xr:uid="{00000000-0005-0000-0000-0000119A0000}"/>
    <cellStyle name="Accent3 3" xfId="214" xr:uid="{00000000-0005-0000-0000-0000129A0000}"/>
    <cellStyle name="Accent3 3 2" xfId="547" xr:uid="{00000000-0005-0000-0000-0000139A0000}"/>
    <cellStyle name="Accent3 3 3" xfId="466" xr:uid="{00000000-0005-0000-0000-0000149A0000}"/>
    <cellStyle name="Accent3 3 4" xfId="1441" xr:uid="{00000000-0005-0000-0000-0000159A0000}"/>
    <cellStyle name="Accent3 4" xfId="305" xr:uid="{00000000-0005-0000-0000-0000169A0000}"/>
    <cellStyle name="Accent3 5" xfId="755" xr:uid="{00000000-0005-0000-0000-0000179A0000}"/>
    <cellStyle name="Accent3 6" xfId="789" xr:uid="{00000000-0005-0000-0000-0000189A0000}"/>
    <cellStyle name="Accent3 7" xfId="974" xr:uid="{00000000-0005-0000-0000-0000199A0000}"/>
    <cellStyle name="Accent3 8" xfId="1430" xr:uid="{00000000-0005-0000-0000-00001A9A0000}"/>
    <cellStyle name="Accent3 8 2" xfId="3596" xr:uid="{00000000-0005-0000-0000-00001B9A0000}"/>
    <cellStyle name="Accent3 9" xfId="3485" xr:uid="{00000000-0005-0000-0000-00001C9A0000}"/>
    <cellStyle name="Accent4" xfId="30" builtinId="41" customBuiltin="1"/>
    <cellStyle name="Accent4 10" xfId="124" xr:uid="{00000000-0005-0000-0000-00001E9A0000}"/>
    <cellStyle name="Accent4 2" xfId="167" xr:uid="{00000000-0005-0000-0000-00001F9A0000}"/>
    <cellStyle name="Accent4 2 2" xfId="329" xr:uid="{00000000-0005-0000-0000-0000209A0000}"/>
    <cellStyle name="Accent4 2 3" xfId="2847" xr:uid="{00000000-0005-0000-0000-0000219A0000}"/>
    <cellStyle name="Accent4 2 4" xfId="3660" xr:uid="{00000000-0005-0000-0000-0000229A0000}"/>
    <cellStyle name="Accent4 3" xfId="218" xr:uid="{00000000-0005-0000-0000-0000239A0000}"/>
    <cellStyle name="Accent4 3 2" xfId="551" xr:uid="{00000000-0005-0000-0000-0000249A0000}"/>
    <cellStyle name="Accent4 3 3" xfId="467" xr:uid="{00000000-0005-0000-0000-0000259A0000}"/>
    <cellStyle name="Accent4 3 4" xfId="952" xr:uid="{00000000-0005-0000-0000-0000269A0000}"/>
    <cellStyle name="Accent4 4" xfId="306" xr:uid="{00000000-0005-0000-0000-0000279A0000}"/>
    <cellStyle name="Accent4 5" xfId="759" xr:uid="{00000000-0005-0000-0000-0000289A0000}"/>
    <cellStyle name="Accent4 6" xfId="1418" xr:uid="{00000000-0005-0000-0000-0000299A0000}"/>
    <cellStyle name="Accent4 7" xfId="953" xr:uid="{00000000-0005-0000-0000-00002A9A0000}"/>
    <cellStyle name="Accent4 8" xfId="1437" xr:uid="{00000000-0005-0000-0000-00002B9A0000}"/>
    <cellStyle name="Accent4 8 2" xfId="2249" xr:uid="{00000000-0005-0000-0000-00002C9A0000}"/>
    <cellStyle name="Accent4 9" xfId="3488" xr:uid="{00000000-0005-0000-0000-00002D9A0000}"/>
    <cellStyle name="Accent5" xfId="34" builtinId="45" customBuiltin="1"/>
    <cellStyle name="Accent5 10" xfId="125" xr:uid="{00000000-0005-0000-0000-00002F9A0000}"/>
    <cellStyle name="Accent5 2" xfId="168" xr:uid="{00000000-0005-0000-0000-0000309A0000}"/>
    <cellStyle name="Accent5 2 2" xfId="353" xr:uid="{00000000-0005-0000-0000-0000319A0000}"/>
    <cellStyle name="Accent5 2 3" xfId="2848" xr:uid="{00000000-0005-0000-0000-0000329A0000}"/>
    <cellStyle name="Accent5 2 4" xfId="3569" xr:uid="{00000000-0005-0000-0000-0000339A0000}"/>
    <cellStyle name="Accent5 3" xfId="222" xr:uid="{00000000-0005-0000-0000-0000349A0000}"/>
    <cellStyle name="Accent5 3 2" xfId="555" xr:uid="{00000000-0005-0000-0000-0000359A0000}"/>
    <cellStyle name="Accent5 3 3" xfId="468" xr:uid="{00000000-0005-0000-0000-0000369A0000}"/>
    <cellStyle name="Accent5 3 4" xfId="721" xr:uid="{00000000-0005-0000-0000-0000379A0000}"/>
    <cellStyle name="Accent5 4" xfId="307" xr:uid="{00000000-0005-0000-0000-0000389A0000}"/>
    <cellStyle name="Accent5 5" xfId="763" xr:uid="{00000000-0005-0000-0000-0000399A0000}"/>
    <cellStyle name="Accent5 6" xfId="854" xr:uid="{00000000-0005-0000-0000-00003A9A0000}"/>
    <cellStyle name="Accent5 7" xfId="707" xr:uid="{00000000-0005-0000-0000-00003B9A0000}"/>
    <cellStyle name="Accent5 8" xfId="1509" xr:uid="{00000000-0005-0000-0000-00003C9A0000}"/>
    <cellStyle name="Accent5 8 2" xfId="3931" xr:uid="{00000000-0005-0000-0000-00003D9A0000}"/>
    <cellStyle name="Accent5 9" xfId="3523" xr:uid="{00000000-0005-0000-0000-00003E9A0000}"/>
    <cellStyle name="Accent6" xfId="38" builtinId="49" customBuiltin="1"/>
    <cellStyle name="Accent6 10" xfId="126" xr:uid="{00000000-0005-0000-0000-0000409A0000}"/>
    <cellStyle name="Accent6 2" xfId="169" xr:uid="{00000000-0005-0000-0000-0000419A0000}"/>
    <cellStyle name="Accent6 2 2" xfId="383" xr:uid="{00000000-0005-0000-0000-0000429A0000}"/>
    <cellStyle name="Accent6 2 3" xfId="2849" xr:uid="{00000000-0005-0000-0000-0000439A0000}"/>
    <cellStyle name="Accent6 2 4" xfId="3563" xr:uid="{00000000-0005-0000-0000-0000449A0000}"/>
    <cellStyle name="Accent6 3" xfId="226" xr:uid="{00000000-0005-0000-0000-0000459A0000}"/>
    <cellStyle name="Accent6 3 2" xfId="559" xr:uid="{00000000-0005-0000-0000-0000469A0000}"/>
    <cellStyle name="Accent6 3 3" xfId="469" xr:uid="{00000000-0005-0000-0000-0000479A0000}"/>
    <cellStyle name="Accent6 3 4" xfId="720" xr:uid="{00000000-0005-0000-0000-0000489A0000}"/>
    <cellStyle name="Accent6 4" xfId="308" xr:uid="{00000000-0005-0000-0000-0000499A0000}"/>
    <cellStyle name="Accent6 5" xfId="767" xr:uid="{00000000-0005-0000-0000-00004A9A0000}"/>
    <cellStyle name="Accent6 6" xfId="1480" xr:uid="{00000000-0005-0000-0000-00004B9A0000}"/>
    <cellStyle name="Accent6 7" xfId="1499" xr:uid="{00000000-0005-0000-0000-00004C9A0000}"/>
    <cellStyle name="Accent6 8" xfId="1531" xr:uid="{00000000-0005-0000-0000-00004D9A0000}"/>
    <cellStyle name="Accent6 8 2" xfId="3957" xr:uid="{00000000-0005-0000-0000-00004E9A0000}"/>
    <cellStyle name="Accent6 9" xfId="3522" xr:uid="{00000000-0005-0000-0000-00004F9A0000}"/>
    <cellStyle name="Bad" xfId="7" builtinId="27" customBuiltin="1"/>
    <cellStyle name="Bad 10" xfId="127" xr:uid="{00000000-0005-0000-0000-0000519A0000}"/>
    <cellStyle name="Bad 2" xfId="170" xr:uid="{00000000-0005-0000-0000-0000529A0000}"/>
    <cellStyle name="Bad 2 2" xfId="283" xr:uid="{00000000-0005-0000-0000-0000539A0000}"/>
    <cellStyle name="Bad 2 3" xfId="2850" xr:uid="{00000000-0005-0000-0000-0000549A0000}"/>
    <cellStyle name="Bad 2 4" xfId="3915" xr:uid="{00000000-0005-0000-0000-0000559A0000}"/>
    <cellStyle name="Bad 3" xfId="195" xr:uid="{00000000-0005-0000-0000-0000569A0000}"/>
    <cellStyle name="Bad 3 2" xfId="528" xr:uid="{00000000-0005-0000-0000-0000579A0000}"/>
    <cellStyle name="Bad 3 3" xfId="470" xr:uid="{00000000-0005-0000-0000-0000589A0000}"/>
    <cellStyle name="Bad 3 4" xfId="793" xr:uid="{00000000-0005-0000-0000-0000599A0000}"/>
    <cellStyle name="Bad 4" xfId="309" xr:uid="{00000000-0005-0000-0000-00005A9A0000}"/>
    <cellStyle name="Bad 5" xfId="737" xr:uid="{00000000-0005-0000-0000-00005B9A0000}"/>
    <cellStyle name="Bad 6" xfId="1427" xr:uid="{00000000-0005-0000-0000-00005C9A0000}"/>
    <cellStyle name="Bad 7" xfId="957" xr:uid="{00000000-0005-0000-0000-00005D9A0000}"/>
    <cellStyle name="Bad 8" xfId="1500" xr:uid="{00000000-0005-0000-0000-00005E9A0000}"/>
    <cellStyle name="Bad 8 2" xfId="3537" xr:uid="{00000000-0005-0000-0000-00005F9A0000}"/>
    <cellStyle name="Bad 9" xfId="3517" xr:uid="{00000000-0005-0000-0000-0000609A0000}"/>
    <cellStyle name="big,bold" xfId="60" xr:uid="{00000000-0005-0000-0000-0000619A0000}"/>
    <cellStyle name="Calculation" xfId="11" builtinId="22" customBuiltin="1"/>
    <cellStyle name="Calculation 10" xfId="128" xr:uid="{00000000-0005-0000-0000-0000639A0000}"/>
    <cellStyle name="Calculation 2" xfId="171" xr:uid="{00000000-0005-0000-0000-0000649A0000}"/>
    <cellStyle name="Calculation 2 2" xfId="334" xr:uid="{00000000-0005-0000-0000-0000659A0000}"/>
    <cellStyle name="Calculation 2 3" xfId="2851" xr:uid="{00000000-0005-0000-0000-0000669A0000}"/>
    <cellStyle name="Calculation 2 4" xfId="3552" xr:uid="{00000000-0005-0000-0000-0000679A0000}"/>
    <cellStyle name="Calculation 3" xfId="199" xr:uid="{00000000-0005-0000-0000-0000689A0000}"/>
    <cellStyle name="Calculation 3 2" xfId="532" xr:uid="{00000000-0005-0000-0000-0000699A0000}"/>
    <cellStyle name="Calculation 3 3" xfId="471" xr:uid="{00000000-0005-0000-0000-00006A9A0000}"/>
    <cellStyle name="Calculation 3 4" xfId="1476" xr:uid="{00000000-0005-0000-0000-00006B9A0000}"/>
    <cellStyle name="Calculation 4" xfId="310" xr:uid="{00000000-0005-0000-0000-00006C9A0000}"/>
    <cellStyle name="Calculation 5" xfId="741" xr:uid="{00000000-0005-0000-0000-00006D9A0000}"/>
    <cellStyle name="Calculation 6" xfId="1422" xr:uid="{00000000-0005-0000-0000-00006E9A0000}"/>
    <cellStyle name="Calculation 7" xfId="792" xr:uid="{00000000-0005-0000-0000-00006F9A0000}"/>
    <cellStyle name="Calculation 8" xfId="855" xr:uid="{00000000-0005-0000-0000-0000709A0000}"/>
    <cellStyle name="Calculation 8 2" xfId="3586" xr:uid="{00000000-0005-0000-0000-0000719A0000}"/>
    <cellStyle name="Calculation 9" xfId="3524" xr:uid="{00000000-0005-0000-0000-0000729A0000}"/>
    <cellStyle name="c-Cyan" xfId="129" xr:uid="{00000000-0005-0000-0000-0000739A0000}"/>
    <cellStyle name="Check Cell" xfId="13" builtinId="23" customBuiltin="1"/>
    <cellStyle name="Check Cell 10" xfId="130" xr:uid="{00000000-0005-0000-0000-0000759A0000}"/>
    <cellStyle name="Check Cell 2" xfId="172" xr:uid="{00000000-0005-0000-0000-0000769A0000}"/>
    <cellStyle name="Check Cell 2 2" xfId="345" xr:uid="{00000000-0005-0000-0000-0000779A0000}"/>
    <cellStyle name="Check Cell 2 3" xfId="2852" xr:uid="{00000000-0005-0000-0000-0000789A0000}"/>
    <cellStyle name="Check Cell 2 4" xfId="3888" xr:uid="{00000000-0005-0000-0000-0000799A0000}"/>
    <cellStyle name="Check Cell 3" xfId="201" xr:uid="{00000000-0005-0000-0000-00007A9A0000}"/>
    <cellStyle name="Check Cell 3 2" xfId="534" xr:uid="{00000000-0005-0000-0000-00007B9A0000}"/>
    <cellStyle name="Check Cell 3 3" xfId="472" xr:uid="{00000000-0005-0000-0000-00007C9A0000}"/>
    <cellStyle name="Check Cell 3 4" xfId="718" xr:uid="{00000000-0005-0000-0000-00007D9A0000}"/>
    <cellStyle name="Check Cell 4" xfId="311" xr:uid="{00000000-0005-0000-0000-00007E9A0000}"/>
    <cellStyle name="Check Cell 5" xfId="743" xr:uid="{00000000-0005-0000-0000-00007F9A0000}"/>
    <cellStyle name="Check Cell 6" xfId="773" xr:uid="{00000000-0005-0000-0000-0000809A0000}"/>
    <cellStyle name="Check Cell 7" xfId="1515" xr:uid="{00000000-0005-0000-0000-0000819A0000}"/>
    <cellStyle name="Check Cell 8" xfId="1532" xr:uid="{00000000-0005-0000-0000-0000829A0000}"/>
    <cellStyle name="Check Cell 8 2" xfId="3497" xr:uid="{00000000-0005-0000-0000-0000839A0000}"/>
    <cellStyle name="Check Cell 9" xfId="2824" xr:uid="{00000000-0005-0000-0000-0000849A0000}"/>
    <cellStyle name="c-Pink" xfId="61" xr:uid="{00000000-0005-0000-0000-0000859A0000}"/>
    <cellStyle name="c-Pink 2" xfId="84" xr:uid="{00000000-0005-0000-0000-0000869A0000}"/>
    <cellStyle name="c-Pink 2 2" xfId="1498" xr:uid="{00000000-0005-0000-0000-0000879A0000}"/>
    <cellStyle name="c-Pink 2 3" xfId="250" xr:uid="{00000000-0005-0000-0000-0000889A0000}"/>
    <cellStyle name="c-Pink 3" xfId="96" xr:uid="{00000000-0005-0000-0000-0000899A0000}"/>
    <cellStyle name="c-Pink 4" xfId="1098" xr:uid="{00000000-0005-0000-0000-00008A9A0000}"/>
    <cellStyle name="c-Pink 4 2" xfId="1400" xr:uid="{00000000-0005-0000-0000-00008B9A0000}"/>
    <cellStyle name="c-Pink 5" xfId="956" xr:uid="{00000000-0005-0000-0000-00008C9A0000}"/>
    <cellStyle name="c-Pink 6" xfId="3960" xr:uid="{00000000-0005-0000-0000-00008D9A0000}"/>
    <cellStyle name="Currency 2" xfId="246" xr:uid="{00000000-0005-0000-0000-00008E9A0000}"/>
    <cellStyle name="Currency 3" xfId="62" xr:uid="{00000000-0005-0000-0000-00008F9A0000}"/>
    <cellStyle name="Explanatory Text" xfId="16" builtinId="53" customBuiltin="1"/>
    <cellStyle name="Explanatory Text 10" xfId="131" xr:uid="{00000000-0005-0000-0000-0000919A0000}"/>
    <cellStyle name="Explanatory Text 2" xfId="173" xr:uid="{00000000-0005-0000-0000-0000929A0000}"/>
    <cellStyle name="Explanatory Text 2 2" xfId="332" xr:uid="{00000000-0005-0000-0000-0000939A0000}"/>
    <cellStyle name="Explanatory Text 2 3" xfId="2853" xr:uid="{00000000-0005-0000-0000-0000949A0000}"/>
    <cellStyle name="Explanatory Text 2 4" xfId="3933" xr:uid="{00000000-0005-0000-0000-0000959A0000}"/>
    <cellStyle name="Explanatory Text 3" xfId="204" xr:uid="{00000000-0005-0000-0000-0000969A0000}"/>
    <cellStyle name="Explanatory Text 3 2" xfId="537" xr:uid="{00000000-0005-0000-0000-0000979A0000}"/>
    <cellStyle name="Explanatory Text 3 3" xfId="473" xr:uid="{00000000-0005-0000-0000-0000989A0000}"/>
    <cellStyle name="Explanatory Text 3 4" xfId="716" xr:uid="{00000000-0005-0000-0000-0000999A0000}"/>
    <cellStyle name="Explanatory Text 4" xfId="312" xr:uid="{00000000-0005-0000-0000-00009A9A0000}"/>
    <cellStyle name="Explanatory Text 5" xfId="745" xr:uid="{00000000-0005-0000-0000-00009B9A0000}"/>
    <cellStyle name="Explanatory Text 6" xfId="1489" xr:uid="{00000000-0005-0000-0000-00009C9A0000}"/>
    <cellStyle name="Explanatory Text 7" xfId="1490" xr:uid="{00000000-0005-0000-0000-00009D9A0000}"/>
    <cellStyle name="Explanatory Text 8" xfId="1416" xr:uid="{00000000-0005-0000-0000-00009E9A0000}"/>
    <cellStyle name="Explanatory Text 8 2" xfId="3952" xr:uid="{00000000-0005-0000-0000-00009F9A0000}"/>
    <cellStyle name="Explanatory Text 9" xfId="3479" xr:uid="{00000000-0005-0000-0000-0000A09A0000}"/>
    <cellStyle name="F0" xfId="63" xr:uid="{00000000-0005-0000-0000-0000A19A0000}"/>
    <cellStyle name="F0 2" xfId="85" xr:uid="{00000000-0005-0000-0000-0000A29A0000}"/>
    <cellStyle name="F0 2 2" xfId="1468" xr:uid="{00000000-0005-0000-0000-0000A39A0000}"/>
    <cellStyle name="F0 2 3" xfId="251" xr:uid="{00000000-0005-0000-0000-0000A49A0000}"/>
    <cellStyle name="F0 3" xfId="1099" xr:uid="{00000000-0005-0000-0000-0000A59A0000}"/>
    <cellStyle name="F0 3 2" xfId="1401" xr:uid="{00000000-0005-0000-0000-0000A69A0000}"/>
    <cellStyle name="F0 4" xfId="1535" xr:uid="{00000000-0005-0000-0000-0000A79A0000}"/>
    <cellStyle name="F0 5" xfId="3573" xr:uid="{00000000-0005-0000-0000-0000A89A0000}"/>
    <cellStyle name="F0 6" xfId="3509" xr:uid="{00000000-0005-0000-0000-0000A99A0000}"/>
    <cellStyle name="F0 7" xfId="3961" xr:uid="{00000000-0005-0000-0000-0000AA9A0000}"/>
    <cellStyle name="F1" xfId="64" xr:uid="{00000000-0005-0000-0000-0000AB9A0000}"/>
    <cellStyle name="F1 2" xfId="86" xr:uid="{00000000-0005-0000-0000-0000AC9A0000}"/>
    <cellStyle name="F1 2 2" xfId="731" xr:uid="{00000000-0005-0000-0000-0000AD9A0000}"/>
    <cellStyle name="F1 2 3" xfId="252" xr:uid="{00000000-0005-0000-0000-0000AE9A0000}"/>
    <cellStyle name="F1 3" xfId="1105" xr:uid="{00000000-0005-0000-0000-0000AF9A0000}"/>
    <cellStyle name="F1 3 2" xfId="1407" xr:uid="{00000000-0005-0000-0000-0000B09A0000}"/>
    <cellStyle name="F1 4" xfId="1470" xr:uid="{00000000-0005-0000-0000-0000B19A0000}"/>
    <cellStyle name="F1 5" xfId="3560" xr:uid="{00000000-0005-0000-0000-0000B29A0000}"/>
    <cellStyle name="F1 6" xfId="3494" xr:uid="{00000000-0005-0000-0000-0000B39A0000}"/>
    <cellStyle name="F1 7" xfId="3962" xr:uid="{00000000-0005-0000-0000-0000B49A0000}"/>
    <cellStyle name="F2" xfId="65" xr:uid="{00000000-0005-0000-0000-0000B59A0000}"/>
    <cellStyle name="F2 2" xfId="87" xr:uid="{00000000-0005-0000-0000-0000B69A0000}"/>
    <cellStyle name="F2 2 2" xfId="717" xr:uid="{00000000-0005-0000-0000-0000B79A0000}"/>
    <cellStyle name="F2 2 3" xfId="253" xr:uid="{00000000-0005-0000-0000-0000B89A0000}"/>
    <cellStyle name="F2 3" xfId="1100" xr:uid="{00000000-0005-0000-0000-0000B99A0000}"/>
    <cellStyle name="F2 3 2" xfId="1402" xr:uid="{00000000-0005-0000-0000-0000BA9A0000}"/>
    <cellStyle name="F2 4" xfId="826" xr:uid="{00000000-0005-0000-0000-0000BB9A0000}"/>
    <cellStyle name="F2 5" xfId="3499" xr:uid="{00000000-0005-0000-0000-0000BC9A0000}"/>
    <cellStyle name="F2 6" xfId="3565" xr:uid="{00000000-0005-0000-0000-0000BD9A0000}"/>
    <cellStyle name="F2 7" xfId="3963" xr:uid="{00000000-0005-0000-0000-0000BE9A0000}"/>
    <cellStyle name="F3" xfId="66" xr:uid="{00000000-0005-0000-0000-0000BF9A0000}"/>
    <cellStyle name="F3 2" xfId="88" xr:uid="{00000000-0005-0000-0000-0000C09A0000}"/>
    <cellStyle name="F3 2 2" xfId="1458" xr:uid="{00000000-0005-0000-0000-0000C19A0000}"/>
    <cellStyle name="F3 2 3" xfId="254" xr:uid="{00000000-0005-0000-0000-0000C29A0000}"/>
    <cellStyle name="F3 3" xfId="1101" xr:uid="{00000000-0005-0000-0000-0000C39A0000}"/>
    <cellStyle name="F3 3 2" xfId="1403" xr:uid="{00000000-0005-0000-0000-0000C49A0000}"/>
    <cellStyle name="F3 4" xfId="1463" xr:uid="{00000000-0005-0000-0000-0000C59A0000}"/>
    <cellStyle name="F3 5" xfId="3533" xr:uid="{00000000-0005-0000-0000-0000C69A0000}"/>
    <cellStyle name="F3 6" xfId="3550" xr:uid="{00000000-0005-0000-0000-0000C79A0000}"/>
    <cellStyle name="F3 7" xfId="3964" xr:uid="{00000000-0005-0000-0000-0000C89A0000}"/>
    <cellStyle name="F4" xfId="67" xr:uid="{00000000-0005-0000-0000-0000C99A0000}"/>
    <cellStyle name="F4 2" xfId="89" xr:uid="{00000000-0005-0000-0000-0000CA9A0000}"/>
    <cellStyle name="F4 2 2" xfId="808" xr:uid="{00000000-0005-0000-0000-0000CB9A0000}"/>
    <cellStyle name="F4 2 3" xfId="255" xr:uid="{00000000-0005-0000-0000-0000CC9A0000}"/>
    <cellStyle name="F4 3" xfId="1102" xr:uid="{00000000-0005-0000-0000-0000CD9A0000}"/>
    <cellStyle name="F4 3 2" xfId="1404" xr:uid="{00000000-0005-0000-0000-0000CE9A0000}"/>
    <cellStyle name="F4 4" xfId="1446" xr:uid="{00000000-0005-0000-0000-0000CF9A0000}"/>
    <cellStyle name="F4 5" xfId="3528" xr:uid="{00000000-0005-0000-0000-0000D09A0000}"/>
    <cellStyle name="F4 6" xfId="3559" xr:uid="{00000000-0005-0000-0000-0000D19A0000}"/>
    <cellStyle name="F4 7" xfId="3965" xr:uid="{00000000-0005-0000-0000-0000D29A0000}"/>
    <cellStyle name="Followed Hyperlink" xfId="43" builtinId="9" customBuiltin="1"/>
    <cellStyle name="General" xfId="68" xr:uid="{00000000-0005-0000-0000-0000D49A0000}"/>
    <cellStyle name="General 2" xfId="247" xr:uid="{00000000-0005-0000-0000-0000D59A0000}"/>
    <cellStyle name="Good" xfId="6" builtinId="26" customBuiltin="1"/>
    <cellStyle name="Good 10" xfId="132" xr:uid="{00000000-0005-0000-0000-0000D79A0000}"/>
    <cellStyle name="Good 2" xfId="174" xr:uid="{00000000-0005-0000-0000-0000D89A0000}"/>
    <cellStyle name="Good 2 2" xfId="385" xr:uid="{00000000-0005-0000-0000-0000D99A0000}"/>
    <cellStyle name="Good 2 3" xfId="2854" xr:uid="{00000000-0005-0000-0000-0000DA9A0000}"/>
    <cellStyle name="Good 2 4" xfId="3890" xr:uid="{00000000-0005-0000-0000-0000DB9A0000}"/>
    <cellStyle name="Good 3" xfId="194" xr:uid="{00000000-0005-0000-0000-0000DC9A0000}"/>
    <cellStyle name="Good 3 2" xfId="527" xr:uid="{00000000-0005-0000-0000-0000DD9A0000}"/>
    <cellStyle name="Good 3 3" xfId="474" xr:uid="{00000000-0005-0000-0000-0000DE9A0000}"/>
    <cellStyle name="Good 3 4" xfId="1421" xr:uid="{00000000-0005-0000-0000-0000DF9A0000}"/>
    <cellStyle name="Good 4" xfId="313" xr:uid="{00000000-0005-0000-0000-0000E09A0000}"/>
    <cellStyle name="Good 5" xfId="736" xr:uid="{00000000-0005-0000-0000-0000E19A0000}"/>
    <cellStyle name="Good 6" xfId="727" xr:uid="{00000000-0005-0000-0000-0000E29A0000}"/>
    <cellStyle name="Good 7" xfId="1425" xr:uid="{00000000-0005-0000-0000-0000E39A0000}"/>
    <cellStyle name="Good 8" xfId="1487" xr:uid="{00000000-0005-0000-0000-0000E49A0000}"/>
    <cellStyle name="Good 8 2" xfId="3632" xr:uid="{00000000-0005-0000-0000-0000E59A0000}"/>
    <cellStyle name="Good 9" xfId="2162" xr:uid="{00000000-0005-0000-0000-0000E69A0000}"/>
    <cellStyle name="Header" xfId="69" xr:uid="{00000000-0005-0000-0000-0000E79A0000}"/>
    <cellStyle name="Header 2" xfId="90" xr:uid="{00000000-0005-0000-0000-0000E89A0000}"/>
    <cellStyle name="Header 3" xfId="248" xr:uid="{00000000-0005-0000-0000-0000E99A0000}"/>
    <cellStyle name="Header 4" xfId="710" xr:uid="{00000000-0005-0000-0000-0000EA9A0000}"/>
    <cellStyle name="Header 5" xfId="722" xr:uid="{00000000-0005-0000-0000-0000EB9A0000}"/>
    <cellStyle name="Header 6" xfId="791" xr:uid="{00000000-0005-0000-0000-0000EC9A0000}"/>
    <cellStyle name="Header 7" xfId="2160" xr:uid="{00000000-0005-0000-0000-0000ED9A0000}"/>
    <cellStyle name="Header 8" xfId="3921" xr:uid="{00000000-0005-0000-0000-0000EE9A0000}"/>
    <cellStyle name="Heading 1" xfId="2" builtinId="16" customBuiltin="1"/>
    <cellStyle name="Heading 1 10" xfId="133" xr:uid="{00000000-0005-0000-0000-0000F09A0000}"/>
    <cellStyle name="Heading 1 2" xfId="175" xr:uid="{00000000-0005-0000-0000-0000F19A0000}"/>
    <cellStyle name="Heading 1 2 2" xfId="266" xr:uid="{00000000-0005-0000-0000-0000F29A0000}"/>
    <cellStyle name="Heading 1 2 3" xfId="2855" xr:uid="{00000000-0005-0000-0000-0000F39A0000}"/>
    <cellStyle name="Heading 1 2 4" xfId="3922" xr:uid="{00000000-0005-0000-0000-0000F49A0000}"/>
    <cellStyle name="Heading 1 3" xfId="190" xr:uid="{00000000-0005-0000-0000-0000F59A0000}"/>
    <cellStyle name="Heading 1 3 2" xfId="523" xr:uid="{00000000-0005-0000-0000-0000F69A0000}"/>
    <cellStyle name="Heading 1 3 3" xfId="475" xr:uid="{00000000-0005-0000-0000-0000F79A0000}"/>
    <cellStyle name="Heading 1 3 4" xfId="1466" xr:uid="{00000000-0005-0000-0000-0000F89A0000}"/>
    <cellStyle name="Heading 1 4" xfId="314" xr:uid="{00000000-0005-0000-0000-0000F99A0000}"/>
    <cellStyle name="Heading 1 5" xfId="732" xr:uid="{00000000-0005-0000-0000-0000FA9A0000}"/>
    <cellStyle name="Heading 1 6" xfId="719" xr:uid="{00000000-0005-0000-0000-0000FB9A0000}"/>
    <cellStyle name="Heading 1 7" xfId="1517" xr:uid="{00000000-0005-0000-0000-0000FC9A0000}"/>
    <cellStyle name="Heading 1 8" xfId="725" xr:uid="{00000000-0005-0000-0000-0000FD9A0000}"/>
    <cellStyle name="Heading 1 8 2" xfId="3558" xr:uid="{00000000-0005-0000-0000-0000FE9A0000}"/>
    <cellStyle name="Heading 1 9" xfId="3557" xr:uid="{00000000-0005-0000-0000-0000FF9A0000}"/>
    <cellStyle name="Heading 2" xfId="3" builtinId="17" customBuiltin="1"/>
    <cellStyle name="Heading 2 10" xfId="134" xr:uid="{00000000-0005-0000-0000-0000019B0000}"/>
    <cellStyle name="Heading 2 2" xfId="176" xr:uid="{00000000-0005-0000-0000-0000029B0000}"/>
    <cellStyle name="Heading 2 2 2" xfId="378" xr:uid="{00000000-0005-0000-0000-0000039B0000}"/>
    <cellStyle name="Heading 2 2 3" xfId="2856" xr:uid="{00000000-0005-0000-0000-0000049B0000}"/>
    <cellStyle name="Heading 2 2 4" xfId="3610" xr:uid="{00000000-0005-0000-0000-0000059B0000}"/>
    <cellStyle name="Heading 2 3" xfId="191" xr:uid="{00000000-0005-0000-0000-0000069B0000}"/>
    <cellStyle name="Heading 2 3 2" xfId="524" xr:uid="{00000000-0005-0000-0000-0000079B0000}"/>
    <cellStyle name="Heading 2 3 3" xfId="476" xr:uid="{00000000-0005-0000-0000-0000089B0000}"/>
    <cellStyle name="Heading 2 3 4" xfId="1491" xr:uid="{00000000-0005-0000-0000-0000099B0000}"/>
    <cellStyle name="Heading 2 4" xfId="315" xr:uid="{00000000-0005-0000-0000-00000A9B0000}"/>
    <cellStyle name="Heading 2 5" xfId="733" xr:uid="{00000000-0005-0000-0000-00000B9B0000}"/>
    <cellStyle name="Heading 2 6" xfId="848" xr:uid="{00000000-0005-0000-0000-00000C9B0000}"/>
    <cellStyle name="Heading 2 7" xfId="1467" xr:uid="{00000000-0005-0000-0000-00000D9B0000}"/>
    <cellStyle name="Heading 2 8" xfId="1536" xr:uid="{00000000-0005-0000-0000-00000E9B0000}"/>
    <cellStyle name="Heading 2 8 2" xfId="3896" xr:uid="{00000000-0005-0000-0000-00000F9B0000}"/>
    <cellStyle name="Heading 2 9" xfId="2251" xr:uid="{00000000-0005-0000-0000-0000109B0000}"/>
    <cellStyle name="Heading 3" xfId="4" builtinId="18" customBuiltin="1"/>
    <cellStyle name="Heading 3 10" xfId="135" xr:uid="{00000000-0005-0000-0000-0000129B0000}"/>
    <cellStyle name="Heading 3 2" xfId="177" xr:uid="{00000000-0005-0000-0000-0000139B0000}"/>
    <cellStyle name="Heading 3 2 2" xfId="276" xr:uid="{00000000-0005-0000-0000-0000149B0000}"/>
    <cellStyle name="Heading 3 2 3" xfId="2857" xr:uid="{00000000-0005-0000-0000-0000159B0000}"/>
    <cellStyle name="Heading 3 2 4" xfId="3887" xr:uid="{00000000-0005-0000-0000-0000169B0000}"/>
    <cellStyle name="Heading 3 3" xfId="192" xr:uid="{00000000-0005-0000-0000-0000179B0000}"/>
    <cellStyle name="Heading 3 3 2" xfId="525" xr:uid="{00000000-0005-0000-0000-0000189B0000}"/>
    <cellStyle name="Heading 3 3 3" xfId="477" xr:uid="{00000000-0005-0000-0000-0000199B0000}"/>
    <cellStyle name="Heading 3 3 4" xfId="1459" xr:uid="{00000000-0005-0000-0000-00001A9B0000}"/>
    <cellStyle name="Heading 3 4" xfId="316" xr:uid="{00000000-0005-0000-0000-00001B9B0000}"/>
    <cellStyle name="Heading 3 5" xfId="734" xr:uid="{00000000-0005-0000-0000-00001C9B0000}"/>
    <cellStyle name="Heading 3 6" xfId="1429" xr:uid="{00000000-0005-0000-0000-00001D9B0000}"/>
    <cellStyle name="Heading 3 7" xfId="1512" xr:uid="{00000000-0005-0000-0000-00001E9B0000}"/>
    <cellStyle name="Heading 3 8" xfId="1435" xr:uid="{00000000-0005-0000-0000-00001F9B0000}"/>
    <cellStyle name="Heading 3 8 2" xfId="2174" xr:uid="{00000000-0005-0000-0000-0000209B0000}"/>
    <cellStyle name="Heading 3 9" xfId="3519" xr:uid="{00000000-0005-0000-0000-0000219B0000}"/>
    <cellStyle name="Heading 4" xfId="5" builtinId="19" customBuiltin="1"/>
    <cellStyle name="Heading 4 10" xfId="136" xr:uid="{00000000-0005-0000-0000-0000239B0000}"/>
    <cellStyle name="Heading 4 2" xfId="178" xr:uid="{00000000-0005-0000-0000-0000249B0000}"/>
    <cellStyle name="Heading 4 2 2" xfId="369" xr:uid="{00000000-0005-0000-0000-0000259B0000}"/>
    <cellStyle name="Heading 4 2 3" xfId="2858" xr:uid="{00000000-0005-0000-0000-0000269B0000}"/>
    <cellStyle name="Heading 4 2 4" xfId="2166" xr:uid="{00000000-0005-0000-0000-0000279B0000}"/>
    <cellStyle name="Heading 4 3" xfId="193" xr:uid="{00000000-0005-0000-0000-0000289B0000}"/>
    <cellStyle name="Heading 4 3 2" xfId="526" xr:uid="{00000000-0005-0000-0000-0000299B0000}"/>
    <cellStyle name="Heading 4 3 3" xfId="478" xr:uid="{00000000-0005-0000-0000-00002A9B0000}"/>
    <cellStyle name="Heading 4 3 4" xfId="1424" xr:uid="{00000000-0005-0000-0000-00002B9B0000}"/>
    <cellStyle name="Heading 4 4" xfId="317" xr:uid="{00000000-0005-0000-0000-00002C9B0000}"/>
    <cellStyle name="Heading 4 5" xfId="735" xr:uid="{00000000-0005-0000-0000-00002D9B0000}"/>
    <cellStyle name="Heading 4 6" xfId="1504" xr:uid="{00000000-0005-0000-0000-00002E9B0000}"/>
    <cellStyle name="Heading 4 7" xfId="729" xr:uid="{00000000-0005-0000-0000-00002F9B0000}"/>
    <cellStyle name="Heading 4 8" xfId="1525" xr:uid="{00000000-0005-0000-0000-0000309B0000}"/>
    <cellStyle name="Heading 4 8 2" xfId="2169" xr:uid="{00000000-0005-0000-0000-0000319B0000}"/>
    <cellStyle name="Heading 4 9" xfId="3496" xr:uid="{00000000-0005-0000-0000-0000329B0000}"/>
    <cellStyle name="Hyperlink" xfId="42" builtinId="8" customBuiltin="1"/>
    <cellStyle name="Hyperlink 2" xfId="58" xr:uid="{00000000-0005-0000-0000-0000349B0000}"/>
    <cellStyle name="Hyperlink 3" xfId="70" xr:uid="{00000000-0005-0000-0000-0000359B0000}"/>
    <cellStyle name="Input" xfId="9" builtinId="20" customBuiltin="1"/>
    <cellStyle name="Input 10" xfId="137" xr:uid="{00000000-0005-0000-0000-0000379B0000}"/>
    <cellStyle name="Input 2" xfId="179" xr:uid="{00000000-0005-0000-0000-0000389B0000}"/>
    <cellStyle name="Input 2 2" xfId="281" xr:uid="{00000000-0005-0000-0000-0000399B0000}"/>
    <cellStyle name="Input 2 3" xfId="2859" xr:uid="{00000000-0005-0000-0000-00003A9B0000}"/>
    <cellStyle name="Input 2 4" xfId="3516" xr:uid="{00000000-0005-0000-0000-00003B9B0000}"/>
    <cellStyle name="Input 3" xfId="197" xr:uid="{00000000-0005-0000-0000-00003C9B0000}"/>
    <cellStyle name="Input 3 2" xfId="530" xr:uid="{00000000-0005-0000-0000-00003D9B0000}"/>
    <cellStyle name="Input 3 3" xfId="479" xr:uid="{00000000-0005-0000-0000-00003E9B0000}"/>
    <cellStyle name="Input 3 4" xfId="1450" xr:uid="{00000000-0005-0000-0000-00003F9B0000}"/>
    <cellStyle name="Input 4" xfId="318" xr:uid="{00000000-0005-0000-0000-0000409B0000}"/>
    <cellStyle name="Input 5" xfId="739" xr:uid="{00000000-0005-0000-0000-0000419B0000}"/>
    <cellStyle name="Input 6" xfId="1495" xr:uid="{00000000-0005-0000-0000-0000429B0000}"/>
    <cellStyle name="Input 7" xfId="715" xr:uid="{00000000-0005-0000-0000-0000439B0000}"/>
    <cellStyle name="Input 8" xfId="895" xr:uid="{00000000-0005-0000-0000-0000449B0000}"/>
    <cellStyle name="Input 8 2" xfId="3889" xr:uid="{00000000-0005-0000-0000-0000459B0000}"/>
    <cellStyle name="Input 9" xfId="2798" xr:uid="{00000000-0005-0000-0000-0000469B0000}"/>
    <cellStyle name="Linked Cell" xfId="12" builtinId="24" customBuiltin="1"/>
    <cellStyle name="Linked Cell 10" xfId="138" xr:uid="{00000000-0005-0000-0000-0000489B0000}"/>
    <cellStyle name="Linked Cell 2" xfId="180" xr:uid="{00000000-0005-0000-0000-0000499B0000}"/>
    <cellStyle name="Linked Cell 2 2" xfId="387" xr:uid="{00000000-0005-0000-0000-00004A9B0000}"/>
    <cellStyle name="Linked Cell 2 3" xfId="2860" xr:uid="{00000000-0005-0000-0000-00004B9B0000}"/>
    <cellStyle name="Linked Cell 2 4" xfId="3907" xr:uid="{00000000-0005-0000-0000-00004C9B0000}"/>
    <cellStyle name="Linked Cell 3" xfId="200" xr:uid="{00000000-0005-0000-0000-00004D9B0000}"/>
    <cellStyle name="Linked Cell 3 2" xfId="533" xr:uid="{00000000-0005-0000-0000-00004E9B0000}"/>
    <cellStyle name="Linked Cell 3 3" xfId="480" xr:uid="{00000000-0005-0000-0000-00004F9B0000}"/>
    <cellStyle name="Linked Cell 3 4" xfId="1440" xr:uid="{00000000-0005-0000-0000-0000509B0000}"/>
    <cellStyle name="Linked Cell 4" xfId="319" xr:uid="{00000000-0005-0000-0000-0000519B0000}"/>
    <cellStyle name="Linked Cell 5" xfId="742" xr:uid="{00000000-0005-0000-0000-0000529B0000}"/>
    <cellStyle name="Linked Cell 6" xfId="1506" xr:uid="{00000000-0005-0000-0000-0000539B0000}"/>
    <cellStyle name="Linked Cell 7" xfId="1521" xr:uid="{00000000-0005-0000-0000-0000549B0000}"/>
    <cellStyle name="Linked Cell 8" xfId="1448" xr:uid="{00000000-0005-0000-0000-0000559B0000}"/>
    <cellStyle name="Linked Cell 8 2" xfId="3919" xr:uid="{00000000-0005-0000-0000-0000569B0000}"/>
    <cellStyle name="Linked Cell 9" xfId="3491" xr:uid="{00000000-0005-0000-0000-0000579B0000}"/>
    <cellStyle name="Neutral" xfId="8" builtinId="28" customBuiltin="1"/>
    <cellStyle name="Neutral 10" xfId="139" xr:uid="{00000000-0005-0000-0000-0000599B0000}"/>
    <cellStyle name="Neutral 2" xfId="181" xr:uid="{00000000-0005-0000-0000-00005A9B0000}"/>
    <cellStyle name="Neutral 2 2" xfId="382" xr:uid="{00000000-0005-0000-0000-00005B9B0000}"/>
    <cellStyle name="Neutral 2 3" xfId="2861" xr:uid="{00000000-0005-0000-0000-00005C9B0000}"/>
    <cellStyle name="Neutral 2 4" xfId="3918" xr:uid="{00000000-0005-0000-0000-00005D9B0000}"/>
    <cellStyle name="Neutral 3" xfId="196" xr:uid="{00000000-0005-0000-0000-00005E9B0000}"/>
    <cellStyle name="Neutral 3 2" xfId="529" xr:uid="{00000000-0005-0000-0000-00005F9B0000}"/>
    <cellStyle name="Neutral 3 3" xfId="481" xr:uid="{00000000-0005-0000-0000-0000609B0000}"/>
    <cellStyle name="Neutral 3 4" xfId="1447" xr:uid="{00000000-0005-0000-0000-0000619B0000}"/>
    <cellStyle name="Neutral 4" xfId="320" xr:uid="{00000000-0005-0000-0000-0000629B0000}"/>
    <cellStyle name="Neutral 5" xfId="738" xr:uid="{00000000-0005-0000-0000-0000639B0000}"/>
    <cellStyle name="Neutral 6" xfId="1501" xr:uid="{00000000-0005-0000-0000-0000649B0000}"/>
    <cellStyle name="Neutral 7" xfId="1518" xr:uid="{00000000-0005-0000-0000-0000659B0000}"/>
    <cellStyle name="Neutral 8" xfId="1534" xr:uid="{00000000-0005-0000-0000-0000669B0000}"/>
    <cellStyle name="Neutral 8 2" xfId="3927" xr:uid="{00000000-0005-0000-0000-0000679B0000}"/>
    <cellStyle name="Neutral 9" xfId="3483" xr:uid="{00000000-0005-0000-0000-0000689B0000}"/>
    <cellStyle name="Normal" xfId="0" builtinId="0"/>
    <cellStyle name="Normal 10" xfId="102" xr:uid="{00000000-0005-0000-0000-00006A9B0000}"/>
    <cellStyle name="Normal 11" xfId="2159" xr:uid="{00000000-0005-0000-0000-00006B9B0000}"/>
    <cellStyle name="Normal 12" xfId="3507" xr:uid="{00000000-0005-0000-0000-00006C9B0000}"/>
    <cellStyle name="Normal 13" xfId="3500" xr:uid="{00000000-0005-0000-0000-00006D9B0000}"/>
    <cellStyle name="Normal 14" xfId="101" xr:uid="{00000000-0005-0000-0000-00006E9B0000}"/>
    <cellStyle name="Normal 15" xfId="59" xr:uid="{00000000-0005-0000-0000-00006F9B0000}"/>
    <cellStyle name="Normal 2" xfId="44" xr:uid="{00000000-0005-0000-0000-0000709B0000}"/>
    <cellStyle name="Normal 2 10" xfId="3547" xr:uid="{00000000-0005-0000-0000-0000719B0000}"/>
    <cellStyle name="Normal 2 11" xfId="3936" xr:uid="{00000000-0005-0000-0000-0000729B0000}"/>
    <cellStyle name="Normal 2 12" xfId="145" xr:uid="{00000000-0005-0000-0000-0000739B0000}"/>
    <cellStyle name="Normal 2 13" xfId="82" xr:uid="{00000000-0005-0000-0000-0000749B0000}"/>
    <cellStyle name="Normal 2 2" xfId="277" xr:uid="{00000000-0005-0000-0000-0000759B0000}"/>
    <cellStyle name="Normal 2 2 10" xfId="6490" xr:uid="{00000000-0005-0000-0000-0000769B0000}"/>
    <cellStyle name="Normal 2 2 10 2" xfId="17791" xr:uid="{00000000-0005-0000-0000-0000779B0000}"/>
    <cellStyle name="Normal 2 2 10 2 2" xfId="40393" xr:uid="{00000000-0005-0000-0000-0000789B0000}"/>
    <cellStyle name="Normal 2 2 10 3" xfId="29092" xr:uid="{00000000-0005-0000-0000-0000799B0000}"/>
    <cellStyle name="Normal 2 2 11" xfId="12141" xr:uid="{00000000-0005-0000-0000-00007A9B0000}"/>
    <cellStyle name="Normal 2 2 11 2" xfId="34743" xr:uid="{00000000-0005-0000-0000-00007B9B0000}"/>
    <cellStyle name="Normal 2 2 12" xfId="23442" xr:uid="{00000000-0005-0000-0000-00007C9B0000}"/>
    <cellStyle name="Normal 2 2 2" xfId="442" xr:uid="{00000000-0005-0000-0000-00007D9B0000}"/>
    <cellStyle name="Normal 2 2 2 10" xfId="23537" xr:uid="{00000000-0005-0000-0000-00007E9B0000}"/>
    <cellStyle name="Normal 2 2 2 2" xfId="687" xr:uid="{00000000-0005-0000-0000-00007F9B0000}"/>
    <cellStyle name="Normal 2 2 2 2 2" xfId="1397" xr:uid="{00000000-0005-0000-0000-0000809B0000}"/>
    <cellStyle name="Normal 2 2 2 2 2 2" xfId="2080" xr:uid="{00000000-0005-0000-0000-0000819B0000}"/>
    <cellStyle name="Normal 2 2 2 2 2 2 2" xfId="3466" xr:uid="{00000000-0005-0000-0000-0000829B0000}"/>
    <cellStyle name="Normal 2 2 2 2 2 2 2 2" xfId="6438" xr:uid="{00000000-0005-0000-0000-0000839B0000}"/>
    <cellStyle name="Normal 2 2 2 2 2 2 2 2 2" xfId="12088" xr:uid="{00000000-0005-0000-0000-0000849B0000}"/>
    <cellStyle name="Normal 2 2 2 2 2 2 2 2 2 2" xfId="23389" xr:uid="{00000000-0005-0000-0000-0000859B0000}"/>
    <cellStyle name="Normal 2 2 2 2 2 2 2 2 2 2 2" xfId="45991" xr:uid="{00000000-0005-0000-0000-0000869B0000}"/>
    <cellStyle name="Normal 2 2 2 2 2 2 2 2 2 3" xfId="34690" xr:uid="{00000000-0005-0000-0000-0000879B0000}"/>
    <cellStyle name="Normal 2 2 2 2 2 2 2 2 3" xfId="17739" xr:uid="{00000000-0005-0000-0000-0000889B0000}"/>
    <cellStyle name="Normal 2 2 2 2 2 2 2 2 3 2" xfId="40341" xr:uid="{00000000-0005-0000-0000-0000899B0000}"/>
    <cellStyle name="Normal 2 2 2 2 2 2 2 2 4" xfId="29040" xr:uid="{00000000-0005-0000-0000-00008A9B0000}"/>
    <cellStyle name="Normal 2 2 2 2 2 2 2 3" xfId="9256" xr:uid="{00000000-0005-0000-0000-00008B9B0000}"/>
    <cellStyle name="Normal 2 2 2 2 2 2 2 3 2" xfId="20557" xr:uid="{00000000-0005-0000-0000-00008C9B0000}"/>
    <cellStyle name="Normal 2 2 2 2 2 2 2 3 2 2" xfId="43159" xr:uid="{00000000-0005-0000-0000-00008D9B0000}"/>
    <cellStyle name="Normal 2 2 2 2 2 2 2 3 3" xfId="31858" xr:uid="{00000000-0005-0000-0000-00008E9B0000}"/>
    <cellStyle name="Normal 2 2 2 2 2 2 2 4" xfId="14907" xr:uid="{00000000-0005-0000-0000-00008F9B0000}"/>
    <cellStyle name="Normal 2 2 2 2 2 2 2 4 2" xfId="37509" xr:uid="{00000000-0005-0000-0000-0000909B0000}"/>
    <cellStyle name="Normal 2 2 2 2 2 2 2 5" xfId="26208" xr:uid="{00000000-0005-0000-0000-0000919B0000}"/>
    <cellStyle name="Normal 2 2 2 2 2 2 3" xfId="5204" xr:uid="{00000000-0005-0000-0000-0000929B0000}"/>
    <cellStyle name="Normal 2 2 2 2 2 2 3 2" xfId="10854" xr:uid="{00000000-0005-0000-0000-0000939B0000}"/>
    <cellStyle name="Normal 2 2 2 2 2 2 3 2 2" xfId="22155" xr:uid="{00000000-0005-0000-0000-0000949B0000}"/>
    <cellStyle name="Normal 2 2 2 2 2 2 3 2 2 2" xfId="44757" xr:uid="{00000000-0005-0000-0000-0000959B0000}"/>
    <cellStyle name="Normal 2 2 2 2 2 2 3 2 3" xfId="33456" xr:uid="{00000000-0005-0000-0000-0000969B0000}"/>
    <cellStyle name="Normal 2 2 2 2 2 2 3 3" xfId="16505" xr:uid="{00000000-0005-0000-0000-0000979B0000}"/>
    <cellStyle name="Normal 2 2 2 2 2 2 3 3 2" xfId="39107" xr:uid="{00000000-0005-0000-0000-0000989B0000}"/>
    <cellStyle name="Normal 2 2 2 2 2 2 3 4" xfId="27806" xr:uid="{00000000-0005-0000-0000-0000999B0000}"/>
    <cellStyle name="Normal 2 2 2 2 2 2 4" xfId="7936" xr:uid="{00000000-0005-0000-0000-00009A9B0000}"/>
    <cellStyle name="Normal 2 2 2 2 2 2 4 2" xfId="19237" xr:uid="{00000000-0005-0000-0000-00009B9B0000}"/>
    <cellStyle name="Normal 2 2 2 2 2 2 4 2 2" xfId="41839" xr:uid="{00000000-0005-0000-0000-00009C9B0000}"/>
    <cellStyle name="Normal 2 2 2 2 2 2 4 3" xfId="30538" xr:uid="{00000000-0005-0000-0000-00009D9B0000}"/>
    <cellStyle name="Normal 2 2 2 2 2 2 5" xfId="13587" xr:uid="{00000000-0005-0000-0000-00009E9B0000}"/>
    <cellStyle name="Normal 2 2 2 2 2 2 5 2" xfId="36189" xr:uid="{00000000-0005-0000-0000-00009F9B0000}"/>
    <cellStyle name="Normal 2 2 2 2 2 2 6" xfId="24888" xr:uid="{00000000-0005-0000-0000-0000A09B0000}"/>
    <cellStyle name="Normal 2 2 2 2 2 3" xfId="2795" xr:uid="{00000000-0005-0000-0000-0000A19B0000}"/>
    <cellStyle name="Normal 2 2 2 2 2 3 2" xfId="5814" xr:uid="{00000000-0005-0000-0000-0000A29B0000}"/>
    <cellStyle name="Normal 2 2 2 2 2 3 2 2" xfId="11464" xr:uid="{00000000-0005-0000-0000-0000A39B0000}"/>
    <cellStyle name="Normal 2 2 2 2 2 3 2 2 2" xfId="22765" xr:uid="{00000000-0005-0000-0000-0000A49B0000}"/>
    <cellStyle name="Normal 2 2 2 2 2 3 2 2 2 2" xfId="45367" xr:uid="{00000000-0005-0000-0000-0000A59B0000}"/>
    <cellStyle name="Normal 2 2 2 2 2 3 2 2 3" xfId="34066" xr:uid="{00000000-0005-0000-0000-0000A69B0000}"/>
    <cellStyle name="Normal 2 2 2 2 2 3 2 3" xfId="17115" xr:uid="{00000000-0005-0000-0000-0000A79B0000}"/>
    <cellStyle name="Normal 2 2 2 2 2 3 2 3 2" xfId="39717" xr:uid="{00000000-0005-0000-0000-0000A89B0000}"/>
    <cellStyle name="Normal 2 2 2 2 2 3 2 4" xfId="28416" xr:uid="{00000000-0005-0000-0000-0000A99B0000}"/>
    <cellStyle name="Normal 2 2 2 2 2 3 3" xfId="8631" xr:uid="{00000000-0005-0000-0000-0000AA9B0000}"/>
    <cellStyle name="Normal 2 2 2 2 2 3 3 2" xfId="19932" xr:uid="{00000000-0005-0000-0000-0000AB9B0000}"/>
    <cellStyle name="Normal 2 2 2 2 2 3 3 2 2" xfId="42534" xr:uid="{00000000-0005-0000-0000-0000AC9B0000}"/>
    <cellStyle name="Normal 2 2 2 2 2 3 3 3" xfId="31233" xr:uid="{00000000-0005-0000-0000-0000AD9B0000}"/>
    <cellStyle name="Normal 2 2 2 2 2 3 4" xfId="14282" xr:uid="{00000000-0005-0000-0000-0000AE9B0000}"/>
    <cellStyle name="Normal 2 2 2 2 2 3 4 2" xfId="36884" xr:uid="{00000000-0005-0000-0000-0000AF9B0000}"/>
    <cellStyle name="Normal 2 2 2 2 2 3 5" xfId="25583" xr:uid="{00000000-0005-0000-0000-0000B09B0000}"/>
    <cellStyle name="Normal 2 2 2 2 2 4" xfId="4580" xr:uid="{00000000-0005-0000-0000-0000B19B0000}"/>
    <cellStyle name="Normal 2 2 2 2 2 4 2" xfId="10230" xr:uid="{00000000-0005-0000-0000-0000B29B0000}"/>
    <cellStyle name="Normal 2 2 2 2 2 4 2 2" xfId="21531" xr:uid="{00000000-0005-0000-0000-0000B39B0000}"/>
    <cellStyle name="Normal 2 2 2 2 2 4 2 2 2" xfId="44133" xr:uid="{00000000-0005-0000-0000-0000B49B0000}"/>
    <cellStyle name="Normal 2 2 2 2 2 4 2 3" xfId="32832" xr:uid="{00000000-0005-0000-0000-0000B59B0000}"/>
    <cellStyle name="Normal 2 2 2 2 2 4 3" xfId="15881" xr:uid="{00000000-0005-0000-0000-0000B69B0000}"/>
    <cellStyle name="Normal 2 2 2 2 2 4 3 2" xfId="38483" xr:uid="{00000000-0005-0000-0000-0000B79B0000}"/>
    <cellStyle name="Normal 2 2 2 2 2 4 4" xfId="27182" xr:uid="{00000000-0005-0000-0000-0000B89B0000}"/>
    <cellStyle name="Normal 2 2 2 2 2 5" xfId="7376" xr:uid="{00000000-0005-0000-0000-0000B99B0000}"/>
    <cellStyle name="Normal 2 2 2 2 2 5 2" xfId="18677" xr:uid="{00000000-0005-0000-0000-0000BA9B0000}"/>
    <cellStyle name="Normal 2 2 2 2 2 5 2 2" xfId="41279" xr:uid="{00000000-0005-0000-0000-0000BB9B0000}"/>
    <cellStyle name="Normal 2 2 2 2 2 5 3" xfId="29978" xr:uid="{00000000-0005-0000-0000-0000BC9B0000}"/>
    <cellStyle name="Normal 2 2 2 2 2 6" xfId="13027" xr:uid="{00000000-0005-0000-0000-0000BD9B0000}"/>
    <cellStyle name="Normal 2 2 2 2 2 6 2" xfId="35629" xr:uid="{00000000-0005-0000-0000-0000BE9B0000}"/>
    <cellStyle name="Normal 2 2 2 2 2 7" xfId="24328" xr:uid="{00000000-0005-0000-0000-0000BF9B0000}"/>
    <cellStyle name="Normal 2 2 2 2 3" xfId="1095" xr:uid="{00000000-0005-0000-0000-0000C09B0000}"/>
    <cellStyle name="Normal 2 2 2 2 3 2" xfId="3158" xr:uid="{00000000-0005-0000-0000-0000C19B0000}"/>
    <cellStyle name="Normal 2 2 2 2 3 2 2" xfId="6130" xr:uid="{00000000-0005-0000-0000-0000C29B0000}"/>
    <cellStyle name="Normal 2 2 2 2 3 2 2 2" xfId="11780" xr:uid="{00000000-0005-0000-0000-0000C39B0000}"/>
    <cellStyle name="Normal 2 2 2 2 3 2 2 2 2" xfId="23081" xr:uid="{00000000-0005-0000-0000-0000C49B0000}"/>
    <cellStyle name="Normal 2 2 2 2 3 2 2 2 2 2" xfId="45683" xr:uid="{00000000-0005-0000-0000-0000C59B0000}"/>
    <cellStyle name="Normal 2 2 2 2 3 2 2 2 3" xfId="34382" xr:uid="{00000000-0005-0000-0000-0000C69B0000}"/>
    <cellStyle name="Normal 2 2 2 2 3 2 2 3" xfId="17431" xr:uid="{00000000-0005-0000-0000-0000C79B0000}"/>
    <cellStyle name="Normal 2 2 2 2 3 2 2 3 2" xfId="40033" xr:uid="{00000000-0005-0000-0000-0000C89B0000}"/>
    <cellStyle name="Normal 2 2 2 2 3 2 2 4" xfId="28732" xr:uid="{00000000-0005-0000-0000-0000C99B0000}"/>
    <cellStyle name="Normal 2 2 2 2 3 2 3" xfId="8948" xr:uid="{00000000-0005-0000-0000-0000CA9B0000}"/>
    <cellStyle name="Normal 2 2 2 2 3 2 3 2" xfId="20249" xr:uid="{00000000-0005-0000-0000-0000CB9B0000}"/>
    <cellStyle name="Normal 2 2 2 2 3 2 3 2 2" xfId="42851" xr:uid="{00000000-0005-0000-0000-0000CC9B0000}"/>
    <cellStyle name="Normal 2 2 2 2 3 2 3 3" xfId="31550" xr:uid="{00000000-0005-0000-0000-0000CD9B0000}"/>
    <cellStyle name="Normal 2 2 2 2 3 2 4" xfId="14599" xr:uid="{00000000-0005-0000-0000-0000CE9B0000}"/>
    <cellStyle name="Normal 2 2 2 2 3 2 4 2" xfId="37201" xr:uid="{00000000-0005-0000-0000-0000CF9B0000}"/>
    <cellStyle name="Normal 2 2 2 2 3 2 5" xfId="25900" xr:uid="{00000000-0005-0000-0000-0000D09B0000}"/>
    <cellStyle name="Normal 2 2 2 2 3 3" xfId="4896" xr:uid="{00000000-0005-0000-0000-0000D19B0000}"/>
    <cellStyle name="Normal 2 2 2 2 3 3 2" xfId="10546" xr:uid="{00000000-0005-0000-0000-0000D29B0000}"/>
    <cellStyle name="Normal 2 2 2 2 3 3 2 2" xfId="21847" xr:uid="{00000000-0005-0000-0000-0000D39B0000}"/>
    <cellStyle name="Normal 2 2 2 2 3 3 2 2 2" xfId="44449" xr:uid="{00000000-0005-0000-0000-0000D49B0000}"/>
    <cellStyle name="Normal 2 2 2 2 3 3 2 3" xfId="33148" xr:uid="{00000000-0005-0000-0000-0000D59B0000}"/>
    <cellStyle name="Normal 2 2 2 2 3 3 3" xfId="16197" xr:uid="{00000000-0005-0000-0000-0000D69B0000}"/>
    <cellStyle name="Normal 2 2 2 2 3 3 3 2" xfId="38799" xr:uid="{00000000-0005-0000-0000-0000D79B0000}"/>
    <cellStyle name="Normal 2 2 2 2 3 3 4" xfId="27498" xr:uid="{00000000-0005-0000-0000-0000D89B0000}"/>
    <cellStyle name="Normal 2 2 2 2 3 4" xfId="7083" xr:uid="{00000000-0005-0000-0000-0000D99B0000}"/>
    <cellStyle name="Normal 2 2 2 2 3 4 2" xfId="18384" xr:uid="{00000000-0005-0000-0000-0000DA9B0000}"/>
    <cellStyle name="Normal 2 2 2 2 3 4 2 2" xfId="40986" xr:uid="{00000000-0005-0000-0000-0000DB9B0000}"/>
    <cellStyle name="Normal 2 2 2 2 3 4 3" xfId="29685" xr:uid="{00000000-0005-0000-0000-0000DC9B0000}"/>
    <cellStyle name="Normal 2 2 2 2 3 5" xfId="12734" xr:uid="{00000000-0005-0000-0000-0000DD9B0000}"/>
    <cellStyle name="Normal 2 2 2 2 3 5 2" xfId="35336" xr:uid="{00000000-0005-0000-0000-0000DE9B0000}"/>
    <cellStyle name="Normal 2 2 2 2 3 6" xfId="24035" xr:uid="{00000000-0005-0000-0000-0000DF9B0000}"/>
    <cellStyle name="Normal 2 2 2 2 4" xfId="2079" xr:uid="{00000000-0005-0000-0000-0000E09B0000}"/>
    <cellStyle name="Normal 2 2 2 2 4 2" xfId="3845" xr:uid="{00000000-0005-0000-0000-0000E19B0000}"/>
    <cellStyle name="Normal 2 2 2 2 4 2 2" xfId="9553" xr:uid="{00000000-0005-0000-0000-0000E29B0000}"/>
    <cellStyle name="Normal 2 2 2 2 4 2 2 2" xfId="20854" xr:uid="{00000000-0005-0000-0000-0000E39B0000}"/>
    <cellStyle name="Normal 2 2 2 2 4 2 2 2 2" xfId="43456" xr:uid="{00000000-0005-0000-0000-0000E49B0000}"/>
    <cellStyle name="Normal 2 2 2 2 4 2 2 3" xfId="32155" xr:uid="{00000000-0005-0000-0000-0000E59B0000}"/>
    <cellStyle name="Normal 2 2 2 2 4 2 3" xfId="15204" xr:uid="{00000000-0005-0000-0000-0000E69B0000}"/>
    <cellStyle name="Normal 2 2 2 2 4 2 3 2" xfId="37806" xr:uid="{00000000-0005-0000-0000-0000E79B0000}"/>
    <cellStyle name="Normal 2 2 2 2 4 2 4" xfId="26505" xr:uid="{00000000-0005-0000-0000-0000E89B0000}"/>
    <cellStyle name="Normal 2 2 2 2 4 3" xfId="5506" xr:uid="{00000000-0005-0000-0000-0000E99B0000}"/>
    <cellStyle name="Normal 2 2 2 2 4 3 2" xfId="11156" xr:uid="{00000000-0005-0000-0000-0000EA9B0000}"/>
    <cellStyle name="Normal 2 2 2 2 4 3 2 2" xfId="22457" xr:uid="{00000000-0005-0000-0000-0000EB9B0000}"/>
    <cellStyle name="Normal 2 2 2 2 4 3 2 2 2" xfId="45059" xr:uid="{00000000-0005-0000-0000-0000EC9B0000}"/>
    <cellStyle name="Normal 2 2 2 2 4 3 2 3" xfId="33758" xr:uid="{00000000-0005-0000-0000-0000ED9B0000}"/>
    <cellStyle name="Normal 2 2 2 2 4 3 3" xfId="16807" xr:uid="{00000000-0005-0000-0000-0000EE9B0000}"/>
    <cellStyle name="Normal 2 2 2 2 4 3 3 2" xfId="39409" xr:uid="{00000000-0005-0000-0000-0000EF9B0000}"/>
    <cellStyle name="Normal 2 2 2 2 4 3 4" xfId="28108" xr:uid="{00000000-0005-0000-0000-0000F09B0000}"/>
    <cellStyle name="Normal 2 2 2 2 4 4" xfId="7935" xr:uid="{00000000-0005-0000-0000-0000F19B0000}"/>
    <cellStyle name="Normal 2 2 2 2 4 4 2" xfId="19236" xr:uid="{00000000-0005-0000-0000-0000F29B0000}"/>
    <cellStyle name="Normal 2 2 2 2 4 4 2 2" xfId="41838" xr:uid="{00000000-0005-0000-0000-0000F39B0000}"/>
    <cellStyle name="Normal 2 2 2 2 4 4 3" xfId="30537" xr:uid="{00000000-0005-0000-0000-0000F49B0000}"/>
    <cellStyle name="Normal 2 2 2 2 4 5" xfId="13586" xr:uid="{00000000-0005-0000-0000-0000F59B0000}"/>
    <cellStyle name="Normal 2 2 2 2 4 5 2" xfId="36188" xr:uid="{00000000-0005-0000-0000-0000F69B0000}"/>
    <cellStyle name="Normal 2 2 2 2 4 6" xfId="24887" xr:uid="{00000000-0005-0000-0000-0000F79B0000}"/>
    <cellStyle name="Normal 2 2 2 2 5" xfId="2487" xr:uid="{00000000-0005-0000-0000-0000F89B0000}"/>
    <cellStyle name="Normal 2 2 2 2 5 2" xfId="8323" xr:uid="{00000000-0005-0000-0000-0000F99B0000}"/>
    <cellStyle name="Normal 2 2 2 2 5 2 2" xfId="19624" xr:uid="{00000000-0005-0000-0000-0000FA9B0000}"/>
    <cellStyle name="Normal 2 2 2 2 5 2 2 2" xfId="42226" xr:uid="{00000000-0005-0000-0000-0000FB9B0000}"/>
    <cellStyle name="Normal 2 2 2 2 5 2 3" xfId="30925" xr:uid="{00000000-0005-0000-0000-0000FC9B0000}"/>
    <cellStyle name="Normal 2 2 2 2 5 3" xfId="13974" xr:uid="{00000000-0005-0000-0000-0000FD9B0000}"/>
    <cellStyle name="Normal 2 2 2 2 5 3 2" xfId="36576" xr:uid="{00000000-0005-0000-0000-0000FE9B0000}"/>
    <cellStyle name="Normal 2 2 2 2 5 4" xfId="25275" xr:uid="{00000000-0005-0000-0000-0000FF9B0000}"/>
    <cellStyle name="Normal 2 2 2 2 6" xfId="4272" xr:uid="{00000000-0005-0000-0000-0000009C0000}"/>
    <cellStyle name="Normal 2 2 2 2 6 2" xfId="9922" xr:uid="{00000000-0005-0000-0000-0000019C0000}"/>
    <cellStyle name="Normal 2 2 2 2 6 2 2" xfId="21223" xr:uid="{00000000-0005-0000-0000-0000029C0000}"/>
    <cellStyle name="Normal 2 2 2 2 6 2 2 2" xfId="43825" xr:uid="{00000000-0005-0000-0000-0000039C0000}"/>
    <cellStyle name="Normal 2 2 2 2 6 2 3" xfId="32524" xr:uid="{00000000-0005-0000-0000-0000049C0000}"/>
    <cellStyle name="Normal 2 2 2 2 6 3" xfId="15573" xr:uid="{00000000-0005-0000-0000-0000059C0000}"/>
    <cellStyle name="Normal 2 2 2 2 6 3 2" xfId="38175" xr:uid="{00000000-0005-0000-0000-0000069C0000}"/>
    <cellStyle name="Normal 2 2 2 2 6 4" xfId="26874" xr:uid="{00000000-0005-0000-0000-0000079C0000}"/>
    <cellStyle name="Normal 2 2 2 2 7" xfId="6752" xr:uid="{00000000-0005-0000-0000-0000089C0000}"/>
    <cellStyle name="Normal 2 2 2 2 7 2" xfId="18053" xr:uid="{00000000-0005-0000-0000-0000099C0000}"/>
    <cellStyle name="Normal 2 2 2 2 7 2 2" xfId="40655" xr:uid="{00000000-0005-0000-0000-00000A9C0000}"/>
    <cellStyle name="Normal 2 2 2 2 7 3" xfId="29354" xr:uid="{00000000-0005-0000-0000-00000B9C0000}"/>
    <cellStyle name="Normal 2 2 2 2 8" xfId="12403" xr:uid="{00000000-0005-0000-0000-00000C9C0000}"/>
    <cellStyle name="Normal 2 2 2 2 8 2" xfId="35005" xr:uid="{00000000-0005-0000-0000-00000D9C0000}"/>
    <cellStyle name="Normal 2 2 2 2 9" xfId="23704" xr:uid="{00000000-0005-0000-0000-00000E9C0000}"/>
    <cellStyle name="Normal 2 2 2 3" xfId="1259" xr:uid="{00000000-0005-0000-0000-00000F9C0000}"/>
    <cellStyle name="Normal 2 2 2 3 2" xfId="2081" xr:uid="{00000000-0005-0000-0000-0000109C0000}"/>
    <cellStyle name="Normal 2 2 2 3 2 2" xfId="3327" xr:uid="{00000000-0005-0000-0000-0000119C0000}"/>
    <cellStyle name="Normal 2 2 2 3 2 2 2" xfId="6299" xr:uid="{00000000-0005-0000-0000-0000129C0000}"/>
    <cellStyle name="Normal 2 2 2 3 2 2 2 2" xfId="11949" xr:uid="{00000000-0005-0000-0000-0000139C0000}"/>
    <cellStyle name="Normal 2 2 2 3 2 2 2 2 2" xfId="23250" xr:uid="{00000000-0005-0000-0000-0000149C0000}"/>
    <cellStyle name="Normal 2 2 2 3 2 2 2 2 2 2" xfId="45852" xr:uid="{00000000-0005-0000-0000-0000159C0000}"/>
    <cellStyle name="Normal 2 2 2 3 2 2 2 2 3" xfId="34551" xr:uid="{00000000-0005-0000-0000-0000169C0000}"/>
    <cellStyle name="Normal 2 2 2 3 2 2 2 3" xfId="17600" xr:uid="{00000000-0005-0000-0000-0000179C0000}"/>
    <cellStyle name="Normal 2 2 2 3 2 2 2 3 2" xfId="40202" xr:uid="{00000000-0005-0000-0000-0000189C0000}"/>
    <cellStyle name="Normal 2 2 2 3 2 2 2 4" xfId="28901" xr:uid="{00000000-0005-0000-0000-0000199C0000}"/>
    <cellStyle name="Normal 2 2 2 3 2 2 3" xfId="9117" xr:uid="{00000000-0005-0000-0000-00001A9C0000}"/>
    <cellStyle name="Normal 2 2 2 3 2 2 3 2" xfId="20418" xr:uid="{00000000-0005-0000-0000-00001B9C0000}"/>
    <cellStyle name="Normal 2 2 2 3 2 2 3 2 2" xfId="43020" xr:uid="{00000000-0005-0000-0000-00001C9C0000}"/>
    <cellStyle name="Normal 2 2 2 3 2 2 3 3" xfId="31719" xr:uid="{00000000-0005-0000-0000-00001D9C0000}"/>
    <cellStyle name="Normal 2 2 2 3 2 2 4" xfId="14768" xr:uid="{00000000-0005-0000-0000-00001E9C0000}"/>
    <cellStyle name="Normal 2 2 2 3 2 2 4 2" xfId="37370" xr:uid="{00000000-0005-0000-0000-00001F9C0000}"/>
    <cellStyle name="Normal 2 2 2 3 2 2 5" xfId="26069" xr:uid="{00000000-0005-0000-0000-0000209C0000}"/>
    <cellStyle name="Normal 2 2 2 3 2 3" xfId="5065" xr:uid="{00000000-0005-0000-0000-0000219C0000}"/>
    <cellStyle name="Normal 2 2 2 3 2 3 2" xfId="10715" xr:uid="{00000000-0005-0000-0000-0000229C0000}"/>
    <cellStyle name="Normal 2 2 2 3 2 3 2 2" xfId="22016" xr:uid="{00000000-0005-0000-0000-0000239C0000}"/>
    <cellStyle name="Normal 2 2 2 3 2 3 2 2 2" xfId="44618" xr:uid="{00000000-0005-0000-0000-0000249C0000}"/>
    <cellStyle name="Normal 2 2 2 3 2 3 2 3" xfId="33317" xr:uid="{00000000-0005-0000-0000-0000259C0000}"/>
    <cellStyle name="Normal 2 2 2 3 2 3 3" xfId="16366" xr:uid="{00000000-0005-0000-0000-0000269C0000}"/>
    <cellStyle name="Normal 2 2 2 3 2 3 3 2" xfId="38968" xr:uid="{00000000-0005-0000-0000-0000279C0000}"/>
    <cellStyle name="Normal 2 2 2 3 2 3 4" xfId="27667" xr:uid="{00000000-0005-0000-0000-0000289C0000}"/>
    <cellStyle name="Normal 2 2 2 3 2 4" xfId="7937" xr:uid="{00000000-0005-0000-0000-0000299C0000}"/>
    <cellStyle name="Normal 2 2 2 3 2 4 2" xfId="19238" xr:uid="{00000000-0005-0000-0000-00002A9C0000}"/>
    <cellStyle name="Normal 2 2 2 3 2 4 2 2" xfId="41840" xr:uid="{00000000-0005-0000-0000-00002B9C0000}"/>
    <cellStyle name="Normal 2 2 2 3 2 4 3" xfId="30539" xr:uid="{00000000-0005-0000-0000-00002C9C0000}"/>
    <cellStyle name="Normal 2 2 2 3 2 5" xfId="13588" xr:uid="{00000000-0005-0000-0000-00002D9C0000}"/>
    <cellStyle name="Normal 2 2 2 3 2 5 2" xfId="36190" xr:uid="{00000000-0005-0000-0000-00002E9C0000}"/>
    <cellStyle name="Normal 2 2 2 3 2 6" xfId="24889" xr:uid="{00000000-0005-0000-0000-00002F9C0000}"/>
    <cellStyle name="Normal 2 2 2 3 3" xfId="2656" xr:uid="{00000000-0005-0000-0000-0000309C0000}"/>
    <cellStyle name="Normal 2 2 2 3 3 2" xfId="5675" xr:uid="{00000000-0005-0000-0000-0000319C0000}"/>
    <cellStyle name="Normal 2 2 2 3 3 2 2" xfId="11325" xr:uid="{00000000-0005-0000-0000-0000329C0000}"/>
    <cellStyle name="Normal 2 2 2 3 3 2 2 2" xfId="22626" xr:uid="{00000000-0005-0000-0000-0000339C0000}"/>
    <cellStyle name="Normal 2 2 2 3 3 2 2 2 2" xfId="45228" xr:uid="{00000000-0005-0000-0000-0000349C0000}"/>
    <cellStyle name="Normal 2 2 2 3 3 2 2 3" xfId="33927" xr:uid="{00000000-0005-0000-0000-0000359C0000}"/>
    <cellStyle name="Normal 2 2 2 3 3 2 3" xfId="16976" xr:uid="{00000000-0005-0000-0000-0000369C0000}"/>
    <cellStyle name="Normal 2 2 2 3 3 2 3 2" xfId="39578" xr:uid="{00000000-0005-0000-0000-0000379C0000}"/>
    <cellStyle name="Normal 2 2 2 3 3 2 4" xfId="28277" xr:uid="{00000000-0005-0000-0000-0000389C0000}"/>
    <cellStyle name="Normal 2 2 2 3 3 3" xfId="8492" xr:uid="{00000000-0005-0000-0000-0000399C0000}"/>
    <cellStyle name="Normal 2 2 2 3 3 3 2" xfId="19793" xr:uid="{00000000-0005-0000-0000-00003A9C0000}"/>
    <cellStyle name="Normal 2 2 2 3 3 3 2 2" xfId="42395" xr:uid="{00000000-0005-0000-0000-00003B9C0000}"/>
    <cellStyle name="Normal 2 2 2 3 3 3 3" xfId="31094" xr:uid="{00000000-0005-0000-0000-00003C9C0000}"/>
    <cellStyle name="Normal 2 2 2 3 3 4" xfId="14143" xr:uid="{00000000-0005-0000-0000-00003D9C0000}"/>
    <cellStyle name="Normal 2 2 2 3 3 4 2" xfId="36745" xr:uid="{00000000-0005-0000-0000-00003E9C0000}"/>
    <cellStyle name="Normal 2 2 2 3 3 5" xfId="25444" xr:uid="{00000000-0005-0000-0000-00003F9C0000}"/>
    <cellStyle name="Normal 2 2 2 3 4" xfId="4441" xr:uid="{00000000-0005-0000-0000-0000409C0000}"/>
    <cellStyle name="Normal 2 2 2 3 4 2" xfId="10091" xr:uid="{00000000-0005-0000-0000-0000419C0000}"/>
    <cellStyle name="Normal 2 2 2 3 4 2 2" xfId="21392" xr:uid="{00000000-0005-0000-0000-0000429C0000}"/>
    <cellStyle name="Normal 2 2 2 3 4 2 2 2" xfId="43994" xr:uid="{00000000-0005-0000-0000-0000439C0000}"/>
    <cellStyle name="Normal 2 2 2 3 4 2 3" xfId="32693" xr:uid="{00000000-0005-0000-0000-0000449C0000}"/>
    <cellStyle name="Normal 2 2 2 3 4 3" xfId="15742" xr:uid="{00000000-0005-0000-0000-0000459C0000}"/>
    <cellStyle name="Normal 2 2 2 3 4 3 2" xfId="38344" xr:uid="{00000000-0005-0000-0000-0000469C0000}"/>
    <cellStyle name="Normal 2 2 2 3 4 4" xfId="27043" xr:uid="{00000000-0005-0000-0000-0000479C0000}"/>
    <cellStyle name="Normal 2 2 2 3 5" xfId="7238" xr:uid="{00000000-0005-0000-0000-0000489C0000}"/>
    <cellStyle name="Normal 2 2 2 3 5 2" xfId="18539" xr:uid="{00000000-0005-0000-0000-0000499C0000}"/>
    <cellStyle name="Normal 2 2 2 3 5 2 2" xfId="41141" xr:uid="{00000000-0005-0000-0000-00004A9C0000}"/>
    <cellStyle name="Normal 2 2 2 3 5 3" xfId="29840" xr:uid="{00000000-0005-0000-0000-00004B9C0000}"/>
    <cellStyle name="Normal 2 2 2 3 6" xfId="12889" xr:uid="{00000000-0005-0000-0000-00004C9C0000}"/>
    <cellStyle name="Normal 2 2 2 3 6 2" xfId="35491" xr:uid="{00000000-0005-0000-0000-00004D9C0000}"/>
    <cellStyle name="Normal 2 2 2 3 7" xfId="24190" xr:uid="{00000000-0005-0000-0000-00004E9C0000}"/>
    <cellStyle name="Normal 2 2 2 4" xfId="950" xr:uid="{00000000-0005-0000-0000-00004F9C0000}"/>
    <cellStyle name="Normal 2 2 2 4 2" xfId="3020" xr:uid="{00000000-0005-0000-0000-0000509C0000}"/>
    <cellStyle name="Normal 2 2 2 4 2 2" xfId="5992" xr:uid="{00000000-0005-0000-0000-0000519C0000}"/>
    <cellStyle name="Normal 2 2 2 4 2 2 2" xfId="11642" xr:uid="{00000000-0005-0000-0000-0000529C0000}"/>
    <cellStyle name="Normal 2 2 2 4 2 2 2 2" xfId="22943" xr:uid="{00000000-0005-0000-0000-0000539C0000}"/>
    <cellStyle name="Normal 2 2 2 4 2 2 2 2 2" xfId="45545" xr:uid="{00000000-0005-0000-0000-0000549C0000}"/>
    <cellStyle name="Normal 2 2 2 4 2 2 2 3" xfId="34244" xr:uid="{00000000-0005-0000-0000-0000559C0000}"/>
    <cellStyle name="Normal 2 2 2 4 2 2 3" xfId="17293" xr:uid="{00000000-0005-0000-0000-0000569C0000}"/>
    <cellStyle name="Normal 2 2 2 4 2 2 3 2" xfId="39895" xr:uid="{00000000-0005-0000-0000-0000579C0000}"/>
    <cellStyle name="Normal 2 2 2 4 2 2 4" xfId="28594" xr:uid="{00000000-0005-0000-0000-0000589C0000}"/>
    <cellStyle name="Normal 2 2 2 4 2 3" xfId="8810" xr:uid="{00000000-0005-0000-0000-0000599C0000}"/>
    <cellStyle name="Normal 2 2 2 4 2 3 2" xfId="20111" xr:uid="{00000000-0005-0000-0000-00005A9C0000}"/>
    <cellStyle name="Normal 2 2 2 4 2 3 2 2" xfId="42713" xr:uid="{00000000-0005-0000-0000-00005B9C0000}"/>
    <cellStyle name="Normal 2 2 2 4 2 3 3" xfId="31412" xr:uid="{00000000-0005-0000-0000-00005C9C0000}"/>
    <cellStyle name="Normal 2 2 2 4 2 4" xfId="14461" xr:uid="{00000000-0005-0000-0000-00005D9C0000}"/>
    <cellStyle name="Normal 2 2 2 4 2 4 2" xfId="37063" xr:uid="{00000000-0005-0000-0000-00005E9C0000}"/>
    <cellStyle name="Normal 2 2 2 4 2 5" xfId="25762" xr:uid="{00000000-0005-0000-0000-00005F9C0000}"/>
    <cellStyle name="Normal 2 2 2 4 3" xfId="4758" xr:uid="{00000000-0005-0000-0000-0000609C0000}"/>
    <cellStyle name="Normal 2 2 2 4 3 2" xfId="10408" xr:uid="{00000000-0005-0000-0000-0000619C0000}"/>
    <cellStyle name="Normal 2 2 2 4 3 2 2" xfId="21709" xr:uid="{00000000-0005-0000-0000-0000629C0000}"/>
    <cellStyle name="Normal 2 2 2 4 3 2 2 2" xfId="44311" xr:uid="{00000000-0005-0000-0000-0000639C0000}"/>
    <cellStyle name="Normal 2 2 2 4 3 2 3" xfId="33010" xr:uid="{00000000-0005-0000-0000-0000649C0000}"/>
    <cellStyle name="Normal 2 2 2 4 3 3" xfId="16059" xr:uid="{00000000-0005-0000-0000-0000659C0000}"/>
    <cellStyle name="Normal 2 2 2 4 3 3 2" xfId="38661" xr:uid="{00000000-0005-0000-0000-0000669C0000}"/>
    <cellStyle name="Normal 2 2 2 4 3 4" xfId="27360" xr:uid="{00000000-0005-0000-0000-0000679C0000}"/>
    <cellStyle name="Normal 2 2 2 4 4" xfId="6945" xr:uid="{00000000-0005-0000-0000-0000689C0000}"/>
    <cellStyle name="Normal 2 2 2 4 4 2" xfId="18246" xr:uid="{00000000-0005-0000-0000-0000699C0000}"/>
    <cellStyle name="Normal 2 2 2 4 4 2 2" xfId="40848" xr:uid="{00000000-0005-0000-0000-00006A9C0000}"/>
    <cellStyle name="Normal 2 2 2 4 4 3" xfId="29547" xr:uid="{00000000-0005-0000-0000-00006B9C0000}"/>
    <cellStyle name="Normal 2 2 2 4 5" xfId="12596" xr:uid="{00000000-0005-0000-0000-00006C9C0000}"/>
    <cellStyle name="Normal 2 2 2 4 5 2" xfId="35198" xr:uid="{00000000-0005-0000-0000-00006D9C0000}"/>
    <cellStyle name="Normal 2 2 2 4 6" xfId="23897" xr:uid="{00000000-0005-0000-0000-00006E9C0000}"/>
    <cellStyle name="Normal 2 2 2 5" xfId="2078" xr:uid="{00000000-0005-0000-0000-00006F9C0000}"/>
    <cellStyle name="Normal 2 2 2 5 2" xfId="3844" xr:uid="{00000000-0005-0000-0000-0000709C0000}"/>
    <cellStyle name="Normal 2 2 2 5 2 2" xfId="9552" xr:uid="{00000000-0005-0000-0000-0000719C0000}"/>
    <cellStyle name="Normal 2 2 2 5 2 2 2" xfId="20853" xr:uid="{00000000-0005-0000-0000-0000729C0000}"/>
    <cellStyle name="Normal 2 2 2 5 2 2 2 2" xfId="43455" xr:uid="{00000000-0005-0000-0000-0000739C0000}"/>
    <cellStyle name="Normal 2 2 2 5 2 2 3" xfId="32154" xr:uid="{00000000-0005-0000-0000-0000749C0000}"/>
    <cellStyle name="Normal 2 2 2 5 2 3" xfId="15203" xr:uid="{00000000-0005-0000-0000-0000759C0000}"/>
    <cellStyle name="Normal 2 2 2 5 2 3 2" xfId="37805" xr:uid="{00000000-0005-0000-0000-0000769C0000}"/>
    <cellStyle name="Normal 2 2 2 5 2 4" xfId="26504" xr:uid="{00000000-0005-0000-0000-0000779C0000}"/>
    <cellStyle name="Normal 2 2 2 5 3" xfId="5368" xr:uid="{00000000-0005-0000-0000-0000789C0000}"/>
    <cellStyle name="Normal 2 2 2 5 3 2" xfId="11018" xr:uid="{00000000-0005-0000-0000-0000799C0000}"/>
    <cellStyle name="Normal 2 2 2 5 3 2 2" xfId="22319" xr:uid="{00000000-0005-0000-0000-00007A9C0000}"/>
    <cellStyle name="Normal 2 2 2 5 3 2 2 2" xfId="44921" xr:uid="{00000000-0005-0000-0000-00007B9C0000}"/>
    <cellStyle name="Normal 2 2 2 5 3 2 3" xfId="33620" xr:uid="{00000000-0005-0000-0000-00007C9C0000}"/>
    <cellStyle name="Normal 2 2 2 5 3 3" xfId="16669" xr:uid="{00000000-0005-0000-0000-00007D9C0000}"/>
    <cellStyle name="Normal 2 2 2 5 3 3 2" xfId="39271" xr:uid="{00000000-0005-0000-0000-00007E9C0000}"/>
    <cellStyle name="Normal 2 2 2 5 3 4" xfId="27970" xr:uid="{00000000-0005-0000-0000-00007F9C0000}"/>
    <cellStyle name="Normal 2 2 2 5 4" xfId="7934" xr:uid="{00000000-0005-0000-0000-0000809C0000}"/>
    <cellStyle name="Normal 2 2 2 5 4 2" xfId="19235" xr:uid="{00000000-0005-0000-0000-0000819C0000}"/>
    <cellStyle name="Normal 2 2 2 5 4 2 2" xfId="41837" xr:uid="{00000000-0005-0000-0000-0000829C0000}"/>
    <cellStyle name="Normal 2 2 2 5 4 3" xfId="30536" xr:uid="{00000000-0005-0000-0000-0000839C0000}"/>
    <cellStyle name="Normal 2 2 2 5 5" xfId="13585" xr:uid="{00000000-0005-0000-0000-0000849C0000}"/>
    <cellStyle name="Normal 2 2 2 5 5 2" xfId="36187" xr:uid="{00000000-0005-0000-0000-0000859C0000}"/>
    <cellStyle name="Normal 2 2 2 5 6" xfId="24886" xr:uid="{00000000-0005-0000-0000-0000869C0000}"/>
    <cellStyle name="Normal 2 2 2 6" xfId="2347" xr:uid="{00000000-0005-0000-0000-0000879C0000}"/>
    <cellStyle name="Normal 2 2 2 6 2" xfId="8183" xr:uid="{00000000-0005-0000-0000-0000889C0000}"/>
    <cellStyle name="Normal 2 2 2 6 2 2" xfId="19484" xr:uid="{00000000-0005-0000-0000-0000899C0000}"/>
    <cellStyle name="Normal 2 2 2 6 2 2 2" xfId="42086" xr:uid="{00000000-0005-0000-0000-00008A9C0000}"/>
    <cellStyle name="Normal 2 2 2 6 2 3" xfId="30785" xr:uid="{00000000-0005-0000-0000-00008B9C0000}"/>
    <cellStyle name="Normal 2 2 2 6 3" xfId="13834" xr:uid="{00000000-0005-0000-0000-00008C9C0000}"/>
    <cellStyle name="Normal 2 2 2 6 3 2" xfId="36436" xr:uid="{00000000-0005-0000-0000-00008D9C0000}"/>
    <cellStyle name="Normal 2 2 2 6 4" xfId="25135" xr:uid="{00000000-0005-0000-0000-00008E9C0000}"/>
    <cellStyle name="Normal 2 2 2 7" xfId="4134" xr:uid="{00000000-0005-0000-0000-00008F9C0000}"/>
    <cellStyle name="Normal 2 2 2 7 2" xfId="9784" xr:uid="{00000000-0005-0000-0000-0000909C0000}"/>
    <cellStyle name="Normal 2 2 2 7 2 2" xfId="21085" xr:uid="{00000000-0005-0000-0000-0000919C0000}"/>
    <cellStyle name="Normal 2 2 2 7 2 2 2" xfId="43687" xr:uid="{00000000-0005-0000-0000-0000929C0000}"/>
    <cellStyle name="Normal 2 2 2 7 2 3" xfId="32386" xr:uid="{00000000-0005-0000-0000-0000939C0000}"/>
    <cellStyle name="Normal 2 2 2 7 3" xfId="15435" xr:uid="{00000000-0005-0000-0000-0000949C0000}"/>
    <cellStyle name="Normal 2 2 2 7 3 2" xfId="38037" xr:uid="{00000000-0005-0000-0000-0000959C0000}"/>
    <cellStyle name="Normal 2 2 2 7 4" xfId="26736" xr:uid="{00000000-0005-0000-0000-0000969C0000}"/>
    <cellStyle name="Normal 2 2 2 8" xfId="6585" xr:uid="{00000000-0005-0000-0000-0000979C0000}"/>
    <cellStyle name="Normal 2 2 2 8 2" xfId="17886" xr:uid="{00000000-0005-0000-0000-0000989C0000}"/>
    <cellStyle name="Normal 2 2 2 8 2 2" xfId="40488" xr:uid="{00000000-0005-0000-0000-0000999C0000}"/>
    <cellStyle name="Normal 2 2 2 8 3" xfId="29187" xr:uid="{00000000-0005-0000-0000-00009A9C0000}"/>
    <cellStyle name="Normal 2 2 2 9" xfId="12236" xr:uid="{00000000-0005-0000-0000-00009B9C0000}"/>
    <cellStyle name="Normal 2 2 2 9 2" xfId="34838" xr:uid="{00000000-0005-0000-0000-00009C9C0000}"/>
    <cellStyle name="Normal 2 2 3" xfId="591" xr:uid="{00000000-0005-0000-0000-00009D9C0000}"/>
    <cellStyle name="Normal 2 2 3 2" xfId="1164" xr:uid="{00000000-0005-0000-0000-00009E9C0000}"/>
    <cellStyle name="Normal 2 2 3 2 2" xfId="2083" xr:uid="{00000000-0005-0000-0000-00009F9C0000}"/>
    <cellStyle name="Normal 2 2 3 2 2 2" xfId="3232" xr:uid="{00000000-0005-0000-0000-0000A09C0000}"/>
    <cellStyle name="Normal 2 2 3 2 2 2 2" xfId="6204" xr:uid="{00000000-0005-0000-0000-0000A19C0000}"/>
    <cellStyle name="Normal 2 2 3 2 2 2 2 2" xfId="11854" xr:uid="{00000000-0005-0000-0000-0000A29C0000}"/>
    <cellStyle name="Normal 2 2 3 2 2 2 2 2 2" xfId="23155" xr:uid="{00000000-0005-0000-0000-0000A39C0000}"/>
    <cellStyle name="Normal 2 2 3 2 2 2 2 2 2 2" xfId="45757" xr:uid="{00000000-0005-0000-0000-0000A49C0000}"/>
    <cellStyle name="Normal 2 2 3 2 2 2 2 2 3" xfId="34456" xr:uid="{00000000-0005-0000-0000-0000A59C0000}"/>
    <cellStyle name="Normal 2 2 3 2 2 2 2 3" xfId="17505" xr:uid="{00000000-0005-0000-0000-0000A69C0000}"/>
    <cellStyle name="Normal 2 2 3 2 2 2 2 3 2" xfId="40107" xr:uid="{00000000-0005-0000-0000-0000A79C0000}"/>
    <cellStyle name="Normal 2 2 3 2 2 2 2 4" xfId="28806" xr:uid="{00000000-0005-0000-0000-0000A89C0000}"/>
    <cellStyle name="Normal 2 2 3 2 2 2 3" xfId="9022" xr:uid="{00000000-0005-0000-0000-0000A99C0000}"/>
    <cellStyle name="Normal 2 2 3 2 2 2 3 2" xfId="20323" xr:uid="{00000000-0005-0000-0000-0000AA9C0000}"/>
    <cellStyle name="Normal 2 2 3 2 2 2 3 2 2" xfId="42925" xr:uid="{00000000-0005-0000-0000-0000AB9C0000}"/>
    <cellStyle name="Normal 2 2 3 2 2 2 3 3" xfId="31624" xr:uid="{00000000-0005-0000-0000-0000AC9C0000}"/>
    <cellStyle name="Normal 2 2 3 2 2 2 4" xfId="14673" xr:uid="{00000000-0005-0000-0000-0000AD9C0000}"/>
    <cellStyle name="Normal 2 2 3 2 2 2 4 2" xfId="37275" xr:uid="{00000000-0005-0000-0000-0000AE9C0000}"/>
    <cellStyle name="Normal 2 2 3 2 2 2 5" xfId="25974" xr:uid="{00000000-0005-0000-0000-0000AF9C0000}"/>
    <cellStyle name="Normal 2 2 3 2 2 3" xfId="4970" xr:uid="{00000000-0005-0000-0000-0000B09C0000}"/>
    <cellStyle name="Normal 2 2 3 2 2 3 2" xfId="10620" xr:uid="{00000000-0005-0000-0000-0000B19C0000}"/>
    <cellStyle name="Normal 2 2 3 2 2 3 2 2" xfId="21921" xr:uid="{00000000-0005-0000-0000-0000B29C0000}"/>
    <cellStyle name="Normal 2 2 3 2 2 3 2 2 2" xfId="44523" xr:uid="{00000000-0005-0000-0000-0000B39C0000}"/>
    <cellStyle name="Normal 2 2 3 2 2 3 2 3" xfId="33222" xr:uid="{00000000-0005-0000-0000-0000B49C0000}"/>
    <cellStyle name="Normal 2 2 3 2 2 3 3" xfId="16271" xr:uid="{00000000-0005-0000-0000-0000B59C0000}"/>
    <cellStyle name="Normal 2 2 3 2 2 3 3 2" xfId="38873" xr:uid="{00000000-0005-0000-0000-0000B69C0000}"/>
    <cellStyle name="Normal 2 2 3 2 2 3 4" xfId="27572" xr:uid="{00000000-0005-0000-0000-0000B79C0000}"/>
    <cellStyle name="Normal 2 2 3 2 2 4" xfId="7939" xr:uid="{00000000-0005-0000-0000-0000B89C0000}"/>
    <cellStyle name="Normal 2 2 3 2 2 4 2" xfId="19240" xr:uid="{00000000-0005-0000-0000-0000B99C0000}"/>
    <cellStyle name="Normal 2 2 3 2 2 4 2 2" xfId="41842" xr:uid="{00000000-0005-0000-0000-0000BA9C0000}"/>
    <cellStyle name="Normal 2 2 3 2 2 4 3" xfId="30541" xr:uid="{00000000-0005-0000-0000-0000BB9C0000}"/>
    <cellStyle name="Normal 2 2 3 2 2 5" xfId="13590" xr:uid="{00000000-0005-0000-0000-0000BC9C0000}"/>
    <cellStyle name="Normal 2 2 3 2 2 5 2" xfId="36192" xr:uid="{00000000-0005-0000-0000-0000BD9C0000}"/>
    <cellStyle name="Normal 2 2 3 2 2 6" xfId="24891" xr:uid="{00000000-0005-0000-0000-0000BE9C0000}"/>
    <cellStyle name="Normal 2 2 3 2 3" xfId="2561" xr:uid="{00000000-0005-0000-0000-0000BF9C0000}"/>
    <cellStyle name="Normal 2 2 3 2 3 2" xfId="5580" xr:uid="{00000000-0005-0000-0000-0000C09C0000}"/>
    <cellStyle name="Normal 2 2 3 2 3 2 2" xfId="11230" xr:uid="{00000000-0005-0000-0000-0000C19C0000}"/>
    <cellStyle name="Normal 2 2 3 2 3 2 2 2" xfId="22531" xr:uid="{00000000-0005-0000-0000-0000C29C0000}"/>
    <cellStyle name="Normal 2 2 3 2 3 2 2 2 2" xfId="45133" xr:uid="{00000000-0005-0000-0000-0000C39C0000}"/>
    <cellStyle name="Normal 2 2 3 2 3 2 2 3" xfId="33832" xr:uid="{00000000-0005-0000-0000-0000C49C0000}"/>
    <cellStyle name="Normal 2 2 3 2 3 2 3" xfId="16881" xr:uid="{00000000-0005-0000-0000-0000C59C0000}"/>
    <cellStyle name="Normal 2 2 3 2 3 2 3 2" xfId="39483" xr:uid="{00000000-0005-0000-0000-0000C69C0000}"/>
    <cellStyle name="Normal 2 2 3 2 3 2 4" xfId="28182" xr:uid="{00000000-0005-0000-0000-0000C79C0000}"/>
    <cellStyle name="Normal 2 2 3 2 3 3" xfId="8397" xr:uid="{00000000-0005-0000-0000-0000C89C0000}"/>
    <cellStyle name="Normal 2 2 3 2 3 3 2" xfId="19698" xr:uid="{00000000-0005-0000-0000-0000C99C0000}"/>
    <cellStyle name="Normal 2 2 3 2 3 3 2 2" xfId="42300" xr:uid="{00000000-0005-0000-0000-0000CA9C0000}"/>
    <cellStyle name="Normal 2 2 3 2 3 3 3" xfId="30999" xr:uid="{00000000-0005-0000-0000-0000CB9C0000}"/>
    <cellStyle name="Normal 2 2 3 2 3 4" xfId="14048" xr:uid="{00000000-0005-0000-0000-0000CC9C0000}"/>
    <cellStyle name="Normal 2 2 3 2 3 4 2" xfId="36650" xr:uid="{00000000-0005-0000-0000-0000CD9C0000}"/>
    <cellStyle name="Normal 2 2 3 2 3 5" xfId="25349" xr:uid="{00000000-0005-0000-0000-0000CE9C0000}"/>
    <cellStyle name="Normal 2 2 3 2 4" xfId="4346" xr:uid="{00000000-0005-0000-0000-0000CF9C0000}"/>
    <cellStyle name="Normal 2 2 3 2 4 2" xfId="9996" xr:uid="{00000000-0005-0000-0000-0000D09C0000}"/>
    <cellStyle name="Normal 2 2 3 2 4 2 2" xfId="21297" xr:uid="{00000000-0005-0000-0000-0000D19C0000}"/>
    <cellStyle name="Normal 2 2 3 2 4 2 2 2" xfId="43899" xr:uid="{00000000-0005-0000-0000-0000D29C0000}"/>
    <cellStyle name="Normal 2 2 3 2 4 2 3" xfId="32598" xr:uid="{00000000-0005-0000-0000-0000D39C0000}"/>
    <cellStyle name="Normal 2 2 3 2 4 3" xfId="15647" xr:uid="{00000000-0005-0000-0000-0000D49C0000}"/>
    <cellStyle name="Normal 2 2 3 2 4 3 2" xfId="38249" xr:uid="{00000000-0005-0000-0000-0000D59C0000}"/>
    <cellStyle name="Normal 2 2 3 2 4 4" xfId="26948" xr:uid="{00000000-0005-0000-0000-0000D69C0000}"/>
    <cellStyle name="Normal 2 2 3 2 5" xfId="7143" xr:uid="{00000000-0005-0000-0000-0000D79C0000}"/>
    <cellStyle name="Normal 2 2 3 2 5 2" xfId="18444" xr:uid="{00000000-0005-0000-0000-0000D89C0000}"/>
    <cellStyle name="Normal 2 2 3 2 5 2 2" xfId="41046" xr:uid="{00000000-0005-0000-0000-0000D99C0000}"/>
    <cellStyle name="Normal 2 2 3 2 5 3" xfId="29745" xr:uid="{00000000-0005-0000-0000-0000DA9C0000}"/>
    <cellStyle name="Normal 2 2 3 2 6" xfId="12794" xr:uid="{00000000-0005-0000-0000-0000DB9C0000}"/>
    <cellStyle name="Normal 2 2 3 2 6 2" xfId="35396" xr:uid="{00000000-0005-0000-0000-0000DC9C0000}"/>
    <cellStyle name="Normal 2 2 3 2 7" xfId="24095" xr:uid="{00000000-0005-0000-0000-0000DD9C0000}"/>
    <cellStyle name="Normal 2 2 3 3" xfId="844" xr:uid="{00000000-0005-0000-0000-0000DE9C0000}"/>
    <cellStyle name="Normal 2 2 3 3 2" xfId="2925" xr:uid="{00000000-0005-0000-0000-0000DF9C0000}"/>
    <cellStyle name="Normal 2 2 3 3 2 2" xfId="5897" xr:uid="{00000000-0005-0000-0000-0000E09C0000}"/>
    <cellStyle name="Normal 2 2 3 3 2 2 2" xfId="11547" xr:uid="{00000000-0005-0000-0000-0000E19C0000}"/>
    <cellStyle name="Normal 2 2 3 3 2 2 2 2" xfId="22848" xr:uid="{00000000-0005-0000-0000-0000E29C0000}"/>
    <cellStyle name="Normal 2 2 3 3 2 2 2 2 2" xfId="45450" xr:uid="{00000000-0005-0000-0000-0000E39C0000}"/>
    <cellStyle name="Normal 2 2 3 3 2 2 2 3" xfId="34149" xr:uid="{00000000-0005-0000-0000-0000E49C0000}"/>
    <cellStyle name="Normal 2 2 3 3 2 2 3" xfId="17198" xr:uid="{00000000-0005-0000-0000-0000E59C0000}"/>
    <cellStyle name="Normal 2 2 3 3 2 2 3 2" xfId="39800" xr:uid="{00000000-0005-0000-0000-0000E69C0000}"/>
    <cellStyle name="Normal 2 2 3 3 2 2 4" xfId="28499" xr:uid="{00000000-0005-0000-0000-0000E79C0000}"/>
    <cellStyle name="Normal 2 2 3 3 2 3" xfId="8715" xr:uid="{00000000-0005-0000-0000-0000E89C0000}"/>
    <cellStyle name="Normal 2 2 3 3 2 3 2" xfId="20016" xr:uid="{00000000-0005-0000-0000-0000E99C0000}"/>
    <cellStyle name="Normal 2 2 3 3 2 3 2 2" xfId="42618" xr:uid="{00000000-0005-0000-0000-0000EA9C0000}"/>
    <cellStyle name="Normal 2 2 3 3 2 3 3" xfId="31317" xr:uid="{00000000-0005-0000-0000-0000EB9C0000}"/>
    <cellStyle name="Normal 2 2 3 3 2 4" xfId="14366" xr:uid="{00000000-0005-0000-0000-0000EC9C0000}"/>
    <cellStyle name="Normal 2 2 3 3 2 4 2" xfId="36968" xr:uid="{00000000-0005-0000-0000-0000ED9C0000}"/>
    <cellStyle name="Normal 2 2 3 3 2 5" xfId="25667" xr:uid="{00000000-0005-0000-0000-0000EE9C0000}"/>
    <cellStyle name="Normal 2 2 3 3 3" xfId="4663" xr:uid="{00000000-0005-0000-0000-0000EF9C0000}"/>
    <cellStyle name="Normal 2 2 3 3 3 2" xfId="10313" xr:uid="{00000000-0005-0000-0000-0000F09C0000}"/>
    <cellStyle name="Normal 2 2 3 3 3 2 2" xfId="21614" xr:uid="{00000000-0005-0000-0000-0000F19C0000}"/>
    <cellStyle name="Normal 2 2 3 3 3 2 2 2" xfId="44216" xr:uid="{00000000-0005-0000-0000-0000F29C0000}"/>
    <cellStyle name="Normal 2 2 3 3 3 2 3" xfId="32915" xr:uid="{00000000-0005-0000-0000-0000F39C0000}"/>
    <cellStyle name="Normal 2 2 3 3 3 3" xfId="15964" xr:uid="{00000000-0005-0000-0000-0000F49C0000}"/>
    <cellStyle name="Normal 2 2 3 3 3 3 2" xfId="38566" xr:uid="{00000000-0005-0000-0000-0000F59C0000}"/>
    <cellStyle name="Normal 2 2 3 3 3 4" xfId="27265" xr:uid="{00000000-0005-0000-0000-0000F69C0000}"/>
    <cellStyle name="Normal 2 2 3 3 4" xfId="6849" xr:uid="{00000000-0005-0000-0000-0000F79C0000}"/>
    <cellStyle name="Normal 2 2 3 3 4 2" xfId="18150" xr:uid="{00000000-0005-0000-0000-0000F89C0000}"/>
    <cellStyle name="Normal 2 2 3 3 4 2 2" xfId="40752" xr:uid="{00000000-0005-0000-0000-0000F99C0000}"/>
    <cellStyle name="Normal 2 2 3 3 4 3" xfId="29451" xr:uid="{00000000-0005-0000-0000-0000FA9C0000}"/>
    <cellStyle name="Normal 2 2 3 3 5" xfId="12500" xr:uid="{00000000-0005-0000-0000-0000FB9C0000}"/>
    <cellStyle name="Normal 2 2 3 3 5 2" xfId="35102" xr:uid="{00000000-0005-0000-0000-0000FC9C0000}"/>
    <cellStyle name="Normal 2 2 3 3 6" xfId="23801" xr:uid="{00000000-0005-0000-0000-0000FD9C0000}"/>
    <cellStyle name="Normal 2 2 3 4" xfId="2082" xr:uid="{00000000-0005-0000-0000-0000FE9C0000}"/>
    <cellStyle name="Normal 2 2 3 4 2" xfId="3846" xr:uid="{00000000-0005-0000-0000-0000FF9C0000}"/>
    <cellStyle name="Normal 2 2 3 4 2 2" xfId="9554" xr:uid="{00000000-0005-0000-0000-0000009D0000}"/>
    <cellStyle name="Normal 2 2 3 4 2 2 2" xfId="20855" xr:uid="{00000000-0005-0000-0000-0000019D0000}"/>
    <cellStyle name="Normal 2 2 3 4 2 2 2 2" xfId="43457" xr:uid="{00000000-0005-0000-0000-0000029D0000}"/>
    <cellStyle name="Normal 2 2 3 4 2 2 3" xfId="32156" xr:uid="{00000000-0005-0000-0000-0000039D0000}"/>
    <cellStyle name="Normal 2 2 3 4 2 3" xfId="15205" xr:uid="{00000000-0005-0000-0000-0000049D0000}"/>
    <cellStyle name="Normal 2 2 3 4 2 3 2" xfId="37807" xr:uid="{00000000-0005-0000-0000-0000059D0000}"/>
    <cellStyle name="Normal 2 2 3 4 2 4" xfId="26506" xr:uid="{00000000-0005-0000-0000-0000069D0000}"/>
    <cellStyle name="Normal 2 2 3 4 3" xfId="5273" xr:uid="{00000000-0005-0000-0000-0000079D0000}"/>
    <cellStyle name="Normal 2 2 3 4 3 2" xfId="10923" xr:uid="{00000000-0005-0000-0000-0000089D0000}"/>
    <cellStyle name="Normal 2 2 3 4 3 2 2" xfId="22224" xr:uid="{00000000-0005-0000-0000-0000099D0000}"/>
    <cellStyle name="Normal 2 2 3 4 3 2 2 2" xfId="44826" xr:uid="{00000000-0005-0000-0000-00000A9D0000}"/>
    <cellStyle name="Normal 2 2 3 4 3 2 3" xfId="33525" xr:uid="{00000000-0005-0000-0000-00000B9D0000}"/>
    <cellStyle name="Normal 2 2 3 4 3 3" xfId="16574" xr:uid="{00000000-0005-0000-0000-00000C9D0000}"/>
    <cellStyle name="Normal 2 2 3 4 3 3 2" xfId="39176" xr:uid="{00000000-0005-0000-0000-00000D9D0000}"/>
    <cellStyle name="Normal 2 2 3 4 3 4" xfId="27875" xr:uid="{00000000-0005-0000-0000-00000E9D0000}"/>
    <cellStyle name="Normal 2 2 3 4 4" xfId="7938" xr:uid="{00000000-0005-0000-0000-00000F9D0000}"/>
    <cellStyle name="Normal 2 2 3 4 4 2" xfId="19239" xr:uid="{00000000-0005-0000-0000-0000109D0000}"/>
    <cellStyle name="Normal 2 2 3 4 4 2 2" xfId="41841" xr:uid="{00000000-0005-0000-0000-0000119D0000}"/>
    <cellStyle name="Normal 2 2 3 4 4 3" xfId="30540" xr:uid="{00000000-0005-0000-0000-0000129D0000}"/>
    <cellStyle name="Normal 2 2 3 4 5" xfId="13589" xr:uid="{00000000-0005-0000-0000-0000139D0000}"/>
    <cellStyle name="Normal 2 2 3 4 5 2" xfId="36191" xr:uid="{00000000-0005-0000-0000-0000149D0000}"/>
    <cellStyle name="Normal 2 2 3 4 6" xfId="24890" xr:uid="{00000000-0005-0000-0000-0000159D0000}"/>
    <cellStyle name="Normal 2 2 3 5" xfId="2246" xr:uid="{00000000-0005-0000-0000-0000169D0000}"/>
    <cellStyle name="Normal 2 2 3 5 2" xfId="8087" xr:uid="{00000000-0005-0000-0000-0000179D0000}"/>
    <cellStyle name="Normal 2 2 3 5 2 2" xfId="19388" xr:uid="{00000000-0005-0000-0000-0000189D0000}"/>
    <cellStyle name="Normal 2 2 3 5 2 2 2" xfId="41990" xr:uid="{00000000-0005-0000-0000-0000199D0000}"/>
    <cellStyle name="Normal 2 2 3 5 2 3" xfId="30689" xr:uid="{00000000-0005-0000-0000-00001A9D0000}"/>
    <cellStyle name="Normal 2 2 3 5 3" xfId="13738" xr:uid="{00000000-0005-0000-0000-00001B9D0000}"/>
    <cellStyle name="Normal 2 2 3 5 3 2" xfId="36340" xr:uid="{00000000-0005-0000-0000-00001C9D0000}"/>
    <cellStyle name="Normal 2 2 3 5 4" xfId="25039" xr:uid="{00000000-0005-0000-0000-00001D9D0000}"/>
    <cellStyle name="Normal 2 2 3 6" xfId="4039" xr:uid="{00000000-0005-0000-0000-00001E9D0000}"/>
    <cellStyle name="Normal 2 2 3 6 2" xfId="9689" xr:uid="{00000000-0005-0000-0000-00001F9D0000}"/>
    <cellStyle name="Normal 2 2 3 6 2 2" xfId="20990" xr:uid="{00000000-0005-0000-0000-0000209D0000}"/>
    <cellStyle name="Normal 2 2 3 6 2 2 2" xfId="43592" xr:uid="{00000000-0005-0000-0000-0000219D0000}"/>
    <cellStyle name="Normal 2 2 3 6 2 3" xfId="32291" xr:uid="{00000000-0005-0000-0000-0000229D0000}"/>
    <cellStyle name="Normal 2 2 3 6 3" xfId="15340" xr:uid="{00000000-0005-0000-0000-0000239D0000}"/>
    <cellStyle name="Normal 2 2 3 6 3 2" xfId="37942" xr:uid="{00000000-0005-0000-0000-0000249D0000}"/>
    <cellStyle name="Normal 2 2 3 6 4" xfId="26641" xr:uid="{00000000-0005-0000-0000-0000259D0000}"/>
    <cellStyle name="Normal 2 2 3 7" xfId="6657" xr:uid="{00000000-0005-0000-0000-0000269D0000}"/>
    <cellStyle name="Normal 2 2 3 7 2" xfId="17958" xr:uid="{00000000-0005-0000-0000-0000279D0000}"/>
    <cellStyle name="Normal 2 2 3 7 2 2" xfId="40560" xr:uid="{00000000-0005-0000-0000-0000289D0000}"/>
    <cellStyle name="Normal 2 2 3 7 3" xfId="29259" xr:uid="{00000000-0005-0000-0000-0000299D0000}"/>
    <cellStyle name="Normal 2 2 3 8" xfId="12308" xr:uid="{00000000-0005-0000-0000-00002A9D0000}"/>
    <cellStyle name="Normal 2 2 3 8 2" xfId="34910" xr:uid="{00000000-0005-0000-0000-00002B9D0000}"/>
    <cellStyle name="Normal 2 2 3 9" xfId="23609" xr:uid="{00000000-0005-0000-0000-00002C9D0000}"/>
    <cellStyle name="Normal 2 2 4" xfId="504" xr:uid="{00000000-0005-0000-0000-00002D9D0000}"/>
    <cellStyle name="Normal 2 2 4 2" xfId="1275" xr:uid="{00000000-0005-0000-0000-00002E9D0000}"/>
    <cellStyle name="Normal 2 2 4 2 2" xfId="2085" xr:uid="{00000000-0005-0000-0000-00002F9D0000}"/>
    <cellStyle name="Normal 2 2 4 2 2 2" xfId="3344" xr:uid="{00000000-0005-0000-0000-0000309D0000}"/>
    <cellStyle name="Normal 2 2 4 2 2 2 2" xfId="6316" xr:uid="{00000000-0005-0000-0000-0000319D0000}"/>
    <cellStyle name="Normal 2 2 4 2 2 2 2 2" xfId="11966" xr:uid="{00000000-0005-0000-0000-0000329D0000}"/>
    <cellStyle name="Normal 2 2 4 2 2 2 2 2 2" xfId="23267" xr:uid="{00000000-0005-0000-0000-0000339D0000}"/>
    <cellStyle name="Normal 2 2 4 2 2 2 2 2 2 2" xfId="45869" xr:uid="{00000000-0005-0000-0000-0000349D0000}"/>
    <cellStyle name="Normal 2 2 4 2 2 2 2 2 3" xfId="34568" xr:uid="{00000000-0005-0000-0000-0000359D0000}"/>
    <cellStyle name="Normal 2 2 4 2 2 2 2 3" xfId="17617" xr:uid="{00000000-0005-0000-0000-0000369D0000}"/>
    <cellStyle name="Normal 2 2 4 2 2 2 2 3 2" xfId="40219" xr:uid="{00000000-0005-0000-0000-0000379D0000}"/>
    <cellStyle name="Normal 2 2 4 2 2 2 2 4" xfId="28918" xr:uid="{00000000-0005-0000-0000-0000389D0000}"/>
    <cellStyle name="Normal 2 2 4 2 2 2 3" xfId="9134" xr:uid="{00000000-0005-0000-0000-0000399D0000}"/>
    <cellStyle name="Normal 2 2 4 2 2 2 3 2" xfId="20435" xr:uid="{00000000-0005-0000-0000-00003A9D0000}"/>
    <cellStyle name="Normal 2 2 4 2 2 2 3 2 2" xfId="43037" xr:uid="{00000000-0005-0000-0000-00003B9D0000}"/>
    <cellStyle name="Normal 2 2 4 2 2 2 3 3" xfId="31736" xr:uid="{00000000-0005-0000-0000-00003C9D0000}"/>
    <cellStyle name="Normal 2 2 4 2 2 2 4" xfId="14785" xr:uid="{00000000-0005-0000-0000-00003D9D0000}"/>
    <cellStyle name="Normal 2 2 4 2 2 2 4 2" xfId="37387" xr:uid="{00000000-0005-0000-0000-00003E9D0000}"/>
    <cellStyle name="Normal 2 2 4 2 2 2 5" xfId="26086" xr:uid="{00000000-0005-0000-0000-00003F9D0000}"/>
    <cellStyle name="Normal 2 2 4 2 2 3" xfId="5082" xr:uid="{00000000-0005-0000-0000-0000409D0000}"/>
    <cellStyle name="Normal 2 2 4 2 2 3 2" xfId="10732" xr:uid="{00000000-0005-0000-0000-0000419D0000}"/>
    <cellStyle name="Normal 2 2 4 2 2 3 2 2" xfId="22033" xr:uid="{00000000-0005-0000-0000-0000429D0000}"/>
    <cellStyle name="Normal 2 2 4 2 2 3 2 2 2" xfId="44635" xr:uid="{00000000-0005-0000-0000-0000439D0000}"/>
    <cellStyle name="Normal 2 2 4 2 2 3 2 3" xfId="33334" xr:uid="{00000000-0005-0000-0000-0000449D0000}"/>
    <cellStyle name="Normal 2 2 4 2 2 3 3" xfId="16383" xr:uid="{00000000-0005-0000-0000-0000459D0000}"/>
    <cellStyle name="Normal 2 2 4 2 2 3 3 2" xfId="38985" xr:uid="{00000000-0005-0000-0000-0000469D0000}"/>
    <cellStyle name="Normal 2 2 4 2 2 3 4" xfId="27684" xr:uid="{00000000-0005-0000-0000-0000479D0000}"/>
    <cellStyle name="Normal 2 2 4 2 2 4" xfId="7941" xr:uid="{00000000-0005-0000-0000-0000489D0000}"/>
    <cellStyle name="Normal 2 2 4 2 2 4 2" xfId="19242" xr:uid="{00000000-0005-0000-0000-0000499D0000}"/>
    <cellStyle name="Normal 2 2 4 2 2 4 2 2" xfId="41844" xr:uid="{00000000-0005-0000-0000-00004A9D0000}"/>
    <cellStyle name="Normal 2 2 4 2 2 4 3" xfId="30543" xr:uid="{00000000-0005-0000-0000-00004B9D0000}"/>
    <cellStyle name="Normal 2 2 4 2 2 5" xfId="13592" xr:uid="{00000000-0005-0000-0000-00004C9D0000}"/>
    <cellStyle name="Normal 2 2 4 2 2 5 2" xfId="36194" xr:uid="{00000000-0005-0000-0000-00004D9D0000}"/>
    <cellStyle name="Normal 2 2 4 2 2 6" xfId="24893" xr:uid="{00000000-0005-0000-0000-00004E9D0000}"/>
    <cellStyle name="Normal 2 2 4 2 3" xfId="2673" xr:uid="{00000000-0005-0000-0000-00004F9D0000}"/>
    <cellStyle name="Normal 2 2 4 2 3 2" xfId="5692" xr:uid="{00000000-0005-0000-0000-0000509D0000}"/>
    <cellStyle name="Normal 2 2 4 2 3 2 2" xfId="11342" xr:uid="{00000000-0005-0000-0000-0000519D0000}"/>
    <cellStyle name="Normal 2 2 4 2 3 2 2 2" xfId="22643" xr:uid="{00000000-0005-0000-0000-0000529D0000}"/>
    <cellStyle name="Normal 2 2 4 2 3 2 2 2 2" xfId="45245" xr:uid="{00000000-0005-0000-0000-0000539D0000}"/>
    <cellStyle name="Normal 2 2 4 2 3 2 2 3" xfId="33944" xr:uid="{00000000-0005-0000-0000-0000549D0000}"/>
    <cellStyle name="Normal 2 2 4 2 3 2 3" xfId="16993" xr:uid="{00000000-0005-0000-0000-0000559D0000}"/>
    <cellStyle name="Normal 2 2 4 2 3 2 3 2" xfId="39595" xr:uid="{00000000-0005-0000-0000-0000569D0000}"/>
    <cellStyle name="Normal 2 2 4 2 3 2 4" xfId="28294" xr:uid="{00000000-0005-0000-0000-0000579D0000}"/>
    <cellStyle name="Normal 2 2 4 2 3 3" xfId="8509" xr:uid="{00000000-0005-0000-0000-0000589D0000}"/>
    <cellStyle name="Normal 2 2 4 2 3 3 2" xfId="19810" xr:uid="{00000000-0005-0000-0000-0000599D0000}"/>
    <cellStyle name="Normal 2 2 4 2 3 3 2 2" xfId="42412" xr:uid="{00000000-0005-0000-0000-00005A9D0000}"/>
    <cellStyle name="Normal 2 2 4 2 3 3 3" xfId="31111" xr:uid="{00000000-0005-0000-0000-00005B9D0000}"/>
    <cellStyle name="Normal 2 2 4 2 3 4" xfId="14160" xr:uid="{00000000-0005-0000-0000-00005C9D0000}"/>
    <cellStyle name="Normal 2 2 4 2 3 4 2" xfId="36762" xr:uid="{00000000-0005-0000-0000-00005D9D0000}"/>
    <cellStyle name="Normal 2 2 4 2 3 5" xfId="25461" xr:uid="{00000000-0005-0000-0000-00005E9D0000}"/>
    <cellStyle name="Normal 2 2 4 2 4" xfId="4458" xr:uid="{00000000-0005-0000-0000-00005F9D0000}"/>
    <cellStyle name="Normal 2 2 4 2 4 2" xfId="10108" xr:uid="{00000000-0005-0000-0000-0000609D0000}"/>
    <cellStyle name="Normal 2 2 4 2 4 2 2" xfId="21409" xr:uid="{00000000-0005-0000-0000-0000619D0000}"/>
    <cellStyle name="Normal 2 2 4 2 4 2 2 2" xfId="44011" xr:uid="{00000000-0005-0000-0000-0000629D0000}"/>
    <cellStyle name="Normal 2 2 4 2 4 2 3" xfId="32710" xr:uid="{00000000-0005-0000-0000-0000639D0000}"/>
    <cellStyle name="Normal 2 2 4 2 4 3" xfId="15759" xr:uid="{00000000-0005-0000-0000-0000649D0000}"/>
    <cellStyle name="Normal 2 2 4 2 4 3 2" xfId="38361" xr:uid="{00000000-0005-0000-0000-0000659D0000}"/>
    <cellStyle name="Normal 2 2 4 2 4 4" xfId="27060" xr:uid="{00000000-0005-0000-0000-0000669D0000}"/>
    <cellStyle name="Normal 2 2 4 2 5" xfId="7254" xr:uid="{00000000-0005-0000-0000-0000679D0000}"/>
    <cellStyle name="Normal 2 2 4 2 5 2" xfId="18555" xr:uid="{00000000-0005-0000-0000-0000689D0000}"/>
    <cellStyle name="Normal 2 2 4 2 5 2 2" xfId="41157" xr:uid="{00000000-0005-0000-0000-0000699D0000}"/>
    <cellStyle name="Normal 2 2 4 2 5 3" xfId="29856" xr:uid="{00000000-0005-0000-0000-00006A9D0000}"/>
    <cellStyle name="Normal 2 2 4 2 6" xfId="12905" xr:uid="{00000000-0005-0000-0000-00006B9D0000}"/>
    <cellStyle name="Normal 2 2 4 2 6 2" xfId="35507" xr:uid="{00000000-0005-0000-0000-00006C9D0000}"/>
    <cellStyle name="Normal 2 2 4 2 7" xfId="24206" xr:uid="{00000000-0005-0000-0000-00006D9D0000}"/>
    <cellStyle name="Normal 2 2 4 3" xfId="972" xr:uid="{00000000-0005-0000-0000-00006E9D0000}"/>
    <cellStyle name="Normal 2 2 4 3 2" xfId="3036" xr:uid="{00000000-0005-0000-0000-00006F9D0000}"/>
    <cellStyle name="Normal 2 2 4 3 2 2" xfId="6008" xr:uid="{00000000-0005-0000-0000-0000709D0000}"/>
    <cellStyle name="Normal 2 2 4 3 2 2 2" xfId="11658" xr:uid="{00000000-0005-0000-0000-0000719D0000}"/>
    <cellStyle name="Normal 2 2 4 3 2 2 2 2" xfId="22959" xr:uid="{00000000-0005-0000-0000-0000729D0000}"/>
    <cellStyle name="Normal 2 2 4 3 2 2 2 2 2" xfId="45561" xr:uid="{00000000-0005-0000-0000-0000739D0000}"/>
    <cellStyle name="Normal 2 2 4 3 2 2 2 3" xfId="34260" xr:uid="{00000000-0005-0000-0000-0000749D0000}"/>
    <cellStyle name="Normal 2 2 4 3 2 2 3" xfId="17309" xr:uid="{00000000-0005-0000-0000-0000759D0000}"/>
    <cellStyle name="Normal 2 2 4 3 2 2 3 2" xfId="39911" xr:uid="{00000000-0005-0000-0000-0000769D0000}"/>
    <cellStyle name="Normal 2 2 4 3 2 2 4" xfId="28610" xr:uid="{00000000-0005-0000-0000-0000779D0000}"/>
    <cellStyle name="Normal 2 2 4 3 2 3" xfId="8826" xr:uid="{00000000-0005-0000-0000-0000789D0000}"/>
    <cellStyle name="Normal 2 2 4 3 2 3 2" xfId="20127" xr:uid="{00000000-0005-0000-0000-0000799D0000}"/>
    <cellStyle name="Normal 2 2 4 3 2 3 2 2" xfId="42729" xr:uid="{00000000-0005-0000-0000-00007A9D0000}"/>
    <cellStyle name="Normal 2 2 4 3 2 3 3" xfId="31428" xr:uid="{00000000-0005-0000-0000-00007B9D0000}"/>
    <cellStyle name="Normal 2 2 4 3 2 4" xfId="14477" xr:uid="{00000000-0005-0000-0000-00007C9D0000}"/>
    <cellStyle name="Normal 2 2 4 3 2 4 2" xfId="37079" xr:uid="{00000000-0005-0000-0000-00007D9D0000}"/>
    <cellStyle name="Normal 2 2 4 3 2 5" xfId="25778" xr:uid="{00000000-0005-0000-0000-00007E9D0000}"/>
    <cellStyle name="Normal 2 2 4 3 3" xfId="4774" xr:uid="{00000000-0005-0000-0000-00007F9D0000}"/>
    <cellStyle name="Normal 2 2 4 3 3 2" xfId="10424" xr:uid="{00000000-0005-0000-0000-0000809D0000}"/>
    <cellStyle name="Normal 2 2 4 3 3 2 2" xfId="21725" xr:uid="{00000000-0005-0000-0000-0000819D0000}"/>
    <cellStyle name="Normal 2 2 4 3 3 2 2 2" xfId="44327" xr:uid="{00000000-0005-0000-0000-0000829D0000}"/>
    <cellStyle name="Normal 2 2 4 3 3 2 3" xfId="33026" xr:uid="{00000000-0005-0000-0000-0000839D0000}"/>
    <cellStyle name="Normal 2 2 4 3 3 3" xfId="16075" xr:uid="{00000000-0005-0000-0000-0000849D0000}"/>
    <cellStyle name="Normal 2 2 4 3 3 3 2" xfId="38677" xr:uid="{00000000-0005-0000-0000-0000859D0000}"/>
    <cellStyle name="Normal 2 2 4 3 3 4" xfId="27376" xr:uid="{00000000-0005-0000-0000-0000869D0000}"/>
    <cellStyle name="Normal 2 2 4 3 4" xfId="6961" xr:uid="{00000000-0005-0000-0000-0000879D0000}"/>
    <cellStyle name="Normal 2 2 4 3 4 2" xfId="18262" xr:uid="{00000000-0005-0000-0000-0000889D0000}"/>
    <cellStyle name="Normal 2 2 4 3 4 2 2" xfId="40864" xr:uid="{00000000-0005-0000-0000-0000899D0000}"/>
    <cellStyle name="Normal 2 2 4 3 4 3" xfId="29563" xr:uid="{00000000-0005-0000-0000-00008A9D0000}"/>
    <cellStyle name="Normal 2 2 4 3 5" xfId="12612" xr:uid="{00000000-0005-0000-0000-00008B9D0000}"/>
    <cellStyle name="Normal 2 2 4 3 5 2" xfId="35214" xr:uid="{00000000-0005-0000-0000-00008C9D0000}"/>
    <cellStyle name="Normal 2 2 4 3 6" xfId="23913" xr:uid="{00000000-0005-0000-0000-00008D9D0000}"/>
    <cellStyle name="Normal 2 2 4 4" xfId="2084" xr:uid="{00000000-0005-0000-0000-00008E9D0000}"/>
    <cellStyle name="Normal 2 2 4 4 2" xfId="3847" xr:uid="{00000000-0005-0000-0000-00008F9D0000}"/>
    <cellStyle name="Normal 2 2 4 4 2 2" xfId="9555" xr:uid="{00000000-0005-0000-0000-0000909D0000}"/>
    <cellStyle name="Normal 2 2 4 4 2 2 2" xfId="20856" xr:uid="{00000000-0005-0000-0000-0000919D0000}"/>
    <cellStyle name="Normal 2 2 4 4 2 2 2 2" xfId="43458" xr:uid="{00000000-0005-0000-0000-0000929D0000}"/>
    <cellStyle name="Normal 2 2 4 4 2 2 3" xfId="32157" xr:uid="{00000000-0005-0000-0000-0000939D0000}"/>
    <cellStyle name="Normal 2 2 4 4 2 3" xfId="15206" xr:uid="{00000000-0005-0000-0000-0000949D0000}"/>
    <cellStyle name="Normal 2 2 4 4 2 3 2" xfId="37808" xr:uid="{00000000-0005-0000-0000-0000959D0000}"/>
    <cellStyle name="Normal 2 2 4 4 2 4" xfId="26507" xr:uid="{00000000-0005-0000-0000-0000969D0000}"/>
    <cellStyle name="Normal 2 2 4 4 3" xfId="5384" xr:uid="{00000000-0005-0000-0000-0000979D0000}"/>
    <cellStyle name="Normal 2 2 4 4 3 2" xfId="11034" xr:uid="{00000000-0005-0000-0000-0000989D0000}"/>
    <cellStyle name="Normal 2 2 4 4 3 2 2" xfId="22335" xr:uid="{00000000-0005-0000-0000-0000999D0000}"/>
    <cellStyle name="Normal 2 2 4 4 3 2 2 2" xfId="44937" xr:uid="{00000000-0005-0000-0000-00009A9D0000}"/>
    <cellStyle name="Normal 2 2 4 4 3 2 3" xfId="33636" xr:uid="{00000000-0005-0000-0000-00009B9D0000}"/>
    <cellStyle name="Normal 2 2 4 4 3 3" xfId="16685" xr:uid="{00000000-0005-0000-0000-00009C9D0000}"/>
    <cellStyle name="Normal 2 2 4 4 3 3 2" xfId="39287" xr:uid="{00000000-0005-0000-0000-00009D9D0000}"/>
    <cellStyle name="Normal 2 2 4 4 3 4" xfId="27986" xr:uid="{00000000-0005-0000-0000-00009E9D0000}"/>
    <cellStyle name="Normal 2 2 4 4 4" xfId="7940" xr:uid="{00000000-0005-0000-0000-00009F9D0000}"/>
    <cellStyle name="Normal 2 2 4 4 4 2" xfId="19241" xr:uid="{00000000-0005-0000-0000-0000A09D0000}"/>
    <cellStyle name="Normal 2 2 4 4 4 2 2" xfId="41843" xr:uid="{00000000-0005-0000-0000-0000A19D0000}"/>
    <cellStyle name="Normal 2 2 4 4 4 3" xfId="30542" xr:uid="{00000000-0005-0000-0000-0000A29D0000}"/>
    <cellStyle name="Normal 2 2 4 4 5" xfId="13591" xr:uid="{00000000-0005-0000-0000-0000A39D0000}"/>
    <cellStyle name="Normal 2 2 4 4 5 2" xfId="36193" xr:uid="{00000000-0005-0000-0000-0000A49D0000}"/>
    <cellStyle name="Normal 2 2 4 4 6" xfId="24892" xr:uid="{00000000-0005-0000-0000-0000A59D0000}"/>
    <cellStyle name="Normal 2 2 4 5" xfId="2365" xr:uid="{00000000-0005-0000-0000-0000A69D0000}"/>
    <cellStyle name="Normal 2 2 4 5 2" xfId="8201" xr:uid="{00000000-0005-0000-0000-0000A79D0000}"/>
    <cellStyle name="Normal 2 2 4 5 2 2" xfId="19502" xr:uid="{00000000-0005-0000-0000-0000A89D0000}"/>
    <cellStyle name="Normal 2 2 4 5 2 2 2" xfId="42104" xr:uid="{00000000-0005-0000-0000-0000A99D0000}"/>
    <cellStyle name="Normal 2 2 4 5 2 3" xfId="30803" xr:uid="{00000000-0005-0000-0000-0000AA9D0000}"/>
    <cellStyle name="Normal 2 2 4 5 3" xfId="13852" xr:uid="{00000000-0005-0000-0000-0000AB9D0000}"/>
    <cellStyle name="Normal 2 2 4 5 3 2" xfId="36454" xr:uid="{00000000-0005-0000-0000-0000AC9D0000}"/>
    <cellStyle name="Normal 2 2 4 5 4" xfId="25153" xr:uid="{00000000-0005-0000-0000-0000AD9D0000}"/>
    <cellStyle name="Normal 2 2 4 6" xfId="4150" xr:uid="{00000000-0005-0000-0000-0000AE9D0000}"/>
    <cellStyle name="Normal 2 2 4 6 2" xfId="9800" xr:uid="{00000000-0005-0000-0000-0000AF9D0000}"/>
    <cellStyle name="Normal 2 2 4 6 2 2" xfId="21101" xr:uid="{00000000-0005-0000-0000-0000B09D0000}"/>
    <cellStyle name="Normal 2 2 4 6 2 2 2" xfId="43703" xr:uid="{00000000-0005-0000-0000-0000B19D0000}"/>
    <cellStyle name="Normal 2 2 4 6 2 3" xfId="32402" xr:uid="{00000000-0005-0000-0000-0000B29D0000}"/>
    <cellStyle name="Normal 2 2 4 6 3" xfId="15451" xr:uid="{00000000-0005-0000-0000-0000B39D0000}"/>
    <cellStyle name="Normal 2 2 4 6 3 2" xfId="38053" xr:uid="{00000000-0005-0000-0000-0000B49D0000}"/>
    <cellStyle name="Normal 2 2 4 6 4" xfId="26752" xr:uid="{00000000-0005-0000-0000-0000B59D0000}"/>
    <cellStyle name="Normal 2 2 4 7" xfId="6601" xr:uid="{00000000-0005-0000-0000-0000B69D0000}"/>
    <cellStyle name="Normal 2 2 4 7 2" xfId="17902" xr:uid="{00000000-0005-0000-0000-0000B79D0000}"/>
    <cellStyle name="Normal 2 2 4 7 2 2" xfId="40504" xr:uid="{00000000-0005-0000-0000-0000B89D0000}"/>
    <cellStyle name="Normal 2 2 4 7 3" xfId="29203" xr:uid="{00000000-0005-0000-0000-0000B99D0000}"/>
    <cellStyle name="Normal 2 2 4 8" xfId="12252" xr:uid="{00000000-0005-0000-0000-0000BA9D0000}"/>
    <cellStyle name="Normal 2 2 4 8 2" xfId="34854" xr:uid="{00000000-0005-0000-0000-0000BB9D0000}"/>
    <cellStyle name="Normal 2 2 4 9" xfId="23553" xr:uid="{00000000-0005-0000-0000-0000BC9D0000}"/>
    <cellStyle name="Normal 2 2 5" xfId="705" xr:uid="{00000000-0005-0000-0000-0000BD9D0000}"/>
    <cellStyle name="Normal 2 2 5 2" xfId="1106" xr:uid="{00000000-0005-0000-0000-0000BE9D0000}"/>
    <cellStyle name="Normal 2 2 5 2 2" xfId="3160" xr:uid="{00000000-0005-0000-0000-0000BF9D0000}"/>
    <cellStyle name="Normal 2 2 5 2 2 2" xfId="6132" xr:uid="{00000000-0005-0000-0000-0000C09D0000}"/>
    <cellStyle name="Normal 2 2 5 2 2 2 2" xfId="11782" xr:uid="{00000000-0005-0000-0000-0000C19D0000}"/>
    <cellStyle name="Normal 2 2 5 2 2 2 2 2" xfId="23083" xr:uid="{00000000-0005-0000-0000-0000C29D0000}"/>
    <cellStyle name="Normal 2 2 5 2 2 2 2 2 2" xfId="45685" xr:uid="{00000000-0005-0000-0000-0000C39D0000}"/>
    <cellStyle name="Normal 2 2 5 2 2 2 2 3" xfId="34384" xr:uid="{00000000-0005-0000-0000-0000C49D0000}"/>
    <cellStyle name="Normal 2 2 5 2 2 2 3" xfId="17433" xr:uid="{00000000-0005-0000-0000-0000C59D0000}"/>
    <cellStyle name="Normal 2 2 5 2 2 2 3 2" xfId="40035" xr:uid="{00000000-0005-0000-0000-0000C69D0000}"/>
    <cellStyle name="Normal 2 2 5 2 2 2 4" xfId="28734" xr:uid="{00000000-0005-0000-0000-0000C79D0000}"/>
    <cellStyle name="Normal 2 2 5 2 2 3" xfId="8950" xr:uid="{00000000-0005-0000-0000-0000C89D0000}"/>
    <cellStyle name="Normal 2 2 5 2 2 3 2" xfId="20251" xr:uid="{00000000-0005-0000-0000-0000C99D0000}"/>
    <cellStyle name="Normal 2 2 5 2 2 3 2 2" xfId="42853" xr:uid="{00000000-0005-0000-0000-0000CA9D0000}"/>
    <cellStyle name="Normal 2 2 5 2 2 3 3" xfId="31552" xr:uid="{00000000-0005-0000-0000-0000CB9D0000}"/>
    <cellStyle name="Normal 2 2 5 2 2 4" xfId="14601" xr:uid="{00000000-0005-0000-0000-0000CC9D0000}"/>
    <cellStyle name="Normal 2 2 5 2 2 4 2" xfId="37203" xr:uid="{00000000-0005-0000-0000-0000CD9D0000}"/>
    <cellStyle name="Normal 2 2 5 2 2 5" xfId="25902" xr:uid="{00000000-0005-0000-0000-0000CE9D0000}"/>
    <cellStyle name="Normal 2 2 5 2 3" xfId="4898" xr:uid="{00000000-0005-0000-0000-0000CF9D0000}"/>
    <cellStyle name="Normal 2 2 5 2 3 2" xfId="10548" xr:uid="{00000000-0005-0000-0000-0000D09D0000}"/>
    <cellStyle name="Normal 2 2 5 2 3 2 2" xfId="21849" xr:uid="{00000000-0005-0000-0000-0000D19D0000}"/>
    <cellStyle name="Normal 2 2 5 2 3 2 2 2" xfId="44451" xr:uid="{00000000-0005-0000-0000-0000D29D0000}"/>
    <cellStyle name="Normal 2 2 5 2 3 2 3" xfId="33150" xr:uid="{00000000-0005-0000-0000-0000D39D0000}"/>
    <cellStyle name="Normal 2 2 5 2 3 3" xfId="16199" xr:uid="{00000000-0005-0000-0000-0000D49D0000}"/>
    <cellStyle name="Normal 2 2 5 2 3 3 2" xfId="38801" xr:uid="{00000000-0005-0000-0000-0000D59D0000}"/>
    <cellStyle name="Normal 2 2 5 2 3 4" xfId="27500" xr:uid="{00000000-0005-0000-0000-0000D69D0000}"/>
    <cellStyle name="Normal 2 2 5 2 4" xfId="7085" xr:uid="{00000000-0005-0000-0000-0000D79D0000}"/>
    <cellStyle name="Normal 2 2 5 2 4 2" xfId="18386" xr:uid="{00000000-0005-0000-0000-0000D89D0000}"/>
    <cellStyle name="Normal 2 2 5 2 4 2 2" xfId="40988" xr:uid="{00000000-0005-0000-0000-0000D99D0000}"/>
    <cellStyle name="Normal 2 2 5 2 4 3" xfId="29687" xr:uid="{00000000-0005-0000-0000-0000DA9D0000}"/>
    <cellStyle name="Normal 2 2 5 2 5" xfId="12736" xr:uid="{00000000-0005-0000-0000-0000DB9D0000}"/>
    <cellStyle name="Normal 2 2 5 2 5 2" xfId="35338" xr:uid="{00000000-0005-0000-0000-0000DC9D0000}"/>
    <cellStyle name="Normal 2 2 5 2 6" xfId="24037" xr:uid="{00000000-0005-0000-0000-0000DD9D0000}"/>
    <cellStyle name="Normal 2 2 5 3" xfId="2086" xr:uid="{00000000-0005-0000-0000-0000DE9D0000}"/>
    <cellStyle name="Normal 2 2 5 3 2" xfId="3848" xr:uid="{00000000-0005-0000-0000-0000DF9D0000}"/>
    <cellStyle name="Normal 2 2 5 3 2 2" xfId="9556" xr:uid="{00000000-0005-0000-0000-0000E09D0000}"/>
    <cellStyle name="Normal 2 2 5 3 2 2 2" xfId="20857" xr:uid="{00000000-0005-0000-0000-0000E19D0000}"/>
    <cellStyle name="Normal 2 2 5 3 2 2 2 2" xfId="43459" xr:uid="{00000000-0005-0000-0000-0000E29D0000}"/>
    <cellStyle name="Normal 2 2 5 3 2 2 3" xfId="32158" xr:uid="{00000000-0005-0000-0000-0000E39D0000}"/>
    <cellStyle name="Normal 2 2 5 3 2 3" xfId="15207" xr:uid="{00000000-0005-0000-0000-0000E49D0000}"/>
    <cellStyle name="Normal 2 2 5 3 2 3 2" xfId="37809" xr:uid="{00000000-0005-0000-0000-0000E59D0000}"/>
    <cellStyle name="Normal 2 2 5 3 2 4" xfId="26508" xr:uid="{00000000-0005-0000-0000-0000E69D0000}"/>
    <cellStyle name="Normal 2 2 5 3 3" xfId="5508" xr:uid="{00000000-0005-0000-0000-0000E79D0000}"/>
    <cellStyle name="Normal 2 2 5 3 3 2" xfId="11158" xr:uid="{00000000-0005-0000-0000-0000E89D0000}"/>
    <cellStyle name="Normal 2 2 5 3 3 2 2" xfId="22459" xr:uid="{00000000-0005-0000-0000-0000E99D0000}"/>
    <cellStyle name="Normal 2 2 5 3 3 2 2 2" xfId="45061" xr:uid="{00000000-0005-0000-0000-0000EA9D0000}"/>
    <cellStyle name="Normal 2 2 5 3 3 2 3" xfId="33760" xr:uid="{00000000-0005-0000-0000-0000EB9D0000}"/>
    <cellStyle name="Normal 2 2 5 3 3 3" xfId="16809" xr:uid="{00000000-0005-0000-0000-0000EC9D0000}"/>
    <cellStyle name="Normal 2 2 5 3 3 3 2" xfId="39411" xr:uid="{00000000-0005-0000-0000-0000ED9D0000}"/>
    <cellStyle name="Normal 2 2 5 3 3 4" xfId="28110" xr:uid="{00000000-0005-0000-0000-0000EE9D0000}"/>
    <cellStyle name="Normal 2 2 5 3 4" xfId="7942" xr:uid="{00000000-0005-0000-0000-0000EF9D0000}"/>
    <cellStyle name="Normal 2 2 5 3 4 2" xfId="19243" xr:uid="{00000000-0005-0000-0000-0000F09D0000}"/>
    <cellStyle name="Normal 2 2 5 3 4 2 2" xfId="41845" xr:uid="{00000000-0005-0000-0000-0000F19D0000}"/>
    <cellStyle name="Normal 2 2 5 3 4 3" xfId="30544" xr:uid="{00000000-0005-0000-0000-0000F29D0000}"/>
    <cellStyle name="Normal 2 2 5 3 5" xfId="13593" xr:uid="{00000000-0005-0000-0000-0000F39D0000}"/>
    <cellStyle name="Normal 2 2 5 3 5 2" xfId="36195" xr:uid="{00000000-0005-0000-0000-0000F49D0000}"/>
    <cellStyle name="Normal 2 2 5 3 6" xfId="24894" xr:uid="{00000000-0005-0000-0000-0000F59D0000}"/>
    <cellStyle name="Normal 2 2 5 4" xfId="2489" xr:uid="{00000000-0005-0000-0000-0000F69D0000}"/>
    <cellStyle name="Normal 2 2 5 4 2" xfId="8325" xr:uid="{00000000-0005-0000-0000-0000F79D0000}"/>
    <cellStyle name="Normal 2 2 5 4 2 2" xfId="19626" xr:uid="{00000000-0005-0000-0000-0000F89D0000}"/>
    <cellStyle name="Normal 2 2 5 4 2 2 2" xfId="42228" xr:uid="{00000000-0005-0000-0000-0000F99D0000}"/>
    <cellStyle name="Normal 2 2 5 4 2 3" xfId="30927" xr:uid="{00000000-0005-0000-0000-0000FA9D0000}"/>
    <cellStyle name="Normal 2 2 5 4 3" xfId="13976" xr:uid="{00000000-0005-0000-0000-0000FB9D0000}"/>
    <cellStyle name="Normal 2 2 5 4 3 2" xfId="36578" xr:uid="{00000000-0005-0000-0000-0000FC9D0000}"/>
    <cellStyle name="Normal 2 2 5 4 4" xfId="25277" xr:uid="{00000000-0005-0000-0000-0000FD9D0000}"/>
    <cellStyle name="Normal 2 2 5 5" xfId="4274" xr:uid="{00000000-0005-0000-0000-0000FE9D0000}"/>
    <cellStyle name="Normal 2 2 5 5 2" xfId="9924" xr:uid="{00000000-0005-0000-0000-0000FF9D0000}"/>
    <cellStyle name="Normal 2 2 5 5 2 2" xfId="21225" xr:uid="{00000000-0005-0000-0000-0000009E0000}"/>
    <cellStyle name="Normal 2 2 5 5 2 2 2" xfId="43827" xr:uid="{00000000-0005-0000-0000-0000019E0000}"/>
    <cellStyle name="Normal 2 2 5 5 2 3" xfId="32526" xr:uid="{00000000-0005-0000-0000-0000029E0000}"/>
    <cellStyle name="Normal 2 2 5 5 3" xfId="15575" xr:uid="{00000000-0005-0000-0000-0000039E0000}"/>
    <cellStyle name="Normal 2 2 5 5 3 2" xfId="38177" xr:uid="{00000000-0005-0000-0000-0000049E0000}"/>
    <cellStyle name="Normal 2 2 5 5 4" xfId="26876" xr:uid="{00000000-0005-0000-0000-0000059E0000}"/>
    <cellStyle name="Normal 2 2 5 6" xfId="6768" xr:uid="{00000000-0005-0000-0000-0000069E0000}"/>
    <cellStyle name="Normal 2 2 5 6 2" xfId="18069" xr:uid="{00000000-0005-0000-0000-0000079E0000}"/>
    <cellStyle name="Normal 2 2 5 6 2 2" xfId="40671" xr:uid="{00000000-0005-0000-0000-0000089E0000}"/>
    <cellStyle name="Normal 2 2 5 6 3" xfId="29370" xr:uid="{00000000-0005-0000-0000-0000099E0000}"/>
    <cellStyle name="Normal 2 2 5 7" xfId="12419" xr:uid="{00000000-0005-0000-0000-00000A9E0000}"/>
    <cellStyle name="Normal 2 2 5 7 2" xfId="35021" xr:uid="{00000000-0005-0000-0000-00000B9E0000}"/>
    <cellStyle name="Normal 2 2 5 8" xfId="23720" xr:uid="{00000000-0005-0000-0000-00000C9E0000}"/>
    <cellStyle name="Normal 2 2 6" xfId="709" xr:uid="{00000000-0005-0000-0000-00000D9E0000}"/>
    <cellStyle name="Normal 2 2 6 2" xfId="2869" xr:uid="{00000000-0005-0000-0000-00000E9E0000}"/>
    <cellStyle name="Normal 2 2 6 2 2" xfId="5841" xr:uid="{00000000-0005-0000-0000-00000F9E0000}"/>
    <cellStyle name="Normal 2 2 6 2 2 2" xfId="11491" xr:uid="{00000000-0005-0000-0000-0000109E0000}"/>
    <cellStyle name="Normal 2 2 6 2 2 2 2" xfId="22792" xr:uid="{00000000-0005-0000-0000-0000119E0000}"/>
    <cellStyle name="Normal 2 2 6 2 2 2 2 2" xfId="45394" xr:uid="{00000000-0005-0000-0000-0000129E0000}"/>
    <cellStyle name="Normal 2 2 6 2 2 2 3" xfId="34093" xr:uid="{00000000-0005-0000-0000-0000139E0000}"/>
    <cellStyle name="Normal 2 2 6 2 2 3" xfId="17142" xr:uid="{00000000-0005-0000-0000-0000149E0000}"/>
    <cellStyle name="Normal 2 2 6 2 2 3 2" xfId="39744" xr:uid="{00000000-0005-0000-0000-0000159E0000}"/>
    <cellStyle name="Normal 2 2 6 2 2 4" xfId="28443" xr:uid="{00000000-0005-0000-0000-0000169E0000}"/>
    <cellStyle name="Normal 2 2 6 2 3" xfId="8659" xr:uid="{00000000-0005-0000-0000-0000179E0000}"/>
    <cellStyle name="Normal 2 2 6 2 3 2" xfId="19960" xr:uid="{00000000-0005-0000-0000-0000189E0000}"/>
    <cellStyle name="Normal 2 2 6 2 3 2 2" xfId="42562" xr:uid="{00000000-0005-0000-0000-0000199E0000}"/>
    <cellStyle name="Normal 2 2 6 2 3 3" xfId="31261" xr:uid="{00000000-0005-0000-0000-00001A9E0000}"/>
    <cellStyle name="Normal 2 2 6 2 4" xfId="14310" xr:uid="{00000000-0005-0000-0000-00001B9E0000}"/>
    <cellStyle name="Normal 2 2 6 2 4 2" xfId="36912" xr:uid="{00000000-0005-0000-0000-00001C9E0000}"/>
    <cellStyle name="Normal 2 2 6 2 5" xfId="25611" xr:uid="{00000000-0005-0000-0000-00001D9E0000}"/>
    <cellStyle name="Normal 2 2 6 3" xfId="4607" xr:uid="{00000000-0005-0000-0000-00001E9E0000}"/>
    <cellStyle name="Normal 2 2 6 3 2" xfId="10257" xr:uid="{00000000-0005-0000-0000-00001F9E0000}"/>
    <cellStyle name="Normal 2 2 6 3 2 2" xfId="21558" xr:uid="{00000000-0005-0000-0000-0000209E0000}"/>
    <cellStyle name="Normal 2 2 6 3 2 2 2" xfId="44160" xr:uid="{00000000-0005-0000-0000-0000219E0000}"/>
    <cellStyle name="Normal 2 2 6 3 2 3" xfId="32859" xr:uid="{00000000-0005-0000-0000-0000229E0000}"/>
    <cellStyle name="Normal 2 2 6 3 3" xfId="15908" xr:uid="{00000000-0005-0000-0000-0000239E0000}"/>
    <cellStyle name="Normal 2 2 6 3 3 2" xfId="38510" xr:uid="{00000000-0005-0000-0000-0000249E0000}"/>
    <cellStyle name="Normal 2 2 6 3 4" xfId="27209" xr:uid="{00000000-0005-0000-0000-0000259E0000}"/>
    <cellStyle name="Normal 2 2 6 4" xfId="6770" xr:uid="{00000000-0005-0000-0000-0000269E0000}"/>
    <cellStyle name="Normal 2 2 6 4 2" xfId="18071" xr:uid="{00000000-0005-0000-0000-0000279E0000}"/>
    <cellStyle name="Normal 2 2 6 4 2 2" xfId="40673" xr:uid="{00000000-0005-0000-0000-0000289E0000}"/>
    <cellStyle name="Normal 2 2 6 4 3" xfId="29372" xr:uid="{00000000-0005-0000-0000-0000299E0000}"/>
    <cellStyle name="Normal 2 2 6 5" xfId="12421" xr:uid="{00000000-0005-0000-0000-00002A9E0000}"/>
    <cellStyle name="Normal 2 2 6 5 2" xfId="35023" xr:uid="{00000000-0005-0000-0000-00002B9E0000}"/>
    <cellStyle name="Normal 2 2 6 6" xfId="23722" xr:uid="{00000000-0005-0000-0000-00002C9E0000}"/>
    <cellStyle name="Normal 2 2 7" xfId="2077" xr:uid="{00000000-0005-0000-0000-00002D9E0000}"/>
    <cellStyle name="Normal 2 2 7 2" xfId="3843" xr:uid="{00000000-0005-0000-0000-00002E9E0000}"/>
    <cellStyle name="Normal 2 2 7 2 2" xfId="9551" xr:uid="{00000000-0005-0000-0000-00002F9E0000}"/>
    <cellStyle name="Normal 2 2 7 2 2 2" xfId="20852" xr:uid="{00000000-0005-0000-0000-0000309E0000}"/>
    <cellStyle name="Normal 2 2 7 2 2 2 2" xfId="43454" xr:uid="{00000000-0005-0000-0000-0000319E0000}"/>
    <cellStyle name="Normal 2 2 7 2 2 3" xfId="32153" xr:uid="{00000000-0005-0000-0000-0000329E0000}"/>
    <cellStyle name="Normal 2 2 7 2 3" xfId="15202" xr:uid="{00000000-0005-0000-0000-0000339E0000}"/>
    <cellStyle name="Normal 2 2 7 2 3 2" xfId="37804" xr:uid="{00000000-0005-0000-0000-0000349E0000}"/>
    <cellStyle name="Normal 2 2 7 2 4" xfId="26503" xr:uid="{00000000-0005-0000-0000-0000359E0000}"/>
    <cellStyle name="Normal 2 2 7 3" xfId="5217" xr:uid="{00000000-0005-0000-0000-0000369E0000}"/>
    <cellStyle name="Normal 2 2 7 3 2" xfId="10867" xr:uid="{00000000-0005-0000-0000-0000379E0000}"/>
    <cellStyle name="Normal 2 2 7 3 2 2" xfId="22168" xr:uid="{00000000-0005-0000-0000-0000389E0000}"/>
    <cellStyle name="Normal 2 2 7 3 2 2 2" xfId="44770" xr:uid="{00000000-0005-0000-0000-0000399E0000}"/>
    <cellStyle name="Normal 2 2 7 3 2 3" xfId="33469" xr:uid="{00000000-0005-0000-0000-00003A9E0000}"/>
    <cellStyle name="Normal 2 2 7 3 3" xfId="16518" xr:uid="{00000000-0005-0000-0000-00003B9E0000}"/>
    <cellStyle name="Normal 2 2 7 3 3 2" xfId="39120" xr:uid="{00000000-0005-0000-0000-00003C9E0000}"/>
    <cellStyle name="Normal 2 2 7 3 4" xfId="27819" xr:uid="{00000000-0005-0000-0000-00003D9E0000}"/>
    <cellStyle name="Normal 2 2 7 4" xfId="7933" xr:uid="{00000000-0005-0000-0000-00003E9E0000}"/>
    <cellStyle name="Normal 2 2 7 4 2" xfId="19234" xr:uid="{00000000-0005-0000-0000-00003F9E0000}"/>
    <cellStyle name="Normal 2 2 7 4 2 2" xfId="41836" xr:uid="{00000000-0005-0000-0000-0000409E0000}"/>
    <cellStyle name="Normal 2 2 7 4 3" xfId="30535" xr:uid="{00000000-0005-0000-0000-0000419E0000}"/>
    <cellStyle name="Normal 2 2 7 5" xfId="13584" xr:uid="{00000000-0005-0000-0000-0000429E0000}"/>
    <cellStyle name="Normal 2 2 7 5 2" xfId="36186" xr:uid="{00000000-0005-0000-0000-0000439E0000}"/>
    <cellStyle name="Normal 2 2 7 6" xfId="24885" xr:uid="{00000000-0005-0000-0000-0000449E0000}"/>
    <cellStyle name="Normal 2 2 8" xfId="2187" xr:uid="{00000000-0005-0000-0000-0000459E0000}"/>
    <cellStyle name="Normal 2 2 8 2" xfId="8031" xr:uid="{00000000-0005-0000-0000-0000469E0000}"/>
    <cellStyle name="Normal 2 2 8 2 2" xfId="19332" xr:uid="{00000000-0005-0000-0000-0000479E0000}"/>
    <cellStyle name="Normal 2 2 8 2 2 2" xfId="41934" xr:uid="{00000000-0005-0000-0000-0000489E0000}"/>
    <cellStyle name="Normal 2 2 8 2 3" xfId="30633" xr:uid="{00000000-0005-0000-0000-0000499E0000}"/>
    <cellStyle name="Normal 2 2 8 3" xfId="13682" xr:uid="{00000000-0005-0000-0000-00004A9E0000}"/>
    <cellStyle name="Normal 2 2 8 3 2" xfId="36284" xr:uid="{00000000-0005-0000-0000-00004B9E0000}"/>
    <cellStyle name="Normal 2 2 8 4" xfId="24983" xr:uid="{00000000-0005-0000-0000-00004C9E0000}"/>
    <cellStyle name="Normal 2 2 9" xfId="3983" xr:uid="{00000000-0005-0000-0000-00004D9E0000}"/>
    <cellStyle name="Normal 2 2 9 2" xfId="9633" xr:uid="{00000000-0005-0000-0000-00004E9E0000}"/>
    <cellStyle name="Normal 2 2 9 2 2" xfId="20934" xr:uid="{00000000-0005-0000-0000-00004F9E0000}"/>
    <cellStyle name="Normal 2 2 9 2 2 2" xfId="43536" xr:uid="{00000000-0005-0000-0000-0000509E0000}"/>
    <cellStyle name="Normal 2 2 9 2 3" xfId="32235" xr:uid="{00000000-0005-0000-0000-0000519E0000}"/>
    <cellStyle name="Normal 2 2 9 3" xfId="15284" xr:uid="{00000000-0005-0000-0000-0000529E0000}"/>
    <cellStyle name="Normal 2 2 9 3 2" xfId="37886" xr:uid="{00000000-0005-0000-0000-0000539E0000}"/>
    <cellStyle name="Normal 2 2 9 4" xfId="26585" xr:uid="{00000000-0005-0000-0000-0000549E0000}"/>
    <cellStyle name="Normal 2 3" xfId="327" xr:uid="{00000000-0005-0000-0000-0000559E0000}"/>
    <cellStyle name="Normal 2 4" xfId="400" xr:uid="{00000000-0005-0000-0000-0000569E0000}"/>
    <cellStyle name="Normal 2 4 10" xfId="23495" xr:uid="{00000000-0005-0000-0000-0000579E0000}"/>
    <cellStyle name="Normal 2 4 2" xfId="645" xr:uid="{00000000-0005-0000-0000-0000589E0000}"/>
    <cellStyle name="Normal 2 4 2 2" xfId="1355" xr:uid="{00000000-0005-0000-0000-0000599E0000}"/>
    <cellStyle name="Normal 2 4 2 2 2" xfId="2089" xr:uid="{00000000-0005-0000-0000-00005A9E0000}"/>
    <cellStyle name="Normal 2 4 2 2 2 2" xfId="3424" xr:uid="{00000000-0005-0000-0000-00005B9E0000}"/>
    <cellStyle name="Normal 2 4 2 2 2 2 2" xfId="6396" xr:uid="{00000000-0005-0000-0000-00005C9E0000}"/>
    <cellStyle name="Normal 2 4 2 2 2 2 2 2" xfId="12046" xr:uid="{00000000-0005-0000-0000-00005D9E0000}"/>
    <cellStyle name="Normal 2 4 2 2 2 2 2 2 2" xfId="23347" xr:uid="{00000000-0005-0000-0000-00005E9E0000}"/>
    <cellStyle name="Normal 2 4 2 2 2 2 2 2 2 2" xfId="45949" xr:uid="{00000000-0005-0000-0000-00005F9E0000}"/>
    <cellStyle name="Normal 2 4 2 2 2 2 2 2 3" xfId="34648" xr:uid="{00000000-0005-0000-0000-0000609E0000}"/>
    <cellStyle name="Normal 2 4 2 2 2 2 2 3" xfId="17697" xr:uid="{00000000-0005-0000-0000-0000619E0000}"/>
    <cellStyle name="Normal 2 4 2 2 2 2 2 3 2" xfId="40299" xr:uid="{00000000-0005-0000-0000-0000629E0000}"/>
    <cellStyle name="Normal 2 4 2 2 2 2 2 4" xfId="28998" xr:uid="{00000000-0005-0000-0000-0000639E0000}"/>
    <cellStyle name="Normal 2 4 2 2 2 2 3" xfId="9214" xr:uid="{00000000-0005-0000-0000-0000649E0000}"/>
    <cellStyle name="Normal 2 4 2 2 2 2 3 2" xfId="20515" xr:uid="{00000000-0005-0000-0000-0000659E0000}"/>
    <cellStyle name="Normal 2 4 2 2 2 2 3 2 2" xfId="43117" xr:uid="{00000000-0005-0000-0000-0000669E0000}"/>
    <cellStyle name="Normal 2 4 2 2 2 2 3 3" xfId="31816" xr:uid="{00000000-0005-0000-0000-0000679E0000}"/>
    <cellStyle name="Normal 2 4 2 2 2 2 4" xfId="14865" xr:uid="{00000000-0005-0000-0000-0000689E0000}"/>
    <cellStyle name="Normal 2 4 2 2 2 2 4 2" xfId="37467" xr:uid="{00000000-0005-0000-0000-0000699E0000}"/>
    <cellStyle name="Normal 2 4 2 2 2 2 5" xfId="26166" xr:uid="{00000000-0005-0000-0000-00006A9E0000}"/>
    <cellStyle name="Normal 2 4 2 2 2 3" xfId="5162" xr:uid="{00000000-0005-0000-0000-00006B9E0000}"/>
    <cellStyle name="Normal 2 4 2 2 2 3 2" xfId="10812" xr:uid="{00000000-0005-0000-0000-00006C9E0000}"/>
    <cellStyle name="Normal 2 4 2 2 2 3 2 2" xfId="22113" xr:uid="{00000000-0005-0000-0000-00006D9E0000}"/>
    <cellStyle name="Normal 2 4 2 2 2 3 2 2 2" xfId="44715" xr:uid="{00000000-0005-0000-0000-00006E9E0000}"/>
    <cellStyle name="Normal 2 4 2 2 2 3 2 3" xfId="33414" xr:uid="{00000000-0005-0000-0000-00006F9E0000}"/>
    <cellStyle name="Normal 2 4 2 2 2 3 3" xfId="16463" xr:uid="{00000000-0005-0000-0000-0000709E0000}"/>
    <cellStyle name="Normal 2 4 2 2 2 3 3 2" xfId="39065" xr:uid="{00000000-0005-0000-0000-0000719E0000}"/>
    <cellStyle name="Normal 2 4 2 2 2 3 4" xfId="27764" xr:uid="{00000000-0005-0000-0000-0000729E0000}"/>
    <cellStyle name="Normal 2 4 2 2 2 4" xfId="7945" xr:uid="{00000000-0005-0000-0000-0000739E0000}"/>
    <cellStyle name="Normal 2 4 2 2 2 4 2" xfId="19246" xr:uid="{00000000-0005-0000-0000-0000749E0000}"/>
    <cellStyle name="Normal 2 4 2 2 2 4 2 2" xfId="41848" xr:uid="{00000000-0005-0000-0000-0000759E0000}"/>
    <cellStyle name="Normal 2 4 2 2 2 4 3" xfId="30547" xr:uid="{00000000-0005-0000-0000-0000769E0000}"/>
    <cellStyle name="Normal 2 4 2 2 2 5" xfId="13596" xr:uid="{00000000-0005-0000-0000-0000779E0000}"/>
    <cellStyle name="Normal 2 4 2 2 2 5 2" xfId="36198" xr:uid="{00000000-0005-0000-0000-0000789E0000}"/>
    <cellStyle name="Normal 2 4 2 2 2 6" xfId="24897" xr:uid="{00000000-0005-0000-0000-0000799E0000}"/>
    <cellStyle name="Normal 2 4 2 2 3" xfId="2753" xr:uid="{00000000-0005-0000-0000-00007A9E0000}"/>
    <cellStyle name="Normal 2 4 2 2 3 2" xfId="5772" xr:uid="{00000000-0005-0000-0000-00007B9E0000}"/>
    <cellStyle name="Normal 2 4 2 2 3 2 2" xfId="11422" xr:uid="{00000000-0005-0000-0000-00007C9E0000}"/>
    <cellStyle name="Normal 2 4 2 2 3 2 2 2" xfId="22723" xr:uid="{00000000-0005-0000-0000-00007D9E0000}"/>
    <cellStyle name="Normal 2 4 2 2 3 2 2 2 2" xfId="45325" xr:uid="{00000000-0005-0000-0000-00007E9E0000}"/>
    <cellStyle name="Normal 2 4 2 2 3 2 2 3" xfId="34024" xr:uid="{00000000-0005-0000-0000-00007F9E0000}"/>
    <cellStyle name="Normal 2 4 2 2 3 2 3" xfId="17073" xr:uid="{00000000-0005-0000-0000-0000809E0000}"/>
    <cellStyle name="Normal 2 4 2 2 3 2 3 2" xfId="39675" xr:uid="{00000000-0005-0000-0000-0000819E0000}"/>
    <cellStyle name="Normal 2 4 2 2 3 2 4" xfId="28374" xr:uid="{00000000-0005-0000-0000-0000829E0000}"/>
    <cellStyle name="Normal 2 4 2 2 3 3" xfId="8589" xr:uid="{00000000-0005-0000-0000-0000839E0000}"/>
    <cellStyle name="Normal 2 4 2 2 3 3 2" xfId="19890" xr:uid="{00000000-0005-0000-0000-0000849E0000}"/>
    <cellStyle name="Normal 2 4 2 2 3 3 2 2" xfId="42492" xr:uid="{00000000-0005-0000-0000-0000859E0000}"/>
    <cellStyle name="Normal 2 4 2 2 3 3 3" xfId="31191" xr:uid="{00000000-0005-0000-0000-0000869E0000}"/>
    <cellStyle name="Normal 2 4 2 2 3 4" xfId="14240" xr:uid="{00000000-0005-0000-0000-0000879E0000}"/>
    <cellStyle name="Normal 2 4 2 2 3 4 2" xfId="36842" xr:uid="{00000000-0005-0000-0000-0000889E0000}"/>
    <cellStyle name="Normal 2 4 2 2 3 5" xfId="25541" xr:uid="{00000000-0005-0000-0000-0000899E0000}"/>
    <cellStyle name="Normal 2 4 2 2 4" xfId="4538" xr:uid="{00000000-0005-0000-0000-00008A9E0000}"/>
    <cellStyle name="Normal 2 4 2 2 4 2" xfId="10188" xr:uid="{00000000-0005-0000-0000-00008B9E0000}"/>
    <cellStyle name="Normal 2 4 2 2 4 2 2" xfId="21489" xr:uid="{00000000-0005-0000-0000-00008C9E0000}"/>
    <cellStyle name="Normal 2 4 2 2 4 2 2 2" xfId="44091" xr:uid="{00000000-0005-0000-0000-00008D9E0000}"/>
    <cellStyle name="Normal 2 4 2 2 4 2 3" xfId="32790" xr:uid="{00000000-0005-0000-0000-00008E9E0000}"/>
    <cellStyle name="Normal 2 4 2 2 4 3" xfId="15839" xr:uid="{00000000-0005-0000-0000-00008F9E0000}"/>
    <cellStyle name="Normal 2 4 2 2 4 3 2" xfId="38441" xr:uid="{00000000-0005-0000-0000-0000909E0000}"/>
    <cellStyle name="Normal 2 4 2 2 4 4" xfId="27140" xr:uid="{00000000-0005-0000-0000-0000919E0000}"/>
    <cellStyle name="Normal 2 4 2 2 5" xfId="7334" xr:uid="{00000000-0005-0000-0000-0000929E0000}"/>
    <cellStyle name="Normal 2 4 2 2 5 2" xfId="18635" xr:uid="{00000000-0005-0000-0000-0000939E0000}"/>
    <cellStyle name="Normal 2 4 2 2 5 2 2" xfId="41237" xr:uid="{00000000-0005-0000-0000-0000949E0000}"/>
    <cellStyle name="Normal 2 4 2 2 5 3" xfId="29936" xr:uid="{00000000-0005-0000-0000-0000959E0000}"/>
    <cellStyle name="Normal 2 4 2 2 6" xfId="12985" xr:uid="{00000000-0005-0000-0000-0000969E0000}"/>
    <cellStyle name="Normal 2 4 2 2 6 2" xfId="35587" xr:uid="{00000000-0005-0000-0000-0000979E0000}"/>
    <cellStyle name="Normal 2 4 2 2 7" xfId="24286" xr:uid="{00000000-0005-0000-0000-0000989E0000}"/>
    <cellStyle name="Normal 2 4 2 3" xfId="1053" xr:uid="{00000000-0005-0000-0000-0000999E0000}"/>
    <cellStyle name="Normal 2 4 2 3 2" xfId="3116" xr:uid="{00000000-0005-0000-0000-00009A9E0000}"/>
    <cellStyle name="Normal 2 4 2 3 2 2" xfId="6088" xr:uid="{00000000-0005-0000-0000-00009B9E0000}"/>
    <cellStyle name="Normal 2 4 2 3 2 2 2" xfId="11738" xr:uid="{00000000-0005-0000-0000-00009C9E0000}"/>
    <cellStyle name="Normal 2 4 2 3 2 2 2 2" xfId="23039" xr:uid="{00000000-0005-0000-0000-00009D9E0000}"/>
    <cellStyle name="Normal 2 4 2 3 2 2 2 2 2" xfId="45641" xr:uid="{00000000-0005-0000-0000-00009E9E0000}"/>
    <cellStyle name="Normal 2 4 2 3 2 2 2 3" xfId="34340" xr:uid="{00000000-0005-0000-0000-00009F9E0000}"/>
    <cellStyle name="Normal 2 4 2 3 2 2 3" xfId="17389" xr:uid="{00000000-0005-0000-0000-0000A09E0000}"/>
    <cellStyle name="Normal 2 4 2 3 2 2 3 2" xfId="39991" xr:uid="{00000000-0005-0000-0000-0000A19E0000}"/>
    <cellStyle name="Normal 2 4 2 3 2 2 4" xfId="28690" xr:uid="{00000000-0005-0000-0000-0000A29E0000}"/>
    <cellStyle name="Normal 2 4 2 3 2 3" xfId="8906" xr:uid="{00000000-0005-0000-0000-0000A39E0000}"/>
    <cellStyle name="Normal 2 4 2 3 2 3 2" xfId="20207" xr:uid="{00000000-0005-0000-0000-0000A49E0000}"/>
    <cellStyle name="Normal 2 4 2 3 2 3 2 2" xfId="42809" xr:uid="{00000000-0005-0000-0000-0000A59E0000}"/>
    <cellStyle name="Normal 2 4 2 3 2 3 3" xfId="31508" xr:uid="{00000000-0005-0000-0000-0000A69E0000}"/>
    <cellStyle name="Normal 2 4 2 3 2 4" xfId="14557" xr:uid="{00000000-0005-0000-0000-0000A79E0000}"/>
    <cellStyle name="Normal 2 4 2 3 2 4 2" xfId="37159" xr:uid="{00000000-0005-0000-0000-0000A89E0000}"/>
    <cellStyle name="Normal 2 4 2 3 2 5" xfId="25858" xr:uid="{00000000-0005-0000-0000-0000A99E0000}"/>
    <cellStyle name="Normal 2 4 2 3 3" xfId="4854" xr:uid="{00000000-0005-0000-0000-0000AA9E0000}"/>
    <cellStyle name="Normal 2 4 2 3 3 2" xfId="10504" xr:uid="{00000000-0005-0000-0000-0000AB9E0000}"/>
    <cellStyle name="Normal 2 4 2 3 3 2 2" xfId="21805" xr:uid="{00000000-0005-0000-0000-0000AC9E0000}"/>
    <cellStyle name="Normal 2 4 2 3 3 2 2 2" xfId="44407" xr:uid="{00000000-0005-0000-0000-0000AD9E0000}"/>
    <cellStyle name="Normal 2 4 2 3 3 2 3" xfId="33106" xr:uid="{00000000-0005-0000-0000-0000AE9E0000}"/>
    <cellStyle name="Normal 2 4 2 3 3 3" xfId="16155" xr:uid="{00000000-0005-0000-0000-0000AF9E0000}"/>
    <cellStyle name="Normal 2 4 2 3 3 3 2" xfId="38757" xr:uid="{00000000-0005-0000-0000-0000B09E0000}"/>
    <cellStyle name="Normal 2 4 2 3 3 4" xfId="27456" xr:uid="{00000000-0005-0000-0000-0000B19E0000}"/>
    <cellStyle name="Normal 2 4 2 3 4" xfId="7041" xr:uid="{00000000-0005-0000-0000-0000B29E0000}"/>
    <cellStyle name="Normal 2 4 2 3 4 2" xfId="18342" xr:uid="{00000000-0005-0000-0000-0000B39E0000}"/>
    <cellStyle name="Normal 2 4 2 3 4 2 2" xfId="40944" xr:uid="{00000000-0005-0000-0000-0000B49E0000}"/>
    <cellStyle name="Normal 2 4 2 3 4 3" xfId="29643" xr:uid="{00000000-0005-0000-0000-0000B59E0000}"/>
    <cellStyle name="Normal 2 4 2 3 5" xfId="12692" xr:uid="{00000000-0005-0000-0000-0000B69E0000}"/>
    <cellStyle name="Normal 2 4 2 3 5 2" xfId="35294" xr:uid="{00000000-0005-0000-0000-0000B79E0000}"/>
    <cellStyle name="Normal 2 4 2 3 6" xfId="23993" xr:uid="{00000000-0005-0000-0000-0000B89E0000}"/>
    <cellStyle name="Normal 2 4 2 4" xfId="2088" xr:uid="{00000000-0005-0000-0000-0000B99E0000}"/>
    <cellStyle name="Normal 2 4 2 4 2" xfId="3850" xr:uid="{00000000-0005-0000-0000-0000BA9E0000}"/>
    <cellStyle name="Normal 2 4 2 4 2 2" xfId="9558" xr:uid="{00000000-0005-0000-0000-0000BB9E0000}"/>
    <cellStyle name="Normal 2 4 2 4 2 2 2" xfId="20859" xr:uid="{00000000-0005-0000-0000-0000BC9E0000}"/>
    <cellStyle name="Normal 2 4 2 4 2 2 2 2" xfId="43461" xr:uid="{00000000-0005-0000-0000-0000BD9E0000}"/>
    <cellStyle name="Normal 2 4 2 4 2 2 3" xfId="32160" xr:uid="{00000000-0005-0000-0000-0000BE9E0000}"/>
    <cellStyle name="Normal 2 4 2 4 2 3" xfId="15209" xr:uid="{00000000-0005-0000-0000-0000BF9E0000}"/>
    <cellStyle name="Normal 2 4 2 4 2 3 2" xfId="37811" xr:uid="{00000000-0005-0000-0000-0000C09E0000}"/>
    <cellStyle name="Normal 2 4 2 4 2 4" xfId="26510" xr:uid="{00000000-0005-0000-0000-0000C19E0000}"/>
    <cellStyle name="Normal 2 4 2 4 3" xfId="5464" xr:uid="{00000000-0005-0000-0000-0000C29E0000}"/>
    <cellStyle name="Normal 2 4 2 4 3 2" xfId="11114" xr:uid="{00000000-0005-0000-0000-0000C39E0000}"/>
    <cellStyle name="Normal 2 4 2 4 3 2 2" xfId="22415" xr:uid="{00000000-0005-0000-0000-0000C49E0000}"/>
    <cellStyle name="Normal 2 4 2 4 3 2 2 2" xfId="45017" xr:uid="{00000000-0005-0000-0000-0000C59E0000}"/>
    <cellStyle name="Normal 2 4 2 4 3 2 3" xfId="33716" xr:uid="{00000000-0005-0000-0000-0000C69E0000}"/>
    <cellStyle name="Normal 2 4 2 4 3 3" xfId="16765" xr:uid="{00000000-0005-0000-0000-0000C79E0000}"/>
    <cellStyle name="Normal 2 4 2 4 3 3 2" xfId="39367" xr:uid="{00000000-0005-0000-0000-0000C89E0000}"/>
    <cellStyle name="Normal 2 4 2 4 3 4" xfId="28066" xr:uid="{00000000-0005-0000-0000-0000C99E0000}"/>
    <cellStyle name="Normal 2 4 2 4 4" xfId="7944" xr:uid="{00000000-0005-0000-0000-0000CA9E0000}"/>
    <cellStyle name="Normal 2 4 2 4 4 2" xfId="19245" xr:uid="{00000000-0005-0000-0000-0000CB9E0000}"/>
    <cellStyle name="Normal 2 4 2 4 4 2 2" xfId="41847" xr:uid="{00000000-0005-0000-0000-0000CC9E0000}"/>
    <cellStyle name="Normal 2 4 2 4 4 3" xfId="30546" xr:uid="{00000000-0005-0000-0000-0000CD9E0000}"/>
    <cellStyle name="Normal 2 4 2 4 5" xfId="13595" xr:uid="{00000000-0005-0000-0000-0000CE9E0000}"/>
    <cellStyle name="Normal 2 4 2 4 5 2" xfId="36197" xr:uid="{00000000-0005-0000-0000-0000CF9E0000}"/>
    <cellStyle name="Normal 2 4 2 4 6" xfId="24896" xr:uid="{00000000-0005-0000-0000-0000D09E0000}"/>
    <cellStyle name="Normal 2 4 2 5" xfId="2445" xr:uid="{00000000-0005-0000-0000-0000D19E0000}"/>
    <cellStyle name="Normal 2 4 2 5 2" xfId="8281" xr:uid="{00000000-0005-0000-0000-0000D29E0000}"/>
    <cellStyle name="Normal 2 4 2 5 2 2" xfId="19582" xr:uid="{00000000-0005-0000-0000-0000D39E0000}"/>
    <cellStyle name="Normal 2 4 2 5 2 2 2" xfId="42184" xr:uid="{00000000-0005-0000-0000-0000D49E0000}"/>
    <cellStyle name="Normal 2 4 2 5 2 3" xfId="30883" xr:uid="{00000000-0005-0000-0000-0000D59E0000}"/>
    <cellStyle name="Normal 2 4 2 5 3" xfId="13932" xr:uid="{00000000-0005-0000-0000-0000D69E0000}"/>
    <cellStyle name="Normal 2 4 2 5 3 2" xfId="36534" xr:uid="{00000000-0005-0000-0000-0000D79E0000}"/>
    <cellStyle name="Normal 2 4 2 5 4" xfId="25233" xr:uid="{00000000-0005-0000-0000-0000D89E0000}"/>
    <cellStyle name="Normal 2 4 2 6" xfId="4230" xr:uid="{00000000-0005-0000-0000-0000D99E0000}"/>
    <cellStyle name="Normal 2 4 2 6 2" xfId="9880" xr:uid="{00000000-0005-0000-0000-0000DA9E0000}"/>
    <cellStyle name="Normal 2 4 2 6 2 2" xfId="21181" xr:uid="{00000000-0005-0000-0000-0000DB9E0000}"/>
    <cellStyle name="Normal 2 4 2 6 2 2 2" xfId="43783" xr:uid="{00000000-0005-0000-0000-0000DC9E0000}"/>
    <cellStyle name="Normal 2 4 2 6 2 3" xfId="32482" xr:uid="{00000000-0005-0000-0000-0000DD9E0000}"/>
    <cellStyle name="Normal 2 4 2 6 3" xfId="15531" xr:uid="{00000000-0005-0000-0000-0000DE9E0000}"/>
    <cellStyle name="Normal 2 4 2 6 3 2" xfId="38133" xr:uid="{00000000-0005-0000-0000-0000DF9E0000}"/>
    <cellStyle name="Normal 2 4 2 6 4" xfId="26832" xr:uid="{00000000-0005-0000-0000-0000E09E0000}"/>
    <cellStyle name="Normal 2 4 2 7" xfId="6710" xr:uid="{00000000-0005-0000-0000-0000E19E0000}"/>
    <cellStyle name="Normal 2 4 2 7 2" xfId="18011" xr:uid="{00000000-0005-0000-0000-0000E29E0000}"/>
    <cellStyle name="Normal 2 4 2 7 2 2" xfId="40613" xr:uid="{00000000-0005-0000-0000-0000E39E0000}"/>
    <cellStyle name="Normal 2 4 2 7 3" xfId="29312" xr:uid="{00000000-0005-0000-0000-0000E49E0000}"/>
    <cellStyle name="Normal 2 4 2 8" xfId="12361" xr:uid="{00000000-0005-0000-0000-0000E59E0000}"/>
    <cellStyle name="Normal 2 4 2 8 2" xfId="34963" xr:uid="{00000000-0005-0000-0000-0000E69E0000}"/>
    <cellStyle name="Normal 2 4 2 9" xfId="23662" xr:uid="{00000000-0005-0000-0000-0000E79E0000}"/>
    <cellStyle name="Normal 2 4 3" xfId="1217" xr:uid="{00000000-0005-0000-0000-0000E89E0000}"/>
    <cellStyle name="Normal 2 4 3 2" xfId="2090" xr:uid="{00000000-0005-0000-0000-0000E99E0000}"/>
    <cellStyle name="Normal 2 4 3 2 2" xfId="3285" xr:uid="{00000000-0005-0000-0000-0000EA9E0000}"/>
    <cellStyle name="Normal 2 4 3 2 2 2" xfId="6257" xr:uid="{00000000-0005-0000-0000-0000EB9E0000}"/>
    <cellStyle name="Normal 2 4 3 2 2 2 2" xfId="11907" xr:uid="{00000000-0005-0000-0000-0000EC9E0000}"/>
    <cellStyle name="Normal 2 4 3 2 2 2 2 2" xfId="23208" xr:uid="{00000000-0005-0000-0000-0000ED9E0000}"/>
    <cellStyle name="Normal 2 4 3 2 2 2 2 2 2" xfId="45810" xr:uid="{00000000-0005-0000-0000-0000EE9E0000}"/>
    <cellStyle name="Normal 2 4 3 2 2 2 2 3" xfId="34509" xr:uid="{00000000-0005-0000-0000-0000EF9E0000}"/>
    <cellStyle name="Normal 2 4 3 2 2 2 3" xfId="17558" xr:uid="{00000000-0005-0000-0000-0000F09E0000}"/>
    <cellStyle name="Normal 2 4 3 2 2 2 3 2" xfId="40160" xr:uid="{00000000-0005-0000-0000-0000F19E0000}"/>
    <cellStyle name="Normal 2 4 3 2 2 2 4" xfId="28859" xr:uid="{00000000-0005-0000-0000-0000F29E0000}"/>
    <cellStyle name="Normal 2 4 3 2 2 3" xfId="9075" xr:uid="{00000000-0005-0000-0000-0000F39E0000}"/>
    <cellStyle name="Normal 2 4 3 2 2 3 2" xfId="20376" xr:uid="{00000000-0005-0000-0000-0000F49E0000}"/>
    <cellStyle name="Normal 2 4 3 2 2 3 2 2" xfId="42978" xr:uid="{00000000-0005-0000-0000-0000F59E0000}"/>
    <cellStyle name="Normal 2 4 3 2 2 3 3" xfId="31677" xr:uid="{00000000-0005-0000-0000-0000F69E0000}"/>
    <cellStyle name="Normal 2 4 3 2 2 4" xfId="14726" xr:uid="{00000000-0005-0000-0000-0000F79E0000}"/>
    <cellStyle name="Normal 2 4 3 2 2 4 2" xfId="37328" xr:uid="{00000000-0005-0000-0000-0000F89E0000}"/>
    <cellStyle name="Normal 2 4 3 2 2 5" xfId="26027" xr:uid="{00000000-0005-0000-0000-0000F99E0000}"/>
    <cellStyle name="Normal 2 4 3 2 3" xfId="5023" xr:uid="{00000000-0005-0000-0000-0000FA9E0000}"/>
    <cellStyle name="Normal 2 4 3 2 3 2" xfId="10673" xr:uid="{00000000-0005-0000-0000-0000FB9E0000}"/>
    <cellStyle name="Normal 2 4 3 2 3 2 2" xfId="21974" xr:uid="{00000000-0005-0000-0000-0000FC9E0000}"/>
    <cellStyle name="Normal 2 4 3 2 3 2 2 2" xfId="44576" xr:uid="{00000000-0005-0000-0000-0000FD9E0000}"/>
    <cellStyle name="Normal 2 4 3 2 3 2 3" xfId="33275" xr:uid="{00000000-0005-0000-0000-0000FE9E0000}"/>
    <cellStyle name="Normal 2 4 3 2 3 3" xfId="16324" xr:uid="{00000000-0005-0000-0000-0000FF9E0000}"/>
    <cellStyle name="Normal 2 4 3 2 3 3 2" xfId="38926" xr:uid="{00000000-0005-0000-0000-0000009F0000}"/>
    <cellStyle name="Normal 2 4 3 2 3 4" xfId="27625" xr:uid="{00000000-0005-0000-0000-0000019F0000}"/>
    <cellStyle name="Normal 2 4 3 2 4" xfId="7946" xr:uid="{00000000-0005-0000-0000-0000029F0000}"/>
    <cellStyle name="Normal 2 4 3 2 4 2" xfId="19247" xr:uid="{00000000-0005-0000-0000-0000039F0000}"/>
    <cellStyle name="Normal 2 4 3 2 4 2 2" xfId="41849" xr:uid="{00000000-0005-0000-0000-0000049F0000}"/>
    <cellStyle name="Normal 2 4 3 2 4 3" xfId="30548" xr:uid="{00000000-0005-0000-0000-0000059F0000}"/>
    <cellStyle name="Normal 2 4 3 2 5" xfId="13597" xr:uid="{00000000-0005-0000-0000-0000069F0000}"/>
    <cellStyle name="Normal 2 4 3 2 5 2" xfId="36199" xr:uid="{00000000-0005-0000-0000-0000079F0000}"/>
    <cellStyle name="Normal 2 4 3 2 6" xfId="24898" xr:uid="{00000000-0005-0000-0000-0000089F0000}"/>
    <cellStyle name="Normal 2 4 3 3" xfId="2614" xr:uid="{00000000-0005-0000-0000-0000099F0000}"/>
    <cellStyle name="Normal 2 4 3 3 2" xfId="5633" xr:uid="{00000000-0005-0000-0000-00000A9F0000}"/>
    <cellStyle name="Normal 2 4 3 3 2 2" xfId="11283" xr:uid="{00000000-0005-0000-0000-00000B9F0000}"/>
    <cellStyle name="Normal 2 4 3 3 2 2 2" xfId="22584" xr:uid="{00000000-0005-0000-0000-00000C9F0000}"/>
    <cellStyle name="Normal 2 4 3 3 2 2 2 2" xfId="45186" xr:uid="{00000000-0005-0000-0000-00000D9F0000}"/>
    <cellStyle name="Normal 2 4 3 3 2 2 3" xfId="33885" xr:uid="{00000000-0005-0000-0000-00000E9F0000}"/>
    <cellStyle name="Normal 2 4 3 3 2 3" xfId="16934" xr:uid="{00000000-0005-0000-0000-00000F9F0000}"/>
    <cellStyle name="Normal 2 4 3 3 2 3 2" xfId="39536" xr:uid="{00000000-0005-0000-0000-0000109F0000}"/>
    <cellStyle name="Normal 2 4 3 3 2 4" xfId="28235" xr:uid="{00000000-0005-0000-0000-0000119F0000}"/>
    <cellStyle name="Normal 2 4 3 3 3" xfId="8450" xr:uid="{00000000-0005-0000-0000-0000129F0000}"/>
    <cellStyle name="Normal 2 4 3 3 3 2" xfId="19751" xr:uid="{00000000-0005-0000-0000-0000139F0000}"/>
    <cellStyle name="Normal 2 4 3 3 3 2 2" xfId="42353" xr:uid="{00000000-0005-0000-0000-0000149F0000}"/>
    <cellStyle name="Normal 2 4 3 3 3 3" xfId="31052" xr:uid="{00000000-0005-0000-0000-0000159F0000}"/>
    <cellStyle name="Normal 2 4 3 3 4" xfId="14101" xr:uid="{00000000-0005-0000-0000-0000169F0000}"/>
    <cellStyle name="Normal 2 4 3 3 4 2" xfId="36703" xr:uid="{00000000-0005-0000-0000-0000179F0000}"/>
    <cellStyle name="Normal 2 4 3 3 5" xfId="25402" xr:uid="{00000000-0005-0000-0000-0000189F0000}"/>
    <cellStyle name="Normal 2 4 3 4" xfId="4399" xr:uid="{00000000-0005-0000-0000-0000199F0000}"/>
    <cellStyle name="Normal 2 4 3 4 2" xfId="10049" xr:uid="{00000000-0005-0000-0000-00001A9F0000}"/>
    <cellStyle name="Normal 2 4 3 4 2 2" xfId="21350" xr:uid="{00000000-0005-0000-0000-00001B9F0000}"/>
    <cellStyle name="Normal 2 4 3 4 2 2 2" xfId="43952" xr:uid="{00000000-0005-0000-0000-00001C9F0000}"/>
    <cellStyle name="Normal 2 4 3 4 2 3" xfId="32651" xr:uid="{00000000-0005-0000-0000-00001D9F0000}"/>
    <cellStyle name="Normal 2 4 3 4 3" xfId="15700" xr:uid="{00000000-0005-0000-0000-00001E9F0000}"/>
    <cellStyle name="Normal 2 4 3 4 3 2" xfId="38302" xr:uid="{00000000-0005-0000-0000-00001F9F0000}"/>
    <cellStyle name="Normal 2 4 3 4 4" xfId="27001" xr:uid="{00000000-0005-0000-0000-0000209F0000}"/>
    <cellStyle name="Normal 2 4 3 5" xfId="7196" xr:uid="{00000000-0005-0000-0000-0000219F0000}"/>
    <cellStyle name="Normal 2 4 3 5 2" xfId="18497" xr:uid="{00000000-0005-0000-0000-0000229F0000}"/>
    <cellStyle name="Normal 2 4 3 5 2 2" xfId="41099" xr:uid="{00000000-0005-0000-0000-0000239F0000}"/>
    <cellStyle name="Normal 2 4 3 5 3" xfId="29798" xr:uid="{00000000-0005-0000-0000-0000249F0000}"/>
    <cellStyle name="Normal 2 4 3 6" xfId="12847" xr:uid="{00000000-0005-0000-0000-0000259F0000}"/>
    <cellStyle name="Normal 2 4 3 6 2" xfId="35449" xr:uid="{00000000-0005-0000-0000-0000269F0000}"/>
    <cellStyle name="Normal 2 4 3 7" xfId="24148" xr:uid="{00000000-0005-0000-0000-0000279F0000}"/>
    <cellStyle name="Normal 2 4 4" xfId="908" xr:uid="{00000000-0005-0000-0000-0000289F0000}"/>
    <cellStyle name="Normal 2 4 4 2" xfId="2978" xr:uid="{00000000-0005-0000-0000-0000299F0000}"/>
    <cellStyle name="Normal 2 4 4 2 2" xfId="5950" xr:uid="{00000000-0005-0000-0000-00002A9F0000}"/>
    <cellStyle name="Normal 2 4 4 2 2 2" xfId="11600" xr:uid="{00000000-0005-0000-0000-00002B9F0000}"/>
    <cellStyle name="Normal 2 4 4 2 2 2 2" xfId="22901" xr:uid="{00000000-0005-0000-0000-00002C9F0000}"/>
    <cellStyle name="Normal 2 4 4 2 2 2 2 2" xfId="45503" xr:uid="{00000000-0005-0000-0000-00002D9F0000}"/>
    <cellStyle name="Normal 2 4 4 2 2 2 3" xfId="34202" xr:uid="{00000000-0005-0000-0000-00002E9F0000}"/>
    <cellStyle name="Normal 2 4 4 2 2 3" xfId="17251" xr:uid="{00000000-0005-0000-0000-00002F9F0000}"/>
    <cellStyle name="Normal 2 4 4 2 2 3 2" xfId="39853" xr:uid="{00000000-0005-0000-0000-0000309F0000}"/>
    <cellStyle name="Normal 2 4 4 2 2 4" xfId="28552" xr:uid="{00000000-0005-0000-0000-0000319F0000}"/>
    <cellStyle name="Normal 2 4 4 2 3" xfId="8768" xr:uid="{00000000-0005-0000-0000-0000329F0000}"/>
    <cellStyle name="Normal 2 4 4 2 3 2" xfId="20069" xr:uid="{00000000-0005-0000-0000-0000339F0000}"/>
    <cellStyle name="Normal 2 4 4 2 3 2 2" xfId="42671" xr:uid="{00000000-0005-0000-0000-0000349F0000}"/>
    <cellStyle name="Normal 2 4 4 2 3 3" xfId="31370" xr:uid="{00000000-0005-0000-0000-0000359F0000}"/>
    <cellStyle name="Normal 2 4 4 2 4" xfId="14419" xr:uid="{00000000-0005-0000-0000-0000369F0000}"/>
    <cellStyle name="Normal 2 4 4 2 4 2" xfId="37021" xr:uid="{00000000-0005-0000-0000-0000379F0000}"/>
    <cellStyle name="Normal 2 4 4 2 5" xfId="25720" xr:uid="{00000000-0005-0000-0000-0000389F0000}"/>
    <cellStyle name="Normal 2 4 4 3" xfId="4716" xr:uid="{00000000-0005-0000-0000-0000399F0000}"/>
    <cellStyle name="Normal 2 4 4 3 2" xfId="10366" xr:uid="{00000000-0005-0000-0000-00003A9F0000}"/>
    <cellStyle name="Normal 2 4 4 3 2 2" xfId="21667" xr:uid="{00000000-0005-0000-0000-00003B9F0000}"/>
    <cellStyle name="Normal 2 4 4 3 2 2 2" xfId="44269" xr:uid="{00000000-0005-0000-0000-00003C9F0000}"/>
    <cellStyle name="Normal 2 4 4 3 2 3" xfId="32968" xr:uid="{00000000-0005-0000-0000-00003D9F0000}"/>
    <cellStyle name="Normal 2 4 4 3 3" xfId="16017" xr:uid="{00000000-0005-0000-0000-00003E9F0000}"/>
    <cellStyle name="Normal 2 4 4 3 3 2" xfId="38619" xr:uid="{00000000-0005-0000-0000-00003F9F0000}"/>
    <cellStyle name="Normal 2 4 4 3 4" xfId="27318" xr:uid="{00000000-0005-0000-0000-0000409F0000}"/>
    <cellStyle name="Normal 2 4 4 4" xfId="6903" xr:uid="{00000000-0005-0000-0000-0000419F0000}"/>
    <cellStyle name="Normal 2 4 4 4 2" xfId="18204" xr:uid="{00000000-0005-0000-0000-0000429F0000}"/>
    <cellStyle name="Normal 2 4 4 4 2 2" xfId="40806" xr:uid="{00000000-0005-0000-0000-0000439F0000}"/>
    <cellStyle name="Normal 2 4 4 4 3" xfId="29505" xr:uid="{00000000-0005-0000-0000-0000449F0000}"/>
    <cellStyle name="Normal 2 4 4 5" xfId="12554" xr:uid="{00000000-0005-0000-0000-0000459F0000}"/>
    <cellStyle name="Normal 2 4 4 5 2" xfId="35156" xr:uid="{00000000-0005-0000-0000-0000469F0000}"/>
    <cellStyle name="Normal 2 4 4 6" xfId="23855" xr:uid="{00000000-0005-0000-0000-0000479F0000}"/>
    <cellStyle name="Normal 2 4 5" xfId="2087" xr:uid="{00000000-0005-0000-0000-0000489F0000}"/>
    <cellStyle name="Normal 2 4 5 2" xfId="3849" xr:uid="{00000000-0005-0000-0000-0000499F0000}"/>
    <cellStyle name="Normal 2 4 5 2 2" xfId="9557" xr:uid="{00000000-0005-0000-0000-00004A9F0000}"/>
    <cellStyle name="Normal 2 4 5 2 2 2" xfId="20858" xr:uid="{00000000-0005-0000-0000-00004B9F0000}"/>
    <cellStyle name="Normal 2 4 5 2 2 2 2" xfId="43460" xr:uid="{00000000-0005-0000-0000-00004C9F0000}"/>
    <cellStyle name="Normal 2 4 5 2 2 3" xfId="32159" xr:uid="{00000000-0005-0000-0000-00004D9F0000}"/>
    <cellStyle name="Normal 2 4 5 2 3" xfId="15208" xr:uid="{00000000-0005-0000-0000-00004E9F0000}"/>
    <cellStyle name="Normal 2 4 5 2 3 2" xfId="37810" xr:uid="{00000000-0005-0000-0000-00004F9F0000}"/>
    <cellStyle name="Normal 2 4 5 2 4" xfId="26509" xr:uid="{00000000-0005-0000-0000-0000509F0000}"/>
    <cellStyle name="Normal 2 4 5 3" xfId="5326" xr:uid="{00000000-0005-0000-0000-0000519F0000}"/>
    <cellStyle name="Normal 2 4 5 3 2" xfId="10976" xr:uid="{00000000-0005-0000-0000-0000529F0000}"/>
    <cellStyle name="Normal 2 4 5 3 2 2" xfId="22277" xr:uid="{00000000-0005-0000-0000-0000539F0000}"/>
    <cellStyle name="Normal 2 4 5 3 2 2 2" xfId="44879" xr:uid="{00000000-0005-0000-0000-0000549F0000}"/>
    <cellStyle name="Normal 2 4 5 3 2 3" xfId="33578" xr:uid="{00000000-0005-0000-0000-0000559F0000}"/>
    <cellStyle name="Normal 2 4 5 3 3" xfId="16627" xr:uid="{00000000-0005-0000-0000-0000569F0000}"/>
    <cellStyle name="Normal 2 4 5 3 3 2" xfId="39229" xr:uid="{00000000-0005-0000-0000-0000579F0000}"/>
    <cellStyle name="Normal 2 4 5 3 4" xfId="27928" xr:uid="{00000000-0005-0000-0000-0000589F0000}"/>
    <cellStyle name="Normal 2 4 5 4" xfId="7943" xr:uid="{00000000-0005-0000-0000-0000599F0000}"/>
    <cellStyle name="Normal 2 4 5 4 2" xfId="19244" xr:uid="{00000000-0005-0000-0000-00005A9F0000}"/>
    <cellStyle name="Normal 2 4 5 4 2 2" xfId="41846" xr:uid="{00000000-0005-0000-0000-00005B9F0000}"/>
    <cellStyle name="Normal 2 4 5 4 3" xfId="30545" xr:uid="{00000000-0005-0000-0000-00005C9F0000}"/>
    <cellStyle name="Normal 2 4 5 5" xfId="13594" xr:uid="{00000000-0005-0000-0000-00005D9F0000}"/>
    <cellStyle name="Normal 2 4 5 5 2" xfId="36196" xr:uid="{00000000-0005-0000-0000-00005E9F0000}"/>
    <cellStyle name="Normal 2 4 5 6" xfId="24895" xr:uid="{00000000-0005-0000-0000-00005F9F0000}"/>
    <cellStyle name="Normal 2 4 6" xfId="2305" xr:uid="{00000000-0005-0000-0000-0000609F0000}"/>
    <cellStyle name="Normal 2 4 6 2" xfId="8141" xr:uid="{00000000-0005-0000-0000-0000619F0000}"/>
    <cellStyle name="Normal 2 4 6 2 2" xfId="19442" xr:uid="{00000000-0005-0000-0000-0000629F0000}"/>
    <cellStyle name="Normal 2 4 6 2 2 2" xfId="42044" xr:uid="{00000000-0005-0000-0000-0000639F0000}"/>
    <cellStyle name="Normal 2 4 6 2 3" xfId="30743" xr:uid="{00000000-0005-0000-0000-0000649F0000}"/>
    <cellStyle name="Normal 2 4 6 3" xfId="13792" xr:uid="{00000000-0005-0000-0000-0000659F0000}"/>
    <cellStyle name="Normal 2 4 6 3 2" xfId="36394" xr:uid="{00000000-0005-0000-0000-0000669F0000}"/>
    <cellStyle name="Normal 2 4 6 4" xfId="25093" xr:uid="{00000000-0005-0000-0000-0000679F0000}"/>
    <cellStyle name="Normal 2 4 7" xfId="4092" xr:uid="{00000000-0005-0000-0000-0000689F0000}"/>
    <cellStyle name="Normal 2 4 7 2" xfId="9742" xr:uid="{00000000-0005-0000-0000-0000699F0000}"/>
    <cellStyle name="Normal 2 4 7 2 2" xfId="21043" xr:uid="{00000000-0005-0000-0000-00006A9F0000}"/>
    <cellStyle name="Normal 2 4 7 2 2 2" xfId="43645" xr:uid="{00000000-0005-0000-0000-00006B9F0000}"/>
    <cellStyle name="Normal 2 4 7 2 3" xfId="32344" xr:uid="{00000000-0005-0000-0000-00006C9F0000}"/>
    <cellStyle name="Normal 2 4 7 3" xfId="15393" xr:uid="{00000000-0005-0000-0000-00006D9F0000}"/>
    <cellStyle name="Normal 2 4 7 3 2" xfId="37995" xr:uid="{00000000-0005-0000-0000-00006E9F0000}"/>
    <cellStyle name="Normal 2 4 7 4" xfId="26694" xr:uid="{00000000-0005-0000-0000-00006F9F0000}"/>
    <cellStyle name="Normal 2 4 8" xfId="6543" xr:uid="{00000000-0005-0000-0000-0000709F0000}"/>
    <cellStyle name="Normal 2 4 8 2" xfId="17844" xr:uid="{00000000-0005-0000-0000-0000719F0000}"/>
    <cellStyle name="Normal 2 4 8 2 2" xfId="40446" xr:uid="{00000000-0005-0000-0000-0000729F0000}"/>
    <cellStyle name="Normal 2 4 8 3" xfId="29145" xr:uid="{00000000-0005-0000-0000-0000739F0000}"/>
    <cellStyle name="Normal 2 4 9" xfId="12194" xr:uid="{00000000-0005-0000-0000-0000749F0000}"/>
    <cellStyle name="Normal 2 4 9 2" xfId="34796" xr:uid="{00000000-0005-0000-0000-0000759F0000}"/>
    <cellStyle name="Normal 2 5" xfId="2822" xr:uid="{00000000-0005-0000-0000-0000769F0000}"/>
    <cellStyle name="Normal 2 5 2" xfId="3923" xr:uid="{00000000-0005-0000-0000-0000779F0000}"/>
    <cellStyle name="Normal 2 5 2 2" xfId="5837" xr:uid="{00000000-0005-0000-0000-0000789F0000}"/>
    <cellStyle name="Normal 2 5 2 2 2" xfId="11487" xr:uid="{00000000-0005-0000-0000-0000799F0000}"/>
    <cellStyle name="Normal 2 5 2 2 2 2" xfId="22788" xr:uid="{00000000-0005-0000-0000-00007A9F0000}"/>
    <cellStyle name="Normal 2 5 2 2 2 2 2" xfId="45390" xr:uid="{00000000-0005-0000-0000-00007B9F0000}"/>
    <cellStyle name="Normal 2 5 2 2 2 3" xfId="34089" xr:uid="{00000000-0005-0000-0000-00007C9F0000}"/>
    <cellStyle name="Normal 2 5 2 2 3" xfId="17138" xr:uid="{00000000-0005-0000-0000-00007D9F0000}"/>
    <cellStyle name="Normal 2 5 2 2 3 2" xfId="39740" xr:uid="{00000000-0005-0000-0000-00007E9F0000}"/>
    <cellStyle name="Normal 2 5 2 2 4" xfId="28439" xr:uid="{00000000-0005-0000-0000-00007F9F0000}"/>
    <cellStyle name="Normal 2 5 2 3" xfId="9608" xr:uid="{00000000-0005-0000-0000-0000809F0000}"/>
    <cellStyle name="Normal 2 5 2 3 2" xfId="20909" xr:uid="{00000000-0005-0000-0000-0000819F0000}"/>
    <cellStyle name="Normal 2 5 2 3 2 2" xfId="43511" xr:uid="{00000000-0005-0000-0000-0000829F0000}"/>
    <cellStyle name="Normal 2 5 2 3 3" xfId="32210" xr:uid="{00000000-0005-0000-0000-0000839F0000}"/>
    <cellStyle name="Normal 2 5 2 4" xfId="15259" xr:uid="{00000000-0005-0000-0000-0000849F0000}"/>
    <cellStyle name="Normal 2 5 2 4 2" xfId="37861" xr:uid="{00000000-0005-0000-0000-0000859F0000}"/>
    <cellStyle name="Normal 2 5 2 5" xfId="26560" xr:uid="{00000000-0005-0000-0000-0000869F0000}"/>
    <cellStyle name="Normal 2 5 3" xfId="4603" xr:uid="{00000000-0005-0000-0000-0000879F0000}"/>
    <cellStyle name="Normal 2 5 3 2" xfId="10253" xr:uid="{00000000-0005-0000-0000-0000889F0000}"/>
    <cellStyle name="Normal 2 5 3 2 2" xfId="21554" xr:uid="{00000000-0005-0000-0000-0000899F0000}"/>
    <cellStyle name="Normal 2 5 3 2 2 2" xfId="44156" xr:uid="{00000000-0005-0000-0000-00008A9F0000}"/>
    <cellStyle name="Normal 2 5 3 2 3" xfId="32855" xr:uid="{00000000-0005-0000-0000-00008B9F0000}"/>
    <cellStyle name="Normal 2 5 3 3" xfId="15904" xr:uid="{00000000-0005-0000-0000-00008C9F0000}"/>
    <cellStyle name="Normal 2 5 3 3 2" xfId="38506" xr:uid="{00000000-0005-0000-0000-00008D9F0000}"/>
    <cellStyle name="Normal 2 5 3 4" xfId="27205" xr:uid="{00000000-0005-0000-0000-00008E9F0000}"/>
    <cellStyle name="Normal 2 5 4" xfId="8655" xr:uid="{00000000-0005-0000-0000-00008F9F0000}"/>
    <cellStyle name="Normal 2 5 4 2" xfId="19956" xr:uid="{00000000-0005-0000-0000-0000909F0000}"/>
    <cellStyle name="Normal 2 5 4 2 2" xfId="42558" xr:uid="{00000000-0005-0000-0000-0000919F0000}"/>
    <cellStyle name="Normal 2 5 4 3" xfId="31257" xr:uid="{00000000-0005-0000-0000-0000929F0000}"/>
    <cellStyle name="Normal 2 5 5" xfId="14306" xr:uid="{00000000-0005-0000-0000-0000939F0000}"/>
    <cellStyle name="Normal 2 5 5 2" xfId="36908" xr:uid="{00000000-0005-0000-0000-0000949F0000}"/>
    <cellStyle name="Normal 2 5 6" xfId="25607" xr:uid="{00000000-0005-0000-0000-0000959F0000}"/>
    <cellStyle name="Normal 2 6" xfId="2825" xr:uid="{00000000-0005-0000-0000-0000969F0000}"/>
    <cellStyle name="Normal 2 7" xfId="3930" xr:uid="{00000000-0005-0000-0000-0000979F0000}"/>
    <cellStyle name="Normal 2 8" xfId="3579" xr:uid="{00000000-0005-0000-0000-0000989F0000}"/>
    <cellStyle name="Normal 2 9" xfId="3959" xr:uid="{00000000-0005-0000-0000-0000999F0000}"/>
    <cellStyle name="Normal 2 9 2" xfId="2189" xr:uid="{00000000-0005-0000-0000-00009A9F0000}"/>
    <cellStyle name="Normal 3" xfId="94" xr:uid="{00000000-0005-0000-0000-00009B9F0000}"/>
    <cellStyle name="Normal 3 10" xfId="2163" xr:uid="{00000000-0005-0000-0000-00009C9F0000}"/>
    <cellStyle name="Normal 3 11" xfId="3953" xr:uid="{00000000-0005-0000-0000-00009D9F0000}"/>
    <cellStyle name="Normal 3 12" xfId="188" xr:uid="{00000000-0005-0000-0000-00009E9F0000}"/>
    <cellStyle name="Normal 3 12 2" xfId="12100" xr:uid="{00000000-0005-0000-0000-00009F9F0000}"/>
    <cellStyle name="Normal 3 12 2 2" xfId="34702" xr:uid="{00000000-0005-0000-0000-0000A09F0000}"/>
    <cellStyle name="Normal 3 12 3" xfId="23401" xr:uid="{00000000-0005-0000-0000-0000A19F0000}"/>
    <cellStyle name="Normal 3 13" xfId="6449" xr:uid="{00000000-0005-0000-0000-0000A29F0000}"/>
    <cellStyle name="Normal 3 13 2" xfId="17750" xr:uid="{00000000-0005-0000-0000-0000A39F0000}"/>
    <cellStyle name="Normal 3 13 2 2" xfId="40352" xr:uid="{00000000-0005-0000-0000-0000A49F0000}"/>
    <cellStyle name="Normal 3 13 3" xfId="29051" xr:uid="{00000000-0005-0000-0000-0000A59F0000}"/>
    <cellStyle name="Normal 3 2" xfId="258" xr:uid="{00000000-0005-0000-0000-0000A69F0000}"/>
    <cellStyle name="Normal 3 3" xfId="335" xr:uid="{00000000-0005-0000-0000-0000A79F0000}"/>
    <cellStyle name="Normal 3 3 10" xfId="23448" xr:uid="{00000000-0005-0000-0000-0000A89F0000}"/>
    <cellStyle name="Normal 3 3 2" xfId="598" xr:uid="{00000000-0005-0000-0000-0000A99F0000}"/>
    <cellStyle name="Normal 3 3 2 2" xfId="1308" xr:uid="{00000000-0005-0000-0000-0000AA9F0000}"/>
    <cellStyle name="Normal 3 3 2 2 2" xfId="2093" xr:uid="{00000000-0005-0000-0000-0000AB9F0000}"/>
    <cellStyle name="Normal 3 3 2 2 2 2" xfId="3377" xr:uid="{00000000-0005-0000-0000-0000AC9F0000}"/>
    <cellStyle name="Normal 3 3 2 2 2 2 2" xfId="6349" xr:uid="{00000000-0005-0000-0000-0000AD9F0000}"/>
    <cellStyle name="Normal 3 3 2 2 2 2 2 2" xfId="11999" xr:uid="{00000000-0005-0000-0000-0000AE9F0000}"/>
    <cellStyle name="Normal 3 3 2 2 2 2 2 2 2" xfId="23300" xr:uid="{00000000-0005-0000-0000-0000AF9F0000}"/>
    <cellStyle name="Normal 3 3 2 2 2 2 2 2 2 2" xfId="45902" xr:uid="{00000000-0005-0000-0000-0000B09F0000}"/>
    <cellStyle name="Normal 3 3 2 2 2 2 2 2 3" xfId="34601" xr:uid="{00000000-0005-0000-0000-0000B19F0000}"/>
    <cellStyle name="Normal 3 3 2 2 2 2 2 3" xfId="17650" xr:uid="{00000000-0005-0000-0000-0000B29F0000}"/>
    <cellStyle name="Normal 3 3 2 2 2 2 2 3 2" xfId="40252" xr:uid="{00000000-0005-0000-0000-0000B39F0000}"/>
    <cellStyle name="Normal 3 3 2 2 2 2 2 4" xfId="28951" xr:uid="{00000000-0005-0000-0000-0000B49F0000}"/>
    <cellStyle name="Normal 3 3 2 2 2 2 3" xfId="9167" xr:uid="{00000000-0005-0000-0000-0000B59F0000}"/>
    <cellStyle name="Normal 3 3 2 2 2 2 3 2" xfId="20468" xr:uid="{00000000-0005-0000-0000-0000B69F0000}"/>
    <cellStyle name="Normal 3 3 2 2 2 2 3 2 2" xfId="43070" xr:uid="{00000000-0005-0000-0000-0000B79F0000}"/>
    <cellStyle name="Normal 3 3 2 2 2 2 3 3" xfId="31769" xr:uid="{00000000-0005-0000-0000-0000B89F0000}"/>
    <cellStyle name="Normal 3 3 2 2 2 2 4" xfId="14818" xr:uid="{00000000-0005-0000-0000-0000B99F0000}"/>
    <cellStyle name="Normal 3 3 2 2 2 2 4 2" xfId="37420" xr:uid="{00000000-0005-0000-0000-0000BA9F0000}"/>
    <cellStyle name="Normal 3 3 2 2 2 2 5" xfId="26119" xr:uid="{00000000-0005-0000-0000-0000BB9F0000}"/>
    <cellStyle name="Normal 3 3 2 2 2 3" xfId="5115" xr:uid="{00000000-0005-0000-0000-0000BC9F0000}"/>
    <cellStyle name="Normal 3 3 2 2 2 3 2" xfId="10765" xr:uid="{00000000-0005-0000-0000-0000BD9F0000}"/>
    <cellStyle name="Normal 3 3 2 2 2 3 2 2" xfId="22066" xr:uid="{00000000-0005-0000-0000-0000BE9F0000}"/>
    <cellStyle name="Normal 3 3 2 2 2 3 2 2 2" xfId="44668" xr:uid="{00000000-0005-0000-0000-0000BF9F0000}"/>
    <cellStyle name="Normal 3 3 2 2 2 3 2 3" xfId="33367" xr:uid="{00000000-0005-0000-0000-0000C09F0000}"/>
    <cellStyle name="Normal 3 3 2 2 2 3 3" xfId="16416" xr:uid="{00000000-0005-0000-0000-0000C19F0000}"/>
    <cellStyle name="Normal 3 3 2 2 2 3 3 2" xfId="39018" xr:uid="{00000000-0005-0000-0000-0000C29F0000}"/>
    <cellStyle name="Normal 3 3 2 2 2 3 4" xfId="27717" xr:uid="{00000000-0005-0000-0000-0000C39F0000}"/>
    <cellStyle name="Normal 3 3 2 2 2 4" xfId="7949" xr:uid="{00000000-0005-0000-0000-0000C49F0000}"/>
    <cellStyle name="Normal 3 3 2 2 2 4 2" xfId="19250" xr:uid="{00000000-0005-0000-0000-0000C59F0000}"/>
    <cellStyle name="Normal 3 3 2 2 2 4 2 2" xfId="41852" xr:uid="{00000000-0005-0000-0000-0000C69F0000}"/>
    <cellStyle name="Normal 3 3 2 2 2 4 3" xfId="30551" xr:uid="{00000000-0005-0000-0000-0000C79F0000}"/>
    <cellStyle name="Normal 3 3 2 2 2 5" xfId="13600" xr:uid="{00000000-0005-0000-0000-0000C89F0000}"/>
    <cellStyle name="Normal 3 3 2 2 2 5 2" xfId="36202" xr:uid="{00000000-0005-0000-0000-0000C99F0000}"/>
    <cellStyle name="Normal 3 3 2 2 2 6" xfId="24901" xr:uid="{00000000-0005-0000-0000-0000CA9F0000}"/>
    <cellStyle name="Normal 3 3 2 2 3" xfId="2706" xr:uid="{00000000-0005-0000-0000-0000CB9F0000}"/>
    <cellStyle name="Normal 3 3 2 2 3 2" xfId="5725" xr:uid="{00000000-0005-0000-0000-0000CC9F0000}"/>
    <cellStyle name="Normal 3 3 2 2 3 2 2" xfId="11375" xr:uid="{00000000-0005-0000-0000-0000CD9F0000}"/>
    <cellStyle name="Normal 3 3 2 2 3 2 2 2" xfId="22676" xr:uid="{00000000-0005-0000-0000-0000CE9F0000}"/>
    <cellStyle name="Normal 3 3 2 2 3 2 2 2 2" xfId="45278" xr:uid="{00000000-0005-0000-0000-0000CF9F0000}"/>
    <cellStyle name="Normal 3 3 2 2 3 2 2 3" xfId="33977" xr:uid="{00000000-0005-0000-0000-0000D09F0000}"/>
    <cellStyle name="Normal 3 3 2 2 3 2 3" xfId="17026" xr:uid="{00000000-0005-0000-0000-0000D19F0000}"/>
    <cellStyle name="Normal 3 3 2 2 3 2 3 2" xfId="39628" xr:uid="{00000000-0005-0000-0000-0000D29F0000}"/>
    <cellStyle name="Normal 3 3 2 2 3 2 4" xfId="28327" xr:uid="{00000000-0005-0000-0000-0000D39F0000}"/>
    <cellStyle name="Normal 3 3 2 2 3 3" xfId="8542" xr:uid="{00000000-0005-0000-0000-0000D49F0000}"/>
    <cellStyle name="Normal 3 3 2 2 3 3 2" xfId="19843" xr:uid="{00000000-0005-0000-0000-0000D59F0000}"/>
    <cellStyle name="Normal 3 3 2 2 3 3 2 2" xfId="42445" xr:uid="{00000000-0005-0000-0000-0000D69F0000}"/>
    <cellStyle name="Normal 3 3 2 2 3 3 3" xfId="31144" xr:uid="{00000000-0005-0000-0000-0000D79F0000}"/>
    <cellStyle name="Normal 3 3 2 2 3 4" xfId="14193" xr:uid="{00000000-0005-0000-0000-0000D89F0000}"/>
    <cellStyle name="Normal 3 3 2 2 3 4 2" xfId="36795" xr:uid="{00000000-0005-0000-0000-0000D99F0000}"/>
    <cellStyle name="Normal 3 3 2 2 3 5" xfId="25494" xr:uid="{00000000-0005-0000-0000-0000DA9F0000}"/>
    <cellStyle name="Normal 3 3 2 2 4" xfId="4491" xr:uid="{00000000-0005-0000-0000-0000DB9F0000}"/>
    <cellStyle name="Normal 3 3 2 2 4 2" xfId="10141" xr:uid="{00000000-0005-0000-0000-0000DC9F0000}"/>
    <cellStyle name="Normal 3 3 2 2 4 2 2" xfId="21442" xr:uid="{00000000-0005-0000-0000-0000DD9F0000}"/>
    <cellStyle name="Normal 3 3 2 2 4 2 2 2" xfId="44044" xr:uid="{00000000-0005-0000-0000-0000DE9F0000}"/>
    <cellStyle name="Normal 3 3 2 2 4 2 3" xfId="32743" xr:uid="{00000000-0005-0000-0000-0000DF9F0000}"/>
    <cellStyle name="Normal 3 3 2 2 4 3" xfId="15792" xr:uid="{00000000-0005-0000-0000-0000E09F0000}"/>
    <cellStyle name="Normal 3 3 2 2 4 3 2" xfId="38394" xr:uid="{00000000-0005-0000-0000-0000E19F0000}"/>
    <cellStyle name="Normal 3 3 2 2 4 4" xfId="27093" xr:uid="{00000000-0005-0000-0000-0000E29F0000}"/>
    <cellStyle name="Normal 3 3 2 2 5" xfId="7287" xr:uid="{00000000-0005-0000-0000-0000E39F0000}"/>
    <cellStyle name="Normal 3 3 2 2 5 2" xfId="18588" xr:uid="{00000000-0005-0000-0000-0000E49F0000}"/>
    <cellStyle name="Normal 3 3 2 2 5 2 2" xfId="41190" xr:uid="{00000000-0005-0000-0000-0000E59F0000}"/>
    <cellStyle name="Normal 3 3 2 2 5 3" xfId="29889" xr:uid="{00000000-0005-0000-0000-0000E69F0000}"/>
    <cellStyle name="Normal 3 3 2 2 6" xfId="12938" xr:uid="{00000000-0005-0000-0000-0000E79F0000}"/>
    <cellStyle name="Normal 3 3 2 2 6 2" xfId="35540" xr:uid="{00000000-0005-0000-0000-0000E89F0000}"/>
    <cellStyle name="Normal 3 3 2 2 7" xfId="24239" xr:uid="{00000000-0005-0000-0000-0000E99F0000}"/>
    <cellStyle name="Normal 3 3 2 3" xfId="1006" xr:uid="{00000000-0005-0000-0000-0000EA9F0000}"/>
    <cellStyle name="Normal 3 3 2 3 2" xfId="3069" xr:uid="{00000000-0005-0000-0000-0000EB9F0000}"/>
    <cellStyle name="Normal 3 3 2 3 2 2" xfId="6041" xr:uid="{00000000-0005-0000-0000-0000EC9F0000}"/>
    <cellStyle name="Normal 3 3 2 3 2 2 2" xfId="11691" xr:uid="{00000000-0005-0000-0000-0000ED9F0000}"/>
    <cellStyle name="Normal 3 3 2 3 2 2 2 2" xfId="22992" xr:uid="{00000000-0005-0000-0000-0000EE9F0000}"/>
    <cellStyle name="Normal 3 3 2 3 2 2 2 2 2" xfId="45594" xr:uid="{00000000-0005-0000-0000-0000EF9F0000}"/>
    <cellStyle name="Normal 3 3 2 3 2 2 2 3" xfId="34293" xr:uid="{00000000-0005-0000-0000-0000F09F0000}"/>
    <cellStyle name="Normal 3 3 2 3 2 2 3" xfId="17342" xr:uid="{00000000-0005-0000-0000-0000F19F0000}"/>
    <cellStyle name="Normal 3 3 2 3 2 2 3 2" xfId="39944" xr:uid="{00000000-0005-0000-0000-0000F29F0000}"/>
    <cellStyle name="Normal 3 3 2 3 2 2 4" xfId="28643" xr:uid="{00000000-0005-0000-0000-0000F39F0000}"/>
    <cellStyle name="Normal 3 3 2 3 2 3" xfId="8859" xr:uid="{00000000-0005-0000-0000-0000F49F0000}"/>
    <cellStyle name="Normal 3 3 2 3 2 3 2" xfId="20160" xr:uid="{00000000-0005-0000-0000-0000F59F0000}"/>
    <cellStyle name="Normal 3 3 2 3 2 3 2 2" xfId="42762" xr:uid="{00000000-0005-0000-0000-0000F69F0000}"/>
    <cellStyle name="Normal 3 3 2 3 2 3 3" xfId="31461" xr:uid="{00000000-0005-0000-0000-0000F79F0000}"/>
    <cellStyle name="Normal 3 3 2 3 2 4" xfId="14510" xr:uid="{00000000-0005-0000-0000-0000F89F0000}"/>
    <cellStyle name="Normal 3 3 2 3 2 4 2" xfId="37112" xr:uid="{00000000-0005-0000-0000-0000F99F0000}"/>
    <cellStyle name="Normal 3 3 2 3 2 5" xfId="25811" xr:uid="{00000000-0005-0000-0000-0000FA9F0000}"/>
    <cellStyle name="Normal 3 3 2 3 3" xfId="4807" xr:uid="{00000000-0005-0000-0000-0000FB9F0000}"/>
    <cellStyle name="Normal 3 3 2 3 3 2" xfId="10457" xr:uid="{00000000-0005-0000-0000-0000FC9F0000}"/>
    <cellStyle name="Normal 3 3 2 3 3 2 2" xfId="21758" xr:uid="{00000000-0005-0000-0000-0000FD9F0000}"/>
    <cellStyle name="Normal 3 3 2 3 3 2 2 2" xfId="44360" xr:uid="{00000000-0005-0000-0000-0000FE9F0000}"/>
    <cellStyle name="Normal 3 3 2 3 3 2 3" xfId="33059" xr:uid="{00000000-0005-0000-0000-0000FF9F0000}"/>
    <cellStyle name="Normal 3 3 2 3 3 3" xfId="16108" xr:uid="{00000000-0005-0000-0000-000000A00000}"/>
    <cellStyle name="Normal 3 3 2 3 3 3 2" xfId="38710" xr:uid="{00000000-0005-0000-0000-000001A00000}"/>
    <cellStyle name="Normal 3 3 2 3 3 4" xfId="27409" xr:uid="{00000000-0005-0000-0000-000002A00000}"/>
    <cellStyle name="Normal 3 3 2 3 4" xfId="6994" xr:uid="{00000000-0005-0000-0000-000003A00000}"/>
    <cellStyle name="Normal 3 3 2 3 4 2" xfId="18295" xr:uid="{00000000-0005-0000-0000-000004A00000}"/>
    <cellStyle name="Normal 3 3 2 3 4 2 2" xfId="40897" xr:uid="{00000000-0005-0000-0000-000005A00000}"/>
    <cellStyle name="Normal 3 3 2 3 4 3" xfId="29596" xr:uid="{00000000-0005-0000-0000-000006A00000}"/>
    <cellStyle name="Normal 3 3 2 3 5" xfId="12645" xr:uid="{00000000-0005-0000-0000-000007A00000}"/>
    <cellStyle name="Normal 3 3 2 3 5 2" xfId="35247" xr:uid="{00000000-0005-0000-0000-000008A00000}"/>
    <cellStyle name="Normal 3 3 2 3 6" xfId="23946" xr:uid="{00000000-0005-0000-0000-000009A00000}"/>
    <cellStyle name="Normal 3 3 2 4" xfId="2092" xr:uid="{00000000-0005-0000-0000-00000AA00000}"/>
    <cellStyle name="Normal 3 3 2 4 2" xfId="3852" xr:uid="{00000000-0005-0000-0000-00000BA00000}"/>
    <cellStyle name="Normal 3 3 2 4 2 2" xfId="9560" xr:uid="{00000000-0005-0000-0000-00000CA00000}"/>
    <cellStyle name="Normal 3 3 2 4 2 2 2" xfId="20861" xr:uid="{00000000-0005-0000-0000-00000DA00000}"/>
    <cellStyle name="Normal 3 3 2 4 2 2 2 2" xfId="43463" xr:uid="{00000000-0005-0000-0000-00000EA00000}"/>
    <cellStyle name="Normal 3 3 2 4 2 2 3" xfId="32162" xr:uid="{00000000-0005-0000-0000-00000FA00000}"/>
    <cellStyle name="Normal 3 3 2 4 2 3" xfId="15211" xr:uid="{00000000-0005-0000-0000-000010A00000}"/>
    <cellStyle name="Normal 3 3 2 4 2 3 2" xfId="37813" xr:uid="{00000000-0005-0000-0000-000011A00000}"/>
    <cellStyle name="Normal 3 3 2 4 2 4" xfId="26512" xr:uid="{00000000-0005-0000-0000-000012A00000}"/>
    <cellStyle name="Normal 3 3 2 4 3" xfId="5417" xr:uid="{00000000-0005-0000-0000-000013A00000}"/>
    <cellStyle name="Normal 3 3 2 4 3 2" xfId="11067" xr:uid="{00000000-0005-0000-0000-000014A00000}"/>
    <cellStyle name="Normal 3 3 2 4 3 2 2" xfId="22368" xr:uid="{00000000-0005-0000-0000-000015A00000}"/>
    <cellStyle name="Normal 3 3 2 4 3 2 2 2" xfId="44970" xr:uid="{00000000-0005-0000-0000-000016A00000}"/>
    <cellStyle name="Normal 3 3 2 4 3 2 3" xfId="33669" xr:uid="{00000000-0005-0000-0000-000017A00000}"/>
    <cellStyle name="Normal 3 3 2 4 3 3" xfId="16718" xr:uid="{00000000-0005-0000-0000-000018A00000}"/>
    <cellStyle name="Normal 3 3 2 4 3 3 2" xfId="39320" xr:uid="{00000000-0005-0000-0000-000019A00000}"/>
    <cellStyle name="Normal 3 3 2 4 3 4" xfId="28019" xr:uid="{00000000-0005-0000-0000-00001AA00000}"/>
    <cellStyle name="Normal 3 3 2 4 4" xfId="7948" xr:uid="{00000000-0005-0000-0000-00001BA00000}"/>
    <cellStyle name="Normal 3 3 2 4 4 2" xfId="19249" xr:uid="{00000000-0005-0000-0000-00001CA00000}"/>
    <cellStyle name="Normal 3 3 2 4 4 2 2" xfId="41851" xr:uid="{00000000-0005-0000-0000-00001DA00000}"/>
    <cellStyle name="Normal 3 3 2 4 4 3" xfId="30550" xr:uid="{00000000-0005-0000-0000-00001EA00000}"/>
    <cellStyle name="Normal 3 3 2 4 5" xfId="13599" xr:uid="{00000000-0005-0000-0000-00001FA00000}"/>
    <cellStyle name="Normal 3 3 2 4 5 2" xfId="36201" xr:uid="{00000000-0005-0000-0000-000020A00000}"/>
    <cellStyle name="Normal 3 3 2 4 6" xfId="24900" xr:uid="{00000000-0005-0000-0000-000021A00000}"/>
    <cellStyle name="Normal 3 3 2 5" xfId="2398" xr:uid="{00000000-0005-0000-0000-000022A00000}"/>
    <cellStyle name="Normal 3 3 2 5 2" xfId="8234" xr:uid="{00000000-0005-0000-0000-000023A00000}"/>
    <cellStyle name="Normal 3 3 2 5 2 2" xfId="19535" xr:uid="{00000000-0005-0000-0000-000024A00000}"/>
    <cellStyle name="Normal 3 3 2 5 2 2 2" xfId="42137" xr:uid="{00000000-0005-0000-0000-000025A00000}"/>
    <cellStyle name="Normal 3 3 2 5 2 3" xfId="30836" xr:uid="{00000000-0005-0000-0000-000026A00000}"/>
    <cellStyle name="Normal 3 3 2 5 3" xfId="13885" xr:uid="{00000000-0005-0000-0000-000027A00000}"/>
    <cellStyle name="Normal 3 3 2 5 3 2" xfId="36487" xr:uid="{00000000-0005-0000-0000-000028A00000}"/>
    <cellStyle name="Normal 3 3 2 5 4" xfId="25186" xr:uid="{00000000-0005-0000-0000-000029A00000}"/>
    <cellStyle name="Normal 3 3 2 6" xfId="4183" xr:uid="{00000000-0005-0000-0000-00002AA00000}"/>
    <cellStyle name="Normal 3 3 2 6 2" xfId="9833" xr:uid="{00000000-0005-0000-0000-00002BA00000}"/>
    <cellStyle name="Normal 3 3 2 6 2 2" xfId="21134" xr:uid="{00000000-0005-0000-0000-00002CA00000}"/>
    <cellStyle name="Normal 3 3 2 6 2 2 2" xfId="43736" xr:uid="{00000000-0005-0000-0000-00002DA00000}"/>
    <cellStyle name="Normal 3 3 2 6 2 3" xfId="32435" xr:uid="{00000000-0005-0000-0000-00002EA00000}"/>
    <cellStyle name="Normal 3 3 2 6 3" xfId="15484" xr:uid="{00000000-0005-0000-0000-00002FA00000}"/>
    <cellStyle name="Normal 3 3 2 6 3 2" xfId="38086" xr:uid="{00000000-0005-0000-0000-000030A00000}"/>
    <cellStyle name="Normal 3 3 2 6 4" xfId="26785" xr:uid="{00000000-0005-0000-0000-000031A00000}"/>
    <cellStyle name="Normal 3 3 2 7" xfId="6663" xr:uid="{00000000-0005-0000-0000-000032A00000}"/>
    <cellStyle name="Normal 3 3 2 7 2" xfId="17964" xr:uid="{00000000-0005-0000-0000-000033A00000}"/>
    <cellStyle name="Normal 3 3 2 7 2 2" xfId="40566" xr:uid="{00000000-0005-0000-0000-000034A00000}"/>
    <cellStyle name="Normal 3 3 2 7 3" xfId="29265" xr:uid="{00000000-0005-0000-0000-000035A00000}"/>
    <cellStyle name="Normal 3 3 2 8" xfId="12314" xr:uid="{00000000-0005-0000-0000-000036A00000}"/>
    <cellStyle name="Normal 3 3 2 8 2" xfId="34916" xr:uid="{00000000-0005-0000-0000-000037A00000}"/>
    <cellStyle name="Normal 3 3 2 9" xfId="23615" xr:uid="{00000000-0005-0000-0000-000038A00000}"/>
    <cellStyle name="Normal 3 3 3" xfId="1170" xr:uid="{00000000-0005-0000-0000-000039A00000}"/>
    <cellStyle name="Normal 3 3 3 2" xfId="2094" xr:uid="{00000000-0005-0000-0000-00003AA00000}"/>
    <cellStyle name="Normal 3 3 3 2 2" xfId="3238" xr:uid="{00000000-0005-0000-0000-00003BA00000}"/>
    <cellStyle name="Normal 3 3 3 2 2 2" xfId="6210" xr:uid="{00000000-0005-0000-0000-00003CA00000}"/>
    <cellStyle name="Normal 3 3 3 2 2 2 2" xfId="11860" xr:uid="{00000000-0005-0000-0000-00003DA00000}"/>
    <cellStyle name="Normal 3 3 3 2 2 2 2 2" xfId="23161" xr:uid="{00000000-0005-0000-0000-00003EA00000}"/>
    <cellStyle name="Normal 3 3 3 2 2 2 2 2 2" xfId="45763" xr:uid="{00000000-0005-0000-0000-00003FA00000}"/>
    <cellStyle name="Normal 3 3 3 2 2 2 2 3" xfId="34462" xr:uid="{00000000-0005-0000-0000-000040A00000}"/>
    <cellStyle name="Normal 3 3 3 2 2 2 3" xfId="17511" xr:uid="{00000000-0005-0000-0000-000041A00000}"/>
    <cellStyle name="Normal 3 3 3 2 2 2 3 2" xfId="40113" xr:uid="{00000000-0005-0000-0000-000042A00000}"/>
    <cellStyle name="Normal 3 3 3 2 2 2 4" xfId="28812" xr:uid="{00000000-0005-0000-0000-000043A00000}"/>
    <cellStyle name="Normal 3 3 3 2 2 3" xfId="9028" xr:uid="{00000000-0005-0000-0000-000044A00000}"/>
    <cellStyle name="Normal 3 3 3 2 2 3 2" xfId="20329" xr:uid="{00000000-0005-0000-0000-000045A00000}"/>
    <cellStyle name="Normal 3 3 3 2 2 3 2 2" xfId="42931" xr:uid="{00000000-0005-0000-0000-000046A00000}"/>
    <cellStyle name="Normal 3 3 3 2 2 3 3" xfId="31630" xr:uid="{00000000-0005-0000-0000-000047A00000}"/>
    <cellStyle name="Normal 3 3 3 2 2 4" xfId="14679" xr:uid="{00000000-0005-0000-0000-000048A00000}"/>
    <cellStyle name="Normal 3 3 3 2 2 4 2" xfId="37281" xr:uid="{00000000-0005-0000-0000-000049A00000}"/>
    <cellStyle name="Normal 3 3 3 2 2 5" xfId="25980" xr:uid="{00000000-0005-0000-0000-00004AA00000}"/>
    <cellStyle name="Normal 3 3 3 2 3" xfId="4976" xr:uid="{00000000-0005-0000-0000-00004BA00000}"/>
    <cellStyle name="Normal 3 3 3 2 3 2" xfId="10626" xr:uid="{00000000-0005-0000-0000-00004CA00000}"/>
    <cellStyle name="Normal 3 3 3 2 3 2 2" xfId="21927" xr:uid="{00000000-0005-0000-0000-00004DA00000}"/>
    <cellStyle name="Normal 3 3 3 2 3 2 2 2" xfId="44529" xr:uid="{00000000-0005-0000-0000-00004EA00000}"/>
    <cellStyle name="Normal 3 3 3 2 3 2 3" xfId="33228" xr:uid="{00000000-0005-0000-0000-00004FA00000}"/>
    <cellStyle name="Normal 3 3 3 2 3 3" xfId="16277" xr:uid="{00000000-0005-0000-0000-000050A00000}"/>
    <cellStyle name="Normal 3 3 3 2 3 3 2" xfId="38879" xr:uid="{00000000-0005-0000-0000-000051A00000}"/>
    <cellStyle name="Normal 3 3 3 2 3 4" xfId="27578" xr:uid="{00000000-0005-0000-0000-000052A00000}"/>
    <cellStyle name="Normal 3 3 3 2 4" xfId="7950" xr:uid="{00000000-0005-0000-0000-000053A00000}"/>
    <cellStyle name="Normal 3 3 3 2 4 2" xfId="19251" xr:uid="{00000000-0005-0000-0000-000054A00000}"/>
    <cellStyle name="Normal 3 3 3 2 4 2 2" xfId="41853" xr:uid="{00000000-0005-0000-0000-000055A00000}"/>
    <cellStyle name="Normal 3 3 3 2 4 3" xfId="30552" xr:uid="{00000000-0005-0000-0000-000056A00000}"/>
    <cellStyle name="Normal 3 3 3 2 5" xfId="13601" xr:uid="{00000000-0005-0000-0000-000057A00000}"/>
    <cellStyle name="Normal 3 3 3 2 5 2" xfId="36203" xr:uid="{00000000-0005-0000-0000-000058A00000}"/>
    <cellStyle name="Normal 3 3 3 2 6" xfId="24902" xr:uid="{00000000-0005-0000-0000-000059A00000}"/>
    <cellStyle name="Normal 3 3 3 3" xfId="2567" xr:uid="{00000000-0005-0000-0000-00005AA00000}"/>
    <cellStyle name="Normal 3 3 3 3 2" xfId="5586" xr:uid="{00000000-0005-0000-0000-00005BA00000}"/>
    <cellStyle name="Normal 3 3 3 3 2 2" xfId="11236" xr:uid="{00000000-0005-0000-0000-00005CA00000}"/>
    <cellStyle name="Normal 3 3 3 3 2 2 2" xfId="22537" xr:uid="{00000000-0005-0000-0000-00005DA00000}"/>
    <cellStyle name="Normal 3 3 3 3 2 2 2 2" xfId="45139" xr:uid="{00000000-0005-0000-0000-00005EA00000}"/>
    <cellStyle name="Normal 3 3 3 3 2 2 3" xfId="33838" xr:uid="{00000000-0005-0000-0000-00005FA00000}"/>
    <cellStyle name="Normal 3 3 3 3 2 3" xfId="16887" xr:uid="{00000000-0005-0000-0000-000060A00000}"/>
    <cellStyle name="Normal 3 3 3 3 2 3 2" xfId="39489" xr:uid="{00000000-0005-0000-0000-000061A00000}"/>
    <cellStyle name="Normal 3 3 3 3 2 4" xfId="28188" xr:uid="{00000000-0005-0000-0000-000062A00000}"/>
    <cellStyle name="Normal 3 3 3 3 3" xfId="8403" xr:uid="{00000000-0005-0000-0000-000063A00000}"/>
    <cellStyle name="Normal 3 3 3 3 3 2" xfId="19704" xr:uid="{00000000-0005-0000-0000-000064A00000}"/>
    <cellStyle name="Normal 3 3 3 3 3 2 2" xfId="42306" xr:uid="{00000000-0005-0000-0000-000065A00000}"/>
    <cellStyle name="Normal 3 3 3 3 3 3" xfId="31005" xr:uid="{00000000-0005-0000-0000-000066A00000}"/>
    <cellStyle name="Normal 3 3 3 3 4" xfId="14054" xr:uid="{00000000-0005-0000-0000-000067A00000}"/>
    <cellStyle name="Normal 3 3 3 3 4 2" xfId="36656" xr:uid="{00000000-0005-0000-0000-000068A00000}"/>
    <cellStyle name="Normal 3 3 3 3 5" xfId="25355" xr:uid="{00000000-0005-0000-0000-000069A00000}"/>
    <cellStyle name="Normal 3 3 3 4" xfId="4352" xr:uid="{00000000-0005-0000-0000-00006AA00000}"/>
    <cellStyle name="Normal 3 3 3 4 2" xfId="10002" xr:uid="{00000000-0005-0000-0000-00006BA00000}"/>
    <cellStyle name="Normal 3 3 3 4 2 2" xfId="21303" xr:uid="{00000000-0005-0000-0000-00006CA00000}"/>
    <cellStyle name="Normal 3 3 3 4 2 2 2" xfId="43905" xr:uid="{00000000-0005-0000-0000-00006DA00000}"/>
    <cellStyle name="Normal 3 3 3 4 2 3" xfId="32604" xr:uid="{00000000-0005-0000-0000-00006EA00000}"/>
    <cellStyle name="Normal 3 3 3 4 3" xfId="15653" xr:uid="{00000000-0005-0000-0000-00006FA00000}"/>
    <cellStyle name="Normal 3 3 3 4 3 2" xfId="38255" xr:uid="{00000000-0005-0000-0000-000070A00000}"/>
    <cellStyle name="Normal 3 3 3 4 4" xfId="26954" xr:uid="{00000000-0005-0000-0000-000071A00000}"/>
    <cellStyle name="Normal 3 3 3 5" xfId="7149" xr:uid="{00000000-0005-0000-0000-000072A00000}"/>
    <cellStyle name="Normal 3 3 3 5 2" xfId="18450" xr:uid="{00000000-0005-0000-0000-000073A00000}"/>
    <cellStyle name="Normal 3 3 3 5 2 2" xfId="41052" xr:uid="{00000000-0005-0000-0000-000074A00000}"/>
    <cellStyle name="Normal 3 3 3 5 3" xfId="29751" xr:uid="{00000000-0005-0000-0000-000075A00000}"/>
    <cellStyle name="Normal 3 3 3 6" xfId="12800" xr:uid="{00000000-0005-0000-0000-000076A00000}"/>
    <cellStyle name="Normal 3 3 3 6 2" xfId="35402" xr:uid="{00000000-0005-0000-0000-000077A00000}"/>
    <cellStyle name="Normal 3 3 3 7" xfId="24101" xr:uid="{00000000-0005-0000-0000-000078A00000}"/>
    <cellStyle name="Normal 3 3 4" xfId="859" xr:uid="{00000000-0005-0000-0000-000079A00000}"/>
    <cellStyle name="Normal 3 3 4 2" xfId="2931" xr:uid="{00000000-0005-0000-0000-00007AA00000}"/>
    <cellStyle name="Normal 3 3 4 2 2" xfId="5903" xr:uid="{00000000-0005-0000-0000-00007BA00000}"/>
    <cellStyle name="Normal 3 3 4 2 2 2" xfId="11553" xr:uid="{00000000-0005-0000-0000-00007CA00000}"/>
    <cellStyle name="Normal 3 3 4 2 2 2 2" xfId="22854" xr:uid="{00000000-0005-0000-0000-00007DA00000}"/>
    <cellStyle name="Normal 3 3 4 2 2 2 2 2" xfId="45456" xr:uid="{00000000-0005-0000-0000-00007EA00000}"/>
    <cellStyle name="Normal 3 3 4 2 2 2 3" xfId="34155" xr:uid="{00000000-0005-0000-0000-00007FA00000}"/>
    <cellStyle name="Normal 3 3 4 2 2 3" xfId="17204" xr:uid="{00000000-0005-0000-0000-000080A00000}"/>
    <cellStyle name="Normal 3 3 4 2 2 3 2" xfId="39806" xr:uid="{00000000-0005-0000-0000-000081A00000}"/>
    <cellStyle name="Normal 3 3 4 2 2 4" xfId="28505" xr:uid="{00000000-0005-0000-0000-000082A00000}"/>
    <cellStyle name="Normal 3 3 4 2 3" xfId="8721" xr:uid="{00000000-0005-0000-0000-000083A00000}"/>
    <cellStyle name="Normal 3 3 4 2 3 2" xfId="20022" xr:uid="{00000000-0005-0000-0000-000084A00000}"/>
    <cellStyle name="Normal 3 3 4 2 3 2 2" xfId="42624" xr:uid="{00000000-0005-0000-0000-000085A00000}"/>
    <cellStyle name="Normal 3 3 4 2 3 3" xfId="31323" xr:uid="{00000000-0005-0000-0000-000086A00000}"/>
    <cellStyle name="Normal 3 3 4 2 4" xfId="14372" xr:uid="{00000000-0005-0000-0000-000087A00000}"/>
    <cellStyle name="Normal 3 3 4 2 4 2" xfId="36974" xr:uid="{00000000-0005-0000-0000-000088A00000}"/>
    <cellStyle name="Normal 3 3 4 2 5" xfId="25673" xr:uid="{00000000-0005-0000-0000-000089A00000}"/>
    <cellStyle name="Normal 3 3 4 3" xfId="4669" xr:uid="{00000000-0005-0000-0000-00008AA00000}"/>
    <cellStyle name="Normal 3 3 4 3 2" xfId="10319" xr:uid="{00000000-0005-0000-0000-00008BA00000}"/>
    <cellStyle name="Normal 3 3 4 3 2 2" xfId="21620" xr:uid="{00000000-0005-0000-0000-00008CA00000}"/>
    <cellStyle name="Normal 3 3 4 3 2 2 2" xfId="44222" xr:uid="{00000000-0005-0000-0000-00008DA00000}"/>
    <cellStyle name="Normal 3 3 4 3 2 3" xfId="32921" xr:uid="{00000000-0005-0000-0000-00008EA00000}"/>
    <cellStyle name="Normal 3 3 4 3 3" xfId="15970" xr:uid="{00000000-0005-0000-0000-00008FA00000}"/>
    <cellStyle name="Normal 3 3 4 3 3 2" xfId="38572" xr:uid="{00000000-0005-0000-0000-000090A00000}"/>
    <cellStyle name="Normal 3 3 4 3 4" xfId="27271" xr:uid="{00000000-0005-0000-0000-000091A00000}"/>
    <cellStyle name="Normal 3 3 4 4" xfId="6856" xr:uid="{00000000-0005-0000-0000-000092A00000}"/>
    <cellStyle name="Normal 3 3 4 4 2" xfId="18157" xr:uid="{00000000-0005-0000-0000-000093A00000}"/>
    <cellStyle name="Normal 3 3 4 4 2 2" xfId="40759" xr:uid="{00000000-0005-0000-0000-000094A00000}"/>
    <cellStyle name="Normal 3 3 4 4 3" xfId="29458" xr:uid="{00000000-0005-0000-0000-000095A00000}"/>
    <cellStyle name="Normal 3 3 4 5" xfId="12507" xr:uid="{00000000-0005-0000-0000-000096A00000}"/>
    <cellStyle name="Normal 3 3 4 5 2" xfId="35109" xr:uid="{00000000-0005-0000-0000-000097A00000}"/>
    <cellStyle name="Normal 3 3 4 6" xfId="23808" xr:uid="{00000000-0005-0000-0000-000098A00000}"/>
    <cellStyle name="Normal 3 3 5" xfId="2091" xr:uid="{00000000-0005-0000-0000-000099A00000}"/>
    <cellStyle name="Normal 3 3 5 2" xfId="3851" xr:uid="{00000000-0005-0000-0000-00009AA00000}"/>
    <cellStyle name="Normal 3 3 5 2 2" xfId="9559" xr:uid="{00000000-0005-0000-0000-00009BA00000}"/>
    <cellStyle name="Normal 3 3 5 2 2 2" xfId="20860" xr:uid="{00000000-0005-0000-0000-00009CA00000}"/>
    <cellStyle name="Normal 3 3 5 2 2 2 2" xfId="43462" xr:uid="{00000000-0005-0000-0000-00009DA00000}"/>
    <cellStyle name="Normal 3 3 5 2 2 3" xfId="32161" xr:uid="{00000000-0005-0000-0000-00009EA00000}"/>
    <cellStyle name="Normal 3 3 5 2 3" xfId="15210" xr:uid="{00000000-0005-0000-0000-00009FA00000}"/>
    <cellStyle name="Normal 3 3 5 2 3 2" xfId="37812" xr:uid="{00000000-0005-0000-0000-0000A0A00000}"/>
    <cellStyle name="Normal 3 3 5 2 4" xfId="26511" xr:uid="{00000000-0005-0000-0000-0000A1A00000}"/>
    <cellStyle name="Normal 3 3 5 3" xfId="5279" xr:uid="{00000000-0005-0000-0000-0000A2A00000}"/>
    <cellStyle name="Normal 3 3 5 3 2" xfId="10929" xr:uid="{00000000-0005-0000-0000-0000A3A00000}"/>
    <cellStyle name="Normal 3 3 5 3 2 2" xfId="22230" xr:uid="{00000000-0005-0000-0000-0000A4A00000}"/>
    <cellStyle name="Normal 3 3 5 3 2 2 2" xfId="44832" xr:uid="{00000000-0005-0000-0000-0000A5A00000}"/>
    <cellStyle name="Normal 3 3 5 3 2 3" xfId="33531" xr:uid="{00000000-0005-0000-0000-0000A6A00000}"/>
    <cellStyle name="Normal 3 3 5 3 3" xfId="16580" xr:uid="{00000000-0005-0000-0000-0000A7A00000}"/>
    <cellStyle name="Normal 3 3 5 3 3 2" xfId="39182" xr:uid="{00000000-0005-0000-0000-0000A8A00000}"/>
    <cellStyle name="Normal 3 3 5 3 4" xfId="27881" xr:uid="{00000000-0005-0000-0000-0000A9A00000}"/>
    <cellStyle name="Normal 3 3 5 4" xfId="7947" xr:uid="{00000000-0005-0000-0000-0000AAA00000}"/>
    <cellStyle name="Normal 3 3 5 4 2" xfId="19248" xr:uid="{00000000-0005-0000-0000-0000ABA00000}"/>
    <cellStyle name="Normal 3 3 5 4 2 2" xfId="41850" xr:uid="{00000000-0005-0000-0000-0000ACA00000}"/>
    <cellStyle name="Normal 3 3 5 4 3" xfId="30549" xr:uid="{00000000-0005-0000-0000-0000ADA00000}"/>
    <cellStyle name="Normal 3 3 5 5" xfId="13598" xr:uid="{00000000-0005-0000-0000-0000AEA00000}"/>
    <cellStyle name="Normal 3 3 5 5 2" xfId="36200" xr:uid="{00000000-0005-0000-0000-0000AFA00000}"/>
    <cellStyle name="Normal 3 3 5 6" xfId="24899" xr:uid="{00000000-0005-0000-0000-0000B0A00000}"/>
    <cellStyle name="Normal 3 3 6" xfId="2256" xr:uid="{00000000-0005-0000-0000-0000B1A00000}"/>
    <cellStyle name="Normal 3 3 6 2" xfId="8093" xr:uid="{00000000-0005-0000-0000-0000B2A00000}"/>
    <cellStyle name="Normal 3 3 6 2 2" xfId="19394" xr:uid="{00000000-0005-0000-0000-0000B3A00000}"/>
    <cellStyle name="Normal 3 3 6 2 2 2" xfId="41996" xr:uid="{00000000-0005-0000-0000-0000B4A00000}"/>
    <cellStyle name="Normal 3 3 6 2 3" xfId="30695" xr:uid="{00000000-0005-0000-0000-0000B5A00000}"/>
    <cellStyle name="Normal 3 3 6 3" xfId="13744" xr:uid="{00000000-0005-0000-0000-0000B6A00000}"/>
    <cellStyle name="Normal 3 3 6 3 2" xfId="36346" xr:uid="{00000000-0005-0000-0000-0000B7A00000}"/>
    <cellStyle name="Normal 3 3 6 4" xfId="25045" xr:uid="{00000000-0005-0000-0000-0000B8A00000}"/>
    <cellStyle name="Normal 3 3 7" xfId="4045" xr:uid="{00000000-0005-0000-0000-0000B9A00000}"/>
    <cellStyle name="Normal 3 3 7 2" xfId="9695" xr:uid="{00000000-0005-0000-0000-0000BAA00000}"/>
    <cellStyle name="Normal 3 3 7 2 2" xfId="20996" xr:uid="{00000000-0005-0000-0000-0000BBA00000}"/>
    <cellStyle name="Normal 3 3 7 2 2 2" xfId="43598" xr:uid="{00000000-0005-0000-0000-0000BCA00000}"/>
    <cellStyle name="Normal 3 3 7 2 3" xfId="32297" xr:uid="{00000000-0005-0000-0000-0000BDA00000}"/>
    <cellStyle name="Normal 3 3 7 3" xfId="15346" xr:uid="{00000000-0005-0000-0000-0000BEA00000}"/>
    <cellStyle name="Normal 3 3 7 3 2" xfId="37948" xr:uid="{00000000-0005-0000-0000-0000BFA00000}"/>
    <cellStyle name="Normal 3 3 7 4" xfId="26647" xr:uid="{00000000-0005-0000-0000-0000C0A00000}"/>
    <cellStyle name="Normal 3 3 8" xfId="6496" xr:uid="{00000000-0005-0000-0000-0000C1A00000}"/>
    <cellStyle name="Normal 3 3 8 2" xfId="17797" xr:uid="{00000000-0005-0000-0000-0000C2A00000}"/>
    <cellStyle name="Normal 3 3 8 2 2" xfId="40399" xr:uid="{00000000-0005-0000-0000-0000C3A00000}"/>
    <cellStyle name="Normal 3 3 8 3" xfId="29098" xr:uid="{00000000-0005-0000-0000-0000C4A00000}"/>
    <cellStyle name="Normal 3 3 9" xfId="12147" xr:uid="{00000000-0005-0000-0000-0000C5A00000}"/>
    <cellStyle name="Normal 3 3 9 2" xfId="34749" xr:uid="{00000000-0005-0000-0000-0000C6A00000}"/>
    <cellStyle name="Normal 3 4" xfId="402" xr:uid="{00000000-0005-0000-0000-0000C7A00000}"/>
    <cellStyle name="Normal 3 4 10" xfId="23497" xr:uid="{00000000-0005-0000-0000-0000C8A00000}"/>
    <cellStyle name="Normal 3 4 2" xfId="647" xr:uid="{00000000-0005-0000-0000-0000C9A00000}"/>
    <cellStyle name="Normal 3 4 2 2" xfId="1357" xr:uid="{00000000-0005-0000-0000-0000CAA00000}"/>
    <cellStyle name="Normal 3 4 2 2 2" xfId="2097" xr:uid="{00000000-0005-0000-0000-0000CBA00000}"/>
    <cellStyle name="Normal 3 4 2 2 2 2" xfId="3426" xr:uid="{00000000-0005-0000-0000-0000CCA00000}"/>
    <cellStyle name="Normal 3 4 2 2 2 2 2" xfId="6398" xr:uid="{00000000-0005-0000-0000-0000CDA00000}"/>
    <cellStyle name="Normal 3 4 2 2 2 2 2 2" xfId="12048" xr:uid="{00000000-0005-0000-0000-0000CEA00000}"/>
    <cellStyle name="Normal 3 4 2 2 2 2 2 2 2" xfId="23349" xr:uid="{00000000-0005-0000-0000-0000CFA00000}"/>
    <cellStyle name="Normal 3 4 2 2 2 2 2 2 2 2" xfId="45951" xr:uid="{00000000-0005-0000-0000-0000D0A00000}"/>
    <cellStyle name="Normal 3 4 2 2 2 2 2 2 3" xfId="34650" xr:uid="{00000000-0005-0000-0000-0000D1A00000}"/>
    <cellStyle name="Normal 3 4 2 2 2 2 2 3" xfId="17699" xr:uid="{00000000-0005-0000-0000-0000D2A00000}"/>
    <cellStyle name="Normal 3 4 2 2 2 2 2 3 2" xfId="40301" xr:uid="{00000000-0005-0000-0000-0000D3A00000}"/>
    <cellStyle name="Normal 3 4 2 2 2 2 2 4" xfId="29000" xr:uid="{00000000-0005-0000-0000-0000D4A00000}"/>
    <cellStyle name="Normal 3 4 2 2 2 2 3" xfId="9216" xr:uid="{00000000-0005-0000-0000-0000D5A00000}"/>
    <cellStyle name="Normal 3 4 2 2 2 2 3 2" xfId="20517" xr:uid="{00000000-0005-0000-0000-0000D6A00000}"/>
    <cellStyle name="Normal 3 4 2 2 2 2 3 2 2" xfId="43119" xr:uid="{00000000-0005-0000-0000-0000D7A00000}"/>
    <cellStyle name="Normal 3 4 2 2 2 2 3 3" xfId="31818" xr:uid="{00000000-0005-0000-0000-0000D8A00000}"/>
    <cellStyle name="Normal 3 4 2 2 2 2 4" xfId="14867" xr:uid="{00000000-0005-0000-0000-0000D9A00000}"/>
    <cellStyle name="Normal 3 4 2 2 2 2 4 2" xfId="37469" xr:uid="{00000000-0005-0000-0000-0000DAA00000}"/>
    <cellStyle name="Normal 3 4 2 2 2 2 5" xfId="26168" xr:uid="{00000000-0005-0000-0000-0000DBA00000}"/>
    <cellStyle name="Normal 3 4 2 2 2 3" xfId="5164" xr:uid="{00000000-0005-0000-0000-0000DCA00000}"/>
    <cellStyle name="Normal 3 4 2 2 2 3 2" xfId="10814" xr:uid="{00000000-0005-0000-0000-0000DDA00000}"/>
    <cellStyle name="Normal 3 4 2 2 2 3 2 2" xfId="22115" xr:uid="{00000000-0005-0000-0000-0000DEA00000}"/>
    <cellStyle name="Normal 3 4 2 2 2 3 2 2 2" xfId="44717" xr:uid="{00000000-0005-0000-0000-0000DFA00000}"/>
    <cellStyle name="Normal 3 4 2 2 2 3 2 3" xfId="33416" xr:uid="{00000000-0005-0000-0000-0000E0A00000}"/>
    <cellStyle name="Normal 3 4 2 2 2 3 3" xfId="16465" xr:uid="{00000000-0005-0000-0000-0000E1A00000}"/>
    <cellStyle name="Normal 3 4 2 2 2 3 3 2" xfId="39067" xr:uid="{00000000-0005-0000-0000-0000E2A00000}"/>
    <cellStyle name="Normal 3 4 2 2 2 3 4" xfId="27766" xr:uid="{00000000-0005-0000-0000-0000E3A00000}"/>
    <cellStyle name="Normal 3 4 2 2 2 4" xfId="7953" xr:uid="{00000000-0005-0000-0000-0000E4A00000}"/>
    <cellStyle name="Normal 3 4 2 2 2 4 2" xfId="19254" xr:uid="{00000000-0005-0000-0000-0000E5A00000}"/>
    <cellStyle name="Normal 3 4 2 2 2 4 2 2" xfId="41856" xr:uid="{00000000-0005-0000-0000-0000E6A00000}"/>
    <cellStyle name="Normal 3 4 2 2 2 4 3" xfId="30555" xr:uid="{00000000-0005-0000-0000-0000E7A00000}"/>
    <cellStyle name="Normal 3 4 2 2 2 5" xfId="13604" xr:uid="{00000000-0005-0000-0000-0000E8A00000}"/>
    <cellStyle name="Normal 3 4 2 2 2 5 2" xfId="36206" xr:uid="{00000000-0005-0000-0000-0000E9A00000}"/>
    <cellStyle name="Normal 3 4 2 2 2 6" xfId="24905" xr:uid="{00000000-0005-0000-0000-0000EAA00000}"/>
    <cellStyle name="Normal 3 4 2 2 3" xfId="2755" xr:uid="{00000000-0005-0000-0000-0000EBA00000}"/>
    <cellStyle name="Normal 3 4 2 2 3 2" xfId="5774" xr:uid="{00000000-0005-0000-0000-0000ECA00000}"/>
    <cellStyle name="Normal 3 4 2 2 3 2 2" xfId="11424" xr:uid="{00000000-0005-0000-0000-0000EDA00000}"/>
    <cellStyle name="Normal 3 4 2 2 3 2 2 2" xfId="22725" xr:uid="{00000000-0005-0000-0000-0000EEA00000}"/>
    <cellStyle name="Normal 3 4 2 2 3 2 2 2 2" xfId="45327" xr:uid="{00000000-0005-0000-0000-0000EFA00000}"/>
    <cellStyle name="Normal 3 4 2 2 3 2 2 3" xfId="34026" xr:uid="{00000000-0005-0000-0000-0000F0A00000}"/>
    <cellStyle name="Normal 3 4 2 2 3 2 3" xfId="17075" xr:uid="{00000000-0005-0000-0000-0000F1A00000}"/>
    <cellStyle name="Normal 3 4 2 2 3 2 3 2" xfId="39677" xr:uid="{00000000-0005-0000-0000-0000F2A00000}"/>
    <cellStyle name="Normal 3 4 2 2 3 2 4" xfId="28376" xr:uid="{00000000-0005-0000-0000-0000F3A00000}"/>
    <cellStyle name="Normal 3 4 2 2 3 3" xfId="8591" xr:uid="{00000000-0005-0000-0000-0000F4A00000}"/>
    <cellStyle name="Normal 3 4 2 2 3 3 2" xfId="19892" xr:uid="{00000000-0005-0000-0000-0000F5A00000}"/>
    <cellStyle name="Normal 3 4 2 2 3 3 2 2" xfId="42494" xr:uid="{00000000-0005-0000-0000-0000F6A00000}"/>
    <cellStyle name="Normal 3 4 2 2 3 3 3" xfId="31193" xr:uid="{00000000-0005-0000-0000-0000F7A00000}"/>
    <cellStyle name="Normal 3 4 2 2 3 4" xfId="14242" xr:uid="{00000000-0005-0000-0000-0000F8A00000}"/>
    <cellStyle name="Normal 3 4 2 2 3 4 2" xfId="36844" xr:uid="{00000000-0005-0000-0000-0000F9A00000}"/>
    <cellStyle name="Normal 3 4 2 2 3 5" xfId="25543" xr:uid="{00000000-0005-0000-0000-0000FAA00000}"/>
    <cellStyle name="Normal 3 4 2 2 4" xfId="4540" xr:uid="{00000000-0005-0000-0000-0000FBA00000}"/>
    <cellStyle name="Normal 3 4 2 2 4 2" xfId="10190" xr:uid="{00000000-0005-0000-0000-0000FCA00000}"/>
    <cellStyle name="Normal 3 4 2 2 4 2 2" xfId="21491" xr:uid="{00000000-0005-0000-0000-0000FDA00000}"/>
    <cellStyle name="Normal 3 4 2 2 4 2 2 2" xfId="44093" xr:uid="{00000000-0005-0000-0000-0000FEA00000}"/>
    <cellStyle name="Normal 3 4 2 2 4 2 3" xfId="32792" xr:uid="{00000000-0005-0000-0000-0000FFA00000}"/>
    <cellStyle name="Normal 3 4 2 2 4 3" xfId="15841" xr:uid="{00000000-0005-0000-0000-000000A10000}"/>
    <cellStyle name="Normal 3 4 2 2 4 3 2" xfId="38443" xr:uid="{00000000-0005-0000-0000-000001A10000}"/>
    <cellStyle name="Normal 3 4 2 2 4 4" xfId="27142" xr:uid="{00000000-0005-0000-0000-000002A10000}"/>
    <cellStyle name="Normal 3 4 2 2 5" xfId="7336" xr:uid="{00000000-0005-0000-0000-000003A10000}"/>
    <cellStyle name="Normal 3 4 2 2 5 2" xfId="18637" xr:uid="{00000000-0005-0000-0000-000004A10000}"/>
    <cellStyle name="Normal 3 4 2 2 5 2 2" xfId="41239" xr:uid="{00000000-0005-0000-0000-000005A10000}"/>
    <cellStyle name="Normal 3 4 2 2 5 3" xfId="29938" xr:uid="{00000000-0005-0000-0000-000006A10000}"/>
    <cellStyle name="Normal 3 4 2 2 6" xfId="12987" xr:uid="{00000000-0005-0000-0000-000007A10000}"/>
    <cellStyle name="Normal 3 4 2 2 6 2" xfId="35589" xr:uid="{00000000-0005-0000-0000-000008A10000}"/>
    <cellStyle name="Normal 3 4 2 2 7" xfId="24288" xr:uid="{00000000-0005-0000-0000-000009A10000}"/>
    <cellStyle name="Normal 3 4 2 3" xfId="1055" xr:uid="{00000000-0005-0000-0000-00000AA10000}"/>
    <cellStyle name="Normal 3 4 2 3 2" xfId="3118" xr:uid="{00000000-0005-0000-0000-00000BA10000}"/>
    <cellStyle name="Normal 3 4 2 3 2 2" xfId="6090" xr:uid="{00000000-0005-0000-0000-00000CA10000}"/>
    <cellStyle name="Normal 3 4 2 3 2 2 2" xfId="11740" xr:uid="{00000000-0005-0000-0000-00000DA10000}"/>
    <cellStyle name="Normal 3 4 2 3 2 2 2 2" xfId="23041" xr:uid="{00000000-0005-0000-0000-00000EA10000}"/>
    <cellStyle name="Normal 3 4 2 3 2 2 2 2 2" xfId="45643" xr:uid="{00000000-0005-0000-0000-00000FA10000}"/>
    <cellStyle name="Normal 3 4 2 3 2 2 2 3" xfId="34342" xr:uid="{00000000-0005-0000-0000-000010A10000}"/>
    <cellStyle name="Normal 3 4 2 3 2 2 3" xfId="17391" xr:uid="{00000000-0005-0000-0000-000011A10000}"/>
    <cellStyle name="Normal 3 4 2 3 2 2 3 2" xfId="39993" xr:uid="{00000000-0005-0000-0000-000012A10000}"/>
    <cellStyle name="Normal 3 4 2 3 2 2 4" xfId="28692" xr:uid="{00000000-0005-0000-0000-000013A10000}"/>
    <cellStyle name="Normal 3 4 2 3 2 3" xfId="8908" xr:uid="{00000000-0005-0000-0000-000014A10000}"/>
    <cellStyle name="Normal 3 4 2 3 2 3 2" xfId="20209" xr:uid="{00000000-0005-0000-0000-000015A10000}"/>
    <cellStyle name="Normal 3 4 2 3 2 3 2 2" xfId="42811" xr:uid="{00000000-0005-0000-0000-000016A10000}"/>
    <cellStyle name="Normal 3 4 2 3 2 3 3" xfId="31510" xr:uid="{00000000-0005-0000-0000-000017A10000}"/>
    <cellStyle name="Normal 3 4 2 3 2 4" xfId="14559" xr:uid="{00000000-0005-0000-0000-000018A10000}"/>
    <cellStyle name="Normal 3 4 2 3 2 4 2" xfId="37161" xr:uid="{00000000-0005-0000-0000-000019A10000}"/>
    <cellStyle name="Normal 3 4 2 3 2 5" xfId="25860" xr:uid="{00000000-0005-0000-0000-00001AA10000}"/>
    <cellStyle name="Normal 3 4 2 3 3" xfId="4856" xr:uid="{00000000-0005-0000-0000-00001BA10000}"/>
    <cellStyle name="Normal 3 4 2 3 3 2" xfId="10506" xr:uid="{00000000-0005-0000-0000-00001CA10000}"/>
    <cellStyle name="Normal 3 4 2 3 3 2 2" xfId="21807" xr:uid="{00000000-0005-0000-0000-00001DA10000}"/>
    <cellStyle name="Normal 3 4 2 3 3 2 2 2" xfId="44409" xr:uid="{00000000-0005-0000-0000-00001EA10000}"/>
    <cellStyle name="Normal 3 4 2 3 3 2 3" xfId="33108" xr:uid="{00000000-0005-0000-0000-00001FA10000}"/>
    <cellStyle name="Normal 3 4 2 3 3 3" xfId="16157" xr:uid="{00000000-0005-0000-0000-000020A10000}"/>
    <cellStyle name="Normal 3 4 2 3 3 3 2" xfId="38759" xr:uid="{00000000-0005-0000-0000-000021A10000}"/>
    <cellStyle name="Normal 3 4 2 3 3 4" xfId="27458" xr:uid="{00000000-0005-0000-0000-000022A10000}"/>
    <cellStyle name="Normal 3 4 2 3 4" xfId="7043" xr:uid="{00000000-0005-0000-0000-000023A10000}"/>
    <cellStyle name="Normal 3 4 2 3 4 2" xfId="18344" xr:uid="{00000000-0005-0000-0000-000024A10000}"/>
    <cellStyle name="Normal 3 4 2 3 4 2 2" xfId="40946" xr:uid="{00000000-0005-0000-0000-000025A10000}"/>
    <cellStyle name="Normal 3 4 2 3 4 3" xfId="29645" xr:uid="{00000000-0005-0000-0000-000026A10000}"/>
    <cellStyle name="Normal 3 4 2 3 5" xfId="12694" xr:uid="{00000000-0005-0000-0000-000027A10000}"/>
    <cellStyle name="Normal 3 4 2 3 5 2" xfId="35296" xr:uid="{00000000-0005-0000-0000-000028A10000}"/>
    <cellStyle name="Normal 3 4 2 3 6" xfId="23995" xr:uid="{00000000-0005-0000-0000-000029A10000}"/>
    <cellStyle name="Normal 3 4 2 4" xfId="2096" xr:uid="{00000000-0005-0000-0000-00002AA10000}"/>
    <cellStyle name="Normal 3 4 2 4 2" xfId="3854" xr:uid="{00000000-0005-0000-0000-00002BA10000}"/>
    <cellStyle name="Normal 3 4 2 4 2 2" xfId="9562" xr:uid="{00000000-0005-0000-0000-00002CA10000}"/>
    <cellStyle name="Normal 3 4 2 4 2 2 2" xfId="20863" xr:uid="{00000000-0005-0000-0000-00002DA10000}"/>
    <cellStyle name="Normal 3 4 2 4 2 2 2 2" xfId="43465" xr:uid="{00000000-0005-0000-0000-00002EA10000}"/>
    <cellStyle name="Normal 3 4 2 4 2 2 3" xfId="32164" xr:uid="{00000000-0005-0000-0000-00002FA10000}"/>
    <cellStyle name="Normal 3 4 2 4 2 3" xfId="15213" xr:uid="{00000000-0005-0000-0000-000030A10000}"/>
    <cellStyle name="Normal 3 4 2 4 2 3 2" xfId="37815" xr:uid="{00000000-0005-0000-0000-000031A10000}"/>
    <cellStyle name="Normal 3 4 2 4 2 4" xfId="26514" xr:uid="{00000000-0005-0000-0000-000032A10000}"/>
    <cellStyle name="Normal 3 4 2 4 3" xfId="5466" xr:uid="{00000000-0005-0000-0000-000033A10000}"/>
    <cellStyle name="Normal 3 4 2 4 3 2" xfId="11116" xr:uid="{00000000-0005-0000-0000-000034A10000}"/>
    <cellStyle name="Normal 3 4 2 4 3 2 2" xfId="22417" xr:uid="{00000000-0005-0000-0000-000035A10000}"/>
    <cellStyle name="Normal 3 4 2 4 3 2 2 2" xfId="45019" xr:uid="{00000000-0005-0000-0000-000036A10000}"/>
    <cellStyle name="Normal 3 4 2 4 3 2 3" xfId="33718" xr:uid="{00000000-0005-0000-0000-000037A10000}"/>
    <cellStyle name="Normal 3 4 2 4 3 3" xfId="16767" xr:uid="{00000000-0005-0000-0000-000038A10000}"/>
    <cellStyle name="Normal 3 4 2 4 3 3 2" xfId="39369" xr:uid="{00000000-0005-0000-0000-000039A10000}"/>
    <cellStyle name="Normal 3 4 2 4 3 4" xfId="28068" xr:uid="{00000000-0005-0000-0000-00003AA10000}"/>
    <cellStyle name="Normal 3 4 2 4 4" xfId="7952" xr:uid="{00000000-0005-0000-0000-00003BA10000}"/>
    <cellStyle name="Normal 3 4 2 4 4 2" xfId="19253" xr:uid="{00000000-0005-0000-0000-00003CA10000}"/>
    <cellStyle name="Normal 3 4 2 4 4 2 2" xfId="41855" xr:uid="{00000000-0005-0000-0000-00003DA10000}"/>
    <cellStyle name="Normal 3 4 2 4 4 3" xfId="30554" xr:uid="{00000000-0005-0000-0000-00003EA10000}"/>
    <cellStyle name="Normal 3 4 2 4 5" xfId="13603" xr:uid="{00000000-0005-0000-0000-00003FA10000}"/>
    <cellStyle name="Normal 3 4 2 4 5 2" xfId="36205" xr:uid="{00000000-0005-0000-0000-000040A10000}"/>
    <cellStyle name="Normal 3 4 2 4 6" xfId="24904" xr:uid="{00000000-0005-0000-0000-000041A10000}"/>
    <cellStyle name="Normal 3 4 2 5" xfId="2447" xr:uid="{00000000-0005-0000-0000-000042A10000}"/>
    <cellStyle name="Normal 3 4 2 5 2" xfId="8283" xr:uid="{00000000-0005-0000-0000-000043A10000}"/>
    <cellStyle name="Normal 3 4 2 5 2 2" xfId="19584" xr:uid="{00000000-0005-0000-0000-000044A10000}"/>
    <cellStyle name="Normal 3 4 2 5 2 2 2" xfId="42186" xr:uid="{00000000-0005-0000-0000-000045A10000}"/>
    <cellStyle name="Normal 3 4 2 5 2 3" xfId="30885" xr:uid="{00000000-0005-0000-0000-000046A10000}"/>
    <cellStyle name="Normal 3 4 2 5 3" xfId="13934" xr:uid="{00000000-0005-0000-0000-000047A10000}"/>
    <cellStyle name="Normal 3 4 2 5 3 2" xfId="36536" xr:uid="{00000000-0005-0000-0000-000048A10000}"/>
    <cellStyle name="Normal 3 4 2 5 4" xfId="25235" xr:uid="{00000000-0005-0000-0000-000049A10000}"/>
    <cellStyle name="Normal 3 4 2 6" xfId="4232" xr:uid="{00000000-0005-0000-0000-00004AA10000}"/>
    <cellStyle name="Normal 3 4 2 6 2" xfId="9882" xr:uid="{00000000-0005-0000-0000-00004BA10000}"/>
    <cellStyle name="Normal 3 4 2 6 2 2" xfId="21183" xr:uid="{00000000-0005-0000-0000-00004CA10000}"/>
    <cellStyle name="Normal 3 4 2 6 2 2 2" xfId="43785" xr:uid="{00000000-0005-0000-0000-00004DA10000}"/>
    <cellStyle name="Normal 3 4 2 6 2 3" xfId="32484" xr:uid="{00000000-0005-0000-0000-00004EA10000}"/>
    <cellStyle name="Normal 3 4 2 6 3" xfId="15533" xr:uid="{00000000-0005-0000-0000-00004FA10000}"/>
    <cellStyle name="Normal 3 4 2 6 3 2" xfId="38135" xr:uid="{00000000-0005-0000-0000-000050A10000}"/>
    <cellStyle name="Normal 3 4 2 6 4" xfId="26834" xr:uid="{00000000-0005-0000-0000-000051A10000}"/>
    <cellStyle name="Normal 3 4 2 7" xfId="6712" xr:uid="{00000000-0005-0000-0000-000052A10000}"/>
    <cellStyle name="Normal 3 4 2 7 2" xfId="18013" xr:uid="{00000000-0005-0000-0000-000053A10000}"/>
    <cellStyle name="Normal 3 4 2 7 2 2" xfId="40615" xr:uid="{00000000-0005-0000-0000-000054A10000}"/>
    <cellStyle name="Normal 3 4 2 7 3" xfId="29314" xr:uid="{00000000-0005-0000-0000-000055A10000}"/>
    <cellStyle name="Normal 3 4 2 8" xfId="12363" xr:uid="{00000000-0005-0000-0000-000056A10000}"/>
    <cellStyle name="Normal 3 4 2 8 2" xfId="34965" xr:uid="{00000000-0005-0000-0000-000057A10000}"/>
    <cellStyle name="Normal 3 4 2 9" xfId="23664" xr:uid="{00000000-0005-0000-0000-000058A10000}"/>
    <cellStyle name="Normal 3 4 3" xfId="1219" xr:uid="{00000000-0005-0000-0000-000059A10000}"/>
    <cellStyle name="Normal 3 4 3 2" xfId="2098" xr:uid="{00000000-0005-0000-0000-00005AA10000}"/>
    <cellStyle name="Normal 3 4 3 2 2" xfId="3287" xr:uid="{00000000-0005-0000-0000-00005BA10000}"/>
    <cellStyle name="Normal 3 4 3 2 2 2" xfId="6259" xr:uid="{00000000-0005-0000-0000-00005CA10000}"/>
    <cellStyle name="Normal 3 4 3 2 2 2 2" xfId="11909" xr:uid="{00000000-0005-0000-0000-00005DA10000}"/>
    <cellStyle name="Normal 3 4 3 2 2 2 2 2" xfId="23210" xr:uid="{00000000-0005-0000-0000-00005EA10000}"/>
    <cellStyle name="Normal 3 4 3 2 2 2 2 2 2" xfId="45812" xr:uid="{00000000-0005-0000-0000-00005FA10000}"/>
    <cellStyle name="Normal 3 4 3 2 2 2 2 3" xfId="34511" xr:uid="{00000000-0005-0000-0000-000060A10000}"/>
    <cellStyle name="Normal 3 4 3 2 2 2 3" xfId="17560" xr:uid="{00000000-0005-0000-0000-000061A10000}"/>
    <cellStyle name="Normal 3 4 3 2 2 2 3 2" xfId="40162" xr:uid="{00000000-0005-0000-0000-000062A10000}"/>
    <cellStyle name="Normal 3 4 3 2 2 2 4" xfId="28861" xr:uid="{00000000-0005-0000-0000-000063A10000}"/>
    <cellStyle name="Normal 3 4 3 2 2 3" xfId="9077" xr:uid="{00000000-0005-0000-0000-000064A10000}"/>
    <cellStyle name="Normal 3 4 3 2 2 3 2" xfId="20378" xr:uid="{00000000-0005-0000-0000-000065A10000}"/>
    <cellStyle name="Normal 3 4 3 2 2 3 2 2" xfId="42980" xr:uid="{00000000-0005-0000-0000-000066A10000}"/>
    <cellStyle name="Normal 3 4 3 2 2 3 3" xfId="31679" xr:uid="{00000000-0005-0000-0000-000067A10000}"/>
    <cellStyle name="Normal 3 4 3 2 2 4" xfId="14728" xr:uid="{00000000-0005-0000-0000-000068A10000}"/>
    <cellStyle name="Normal 3 4 3 2 2 4 2" xfId="37330" xr:uid="{00000000-0005-0000-0000-000069A10000}"/>
    <cellStyle name="Normal 3 4 3 2 2 5" xfId="26029" xr:uid="{00000000-0005-0000-0000-00006AA10000}"/>
    <cellStyle name="Normal 3 4 3 2 3" xfId="5025" xr:uid="{00000000-0005-0000-0000-00006BA10000}"/>
    <cellStyle name="Normal 3 4 3 2 3 2" xfId="10675" xr:uid="{00000000-0005-0000-0000-00006CA10000}"/>
    <cellStyle name="Normal 3 4 3 2 3 2 2" xfId="21976" xr:uid="{00000000-0005-0000-0000-00006DA10000}"/>
    <cellStyle name="Normal 3 4 3 2 3 2 2 2" xfId="44578" xr:uid="{00000000-0005-0000-0000-00006EA10000}"/>
    <cellStyle name="Normal 3 4 3 2 3 2 3" xfId="33277" xr:uid="{00000000-0005-0000-0000-00006FA10000}"/>
    <cellStyle name="Normal 3 4 3 2 3 3" xfId="16326" xr:uid="{00000000-0005-0000-0000-000070A10000}"/>
    <cellStyle name="Normal 3 4 3 2 3 3 2" xfId="38928" xr:uid="{00000000-0005-0000-0000-000071A10000}"/>
    <cellStyle name="Normal 3 4 3 2 3 4" xfId="27627" xr:uid="{00000000-0005-0000-0000-000072A10000}"/>
    <cellStyle name="Normal 3 4 3 2 4" xfId="7954" xr:uid="{00000000-0005-0000-0000-000073A10000}"/>
    <cellStyle name="Normal 3 4 3 2 4 2" xfId="19255" xr:uid="{00000000-0005-0000-0000-000074A10000}"/>
    <cellStyle name="Normal 3 4 3 2 4 2 2" xfId="41857" xr:uid="{00000000-0005-0000-0000-000075A10000}"/>
    <cellStyle name="Normal 3 4 3 2 4 3" xfId="30556" xr:uid="{00000000-0005-0000-0000-000076A10000}"/>
    <cellStyle name="Normal 3 4 3 2 5" xfId="13605" xr:uid="{00000000-0005-0000-0000-000077A10000}"/>
    <cellStyle name="Normal 3 4 3 2 5 2" xfId="36207" xr:uid="{00000000-0005-0000-0000-000078A10000}"/>
    <cellStyle name="Normal 3 4 3 2 6" xfId="24906" xr:uid="{00000000-0005-0000-0000-000079A10000}"/>
    <cellStyle name="Normal 3 4 3 3" xfId="2616" xr:uid="{00000000-0005-0000-0000-00007AA10000}"/>
    <cellStyle name="Normal 3 4 3 3 2" xfId="5635" xr:uid="{00000000-0005-0000-0000-00007BA10000}"/>
    <cellStyle name="Normal 3 4 3 3 2 2" xfId="11285" xr:uid="{00000000-0005-0000-0000-00007CA10000}"/>
    <cellStyle name="Normal 3 4 3 3 2 2 2" xfId="22586" xr:uid="{00000000-0005-0000-0000-00007DA10000}"/>
    <cellStyle name="Normal 3 4 3 3 2 2 2 2" xfId="45188" xr:uid="{00000000-0005-0000-0000-00007EA10000}"/>
    <cellStyle name="Normal 3 4 3 3 2 2 3" xfId="33887" xr:uid="{00000000-0005-0000-0000-00007FA10000}"/>
    <cellStyle name="Normal 3 4 3 3 2 3" xfId="16936" xr:uid="{00000000-0005-0000-0000-000080A10000}"/>
    <cellStyle name="Normal 3 4 3 3 2 3 2" xfId="39538" xr:uid="{00000000-0005-0000-0000-000081A10000}"/>
    <cellStyle name="Normal 3 4 3 3 2 4" xfId="28237" xr:uid="{00000000-0005-0000-0000-000082A10000}"/>
    <cellStyle name="Normal 3 4 3 3 3" xfId="8452" xr:uid="{00000000-0005-0000-0000-000083A10000}"/>
    <cellStyle name="Normal 3 4 3 3 3 2" xfId="19753" xr:uid="{00000000-0005-0000-0000-000084A10000}"/>
    <cellStyle name="Normal 3 4 3 3 3 2 2" xfId="42355" xr:uid="{00000000-0005-0000-0000-000085A10000}"/>
    <cellStyle name="Normal 3 4 3 3 3 3" xfId="31054" xr:uid="{00000000-0005-0000-0000-000086A10000}"/>
    <cellStyle name="Normal 3 4 3 3 4" xfId="14103" xr:uid="{00000000-0005-0000-0000-000087A10000}"/>
    <cellStyle name="Normal 3 4 3 3 4 2" xfId="36705" xr:uid="{00000000-0005-0000-0000-000088A10000}"/>
    <cellStyle name="Normal 3 4 3 3 5" xfId="25404" xr:uid="{00000000-0005-0000-0000-000089A10000}"/>
    <cellStyle name="Normal 3 4 3 4" xfId="4401" xr:uid="{00000000-0005-0000-0000-00008AA10000}"/>
    <cellStyle name="Normal 3 4 3 4 2" xfId="10051" xr:uid="{00000000-0005-0000-0000-00008BA10000}"/>
    <cellStyle name="Normal 3 4 3 4 2 2" xfId="21352" xr:uid="{00000000-0005-0000-0000-00008CA10000}"/>
    <cellStyle name="Normal 3 4 3 4 2 2 2" xfId="43954" xr:uid="{00000000-0005-0000-0000-00008DA10000}"/>
    <cellStyle name="Normal 3 4 3 4 2 3" xfId="32653" xr:uid="{00000000-0005-0000-0000-00008EA10000}"/>
    <cellStyle name="Normal 3 4 3 4 3" xfId="15702" xr:uid="{00000000-0005-0000-0000-00008FA10000}"/>
    <cellStyle name="Normal 3 4 3 4 3 2" xfId="38304" xr:uid="{00000000-0005-0000-0000-000090A10000}"/>
    <cellStyle name="Normal 3 4 3 4 4" xfId="27003" xr:uid="{00000000-0005-0000-0000-000091A10000}"/>
    <cellStyle name="Normal 3 4 3 5" xfId="7198" xr:uid="{00000000-0005-0000-0000-000092A10000}"/>
    <cellStyle name="Normal 3 4 3 5 2" xfId="18499" xr:uid="{00000000-0005-0000-0000-000093A10000}"/>
    <cellStyle name="Normal 3 4 3 5 2 2" xfId="41101" xr:uid="{00000000-0005-0000-0000-000094A10000}"/>
    <cellStyle name="Normal 3 4 3 5 3" xfId="29800" xr:uid="{00000000-0005-0000-0000-000095A10000}"/>
    <cellStyle name="Normal 3 4 3 6" xfId="12849" xr:uid="{00000000-0005-0000-0000-000096A10000}"/>
    <cellStyle name="Normal 3 4 3 6 2" xfId="35451" xr:uid="{00000000-0005-0000-0000-000097A10000}"/>
    <cellStyle name="Normal 3 4 3 7" xfId="24150" xr:uid="{00000000-0005-0000-0000-000098A10000}"/>
    <cellStyle name="Normal 3 4 4" xfId="910" xr:uid="{00000000-0005-0000-0000-000099A10000}"/>
    <cellStyle name="Normal 3 4 4 2" xfId="2980" xr:uid="{00000000-0005-0000-0000-00009AA10000}"/>
    <cellStyle name="Normal 3 4 4 2 2" xfId="5952" xr:uid="{00000000-0005-0000-0000-00009BA10000}"/>
    <cellStyle name="Normal 3 4 4 2 2 2" xfId="11602" xr:uid="{00000000-0005-0000-0000-00009CA10000}"/>
    <cellStyle name="Normal 3 4 4 2 2 2 2" xfId="22903" xr:uid="{00000000-0005-0000-0000-00009DA10000}"/>
    <cellStyle name="Normal 3 4 4 2 2 2 2 2" xfId="45505" xr:uid="{00000000-0005-0000-0000-00009EA10000}"/>
    <cellStyle name="Normal 3 4 4 2 2 2 3" xfId="34204" xr:uid="{00000000-0005-0000-0000-00009FA10000}"/>
    <cellStyle name="Normal 3 4 4 2 2 3" xfId="17253" xr:uid="{00000000-0005-0000-0000-0000A0A10000}"/>
    <cellStyle name="Normal 3 4 4 2 2 3 2" xfId="39855" xr:uid="{00000000-0005-0000-0000-0000A1A10000}"/>
    <cellStyle name="Normal 3 4 4 2 2 4" xfId="28554" xr:uid="{00000000-0005-0000-0000-0000A2A10000}"/>
    <cellStyle name="Normal 3 4 4 2 3" xfId="8770" xr:uid="{00000000-0005-0000-0000-0000A3A10000}"/>
    <cellStyle name="Normal 3 4 4 2 3 2" xfId="20071" xr:uid="{00000000-0005-0000-0000-0000A4A10000}"/>
    <cellStyle name="Normal 3 4 4 2 3 2 2" xfId="42673" xr:uid="{00000000-0005-0000-0000-0000A5A10000}"/>
    <cellStyle name="Normal 3 4 4 2 3 3" xfId="31372" xr:uid="{00000000-0005-0000-0000-0000A6A10000}"/>
    <cellStyle name="Normal 3 4 4 2 4" xfId="14421" xr:uid="{00000000-0005-0000-0000-0000A7A10000}"/>
    <cellStyle name="Normal 3 4 4 2 4 2" xfId="37023" xr:uid="{00000000-0005-0000-0000-0000A8A10000}"/>
    <cellStyle name="Normal 3 4 4 2 5" xfId="25722" xr:uid="{00000000-0005-0000-0000-0000A9A10000}"/>
    <cellStyle name="Normal 3 4 4 3" xfId="4718" xr:uid="{00000000-0005-0000-0000-0000AAA10000}"/>
    <cellStyle name="Normal 3 4 4 3 2" xfId="10368" xr:uid="{00000000-0005-0000-0000-0000ABA10000}"/>
    <cellStyle name="Normal 3 4 4 3 2 2" xfId="21669" xr:uid="{00000000-0005-0000-0000-0000ACA10000}"/>
    <cellStyle name="Normal 3 4 4 3 2 2 2" xfId="44271" xr:uid="{00000000-0005-0000-0000-0000ADA10000}"/>
    <cellStyle name="Normal 3 4 4 3 2 3" xfId="32970" xr:uid="{00000000-0005-0000-0000-0000AEA10000}"/>
    <cellStyle name="Normal 3 4 4 3 3" xfId="16019" xr:uid="{00000000-0005-0000-0000-0000AFA10000}"/>
    <cellStyle name="Normal 3 4 4 3 3 2" xfId="38621" xr:uid="{00000000-0005-0000-0000-0000B0A10000}"/>
    <cellStyle name="Normal 3 4 4 3 4" xfId="27320" xr:uid="{00000000-0005-0000-0000-0000B1A10000}"/>
    <cellStyle name="Normal 3 4 4 4" xfId="6905" xr:uid="{00000000-0005-0000-0000-0000B2A10000}"/>
    <cellStyle name="Normal 3 4 4 4 2" xfId="18206" xr:uid="{00000000-0005-0000-0000-0000B3A10000}"/>
    <cellStyle name="Normal 3 4 4 4 2 2" xfId="40808" xr:uid="{00000000-0005-0000-0000-0000B4A10000}"/>
    <cellStyle name="Normal 3 4 4 4 3" xfId="29507" xr:uid="{00000000-0005-0000-0000-0000B5A10000}"/>
    <cellStyle name="Normal 3 4 4 5" xfId="12556" xr:uid="{00000000-0005-0000-0000-0000B6A10000}"/>
    <cellStyle name="Normal 3 4 4 5 2" xfId="35158" xr:uid="{00000000-0005-0000-0000-0000B7A10000}"/>
    <cellStyle name="Normal 3 4 4 6" xfId="23857" xr:uid="{00000000-0005-0000-0000-0000B8A10000}"/>
    <cellStyle name="Normal 3 4 5" xfId="2095" xr:uid="{00000000-0005-0000-0000-0000B9A10000}"/>
    <cellStyle name="Normal 3 4 5 2" xfId="3853" xr:uid="{00000000-0005-0000-0000-0000BAA10000}"/>
    <cellStyle name="Normal 3 4 5 2 2" xfId="9561" xr:uid="{00000000-0005-0000-0000-0000BBA10000}"/>
    <cellStyle name="Normal 3 4 5 2 2 2" xfId="20862" xr:uid="{00000000-0005-0000-0000-0000BCA10000}"/>
    <cellStyle name="Normal 3 4 5 2 2 2 2" xfId="43464" xr:uid="{00000000-0005-0000-0000-0000BDA10000}"/>
    <cellStyle name="Normal 3 4 5 2 2 3" xfId="32163" xr:uid="{00000000-0005-0000-0000-0000BEA10000}"/>
    <cellStyle name="Normal 3 4 5 2 3" xfId="15212" xr:uid="{00000000-0005-0000-0000-0000BFA10000}"/>
    <cellStyle name="Normal 3 4 5 2 3 2" xfId="37814" xr:uid="{00000000-0005-0000-0000-0000C0A10000}"/>
    <cellStyle name="Normal 3 4 5 2 4" xfId="26513" xr:uid="{00000000-0005-0000-0000-0000C1A10000}"/>
    <cellStyle name="Normal 3 4 5 3" xfId="5328" xr:uid="{00000000-0005-0000-0000-0000C2A10000}"/>
    <cellStyle name="Normal 3 4 5 3 2" xfId="10978" xr:uid="{00000000-0005-0000-0000-0000C3A10000}"/>
    <cellStyle name="Normal 3 4 5 3 2 2" xfId="22279" xr:uid="{00000000-0005-0000-0000-0000C4A10000}"/>
    <cellStyle name="Normal 3 4 5 3 2 2 2" xfId="44881" xr:uid="{00000000-0005-0000-0000-0000C5A10000}"/>
    <cellStyle name="Normal 3 4 5 3 2 3" xfId="33580" xr:uid="{00000000-0005-0000-0000-0000C6A10000}"/>
    <cellStyle name="Normal 3 4 5 3 3" xfId="16629" xr:uid="{00000000-0005-0000-0000-0000C7A10000}"/>
    <cellStyle name="Normal 3 4 5 3 3 2" xfId="39231" xr:uid="{00000000-0005-0000-0000-0000C8A10000}"/>
    <cellStyle name="Normal 3 4 5 3 4" xfId="27930" xr:uid="{00000000-0005-0000-0000-0000C9A10000}"/>
    <cellStyle name="Normal 3 4 5 4" xfId="7951" xr:uid="{00000000-0005-0000-0000-0000CAA10000}"/>
    <cellStyle name="Normal 3 4 5 4 2" xfId="19252" xr:uid="{00000000-0005-0000-0000-0000CBA10000}"/>
    <cellStyle name="Normal 3 4 5 4 2 2" xfId="41854" xr:uid="{00000000-0005-0000-0000-0000CCA10000}"/>
    <cellStyle name="Normal 3 4 5 4 3" xfId="30553" xr:uid="{00000000-0005-0000-0000-0000CDA10000}"/>
    <cellStyle name="Normal 3 4 5 5" xfId="13602" xr:uid="{00000000-0005-0000-0000-0000CEA10000}"/>
    <cellStyle name="Normal 3 4 5 5 2" xfId="36204" xr:uid="{00000000-0005-0000-0000-0000CFA10000}"/>
    <cellStyle name="Normal 3 4 5 6" xfId="24903" xr:uid="{00000000-0005-0000-0000-0000D0A10000}"/>
    <cellStyle name="Normal 3 4 6" xfId="2307" xr:uid="{00000000-0005-0000-0000-0000D1A10000}"/>
    <cellStyle name="Normal 3 4 6 2" xfId="8143" xr:uid="{00000000-0005-0000-0000-0000D2A10000}"/>
    <cellStyle name="Normal 3 4 6 2 2" xfId="19444" xr:uid="{00000000-0005-0000-0000-0000D3A10000}"/>
    <cellStyle name="Normal 3 4 6 2 2 2" xfId="42046" xr:uid="{00000000-0005-0000-0000-0000D4A10000}"/>
    <cellStyle name="Normal 3 4 6 2 3" xfId="30745" xr:uid="{00000000-0005-0000-0000-0000D5A10000}"/>
    <cellStyle name="Normal 3 4 6 3" xfId="13794" xr:uid="{00000000-0005-0000-0000-0000D6A10000}"/>
    <cellStyle name="Normal 3 4 6 3 2" xfId="36396" xr:uid="{00000000-0005-0000-0000-0000D7A10000}"/>
    <cellStyle name="Normal 3 4 6 4" xfId="25095" xr:uid="{00000000-0005-0000-0000-0000D8A10000}"/>
    <cellStyle name="Normal 3 4 7" xfId="4094" xr:uid="{00000000-0005-0000-0000-0000D9A10000}"/>
    <cellStyle name="Normal 3 4 7 2" xfId="9744" xr:uid="{00000000-0005-0000-0000-0000DAA10000}"/>
    <cellStyle name="Normal 3 4 7 2 2" xfId="21045" xr:uid="{00000000-0005-0000-0000-0000DBA10000}"/>
    <cellStyle name="Normal 3 4 7 2 2 2" xfId="43647" xr:uid="{00000000-0005-0000-0000-0000DCA10000}"/>
    <cellStyle name="Normal 3 4 7 2 3" xfId="32346" xr:uid="{00000000-0005-0000-0000-0000DDA10000}"/>
    <cellStyle name="Normal 3 4 7 3" xfId="15395" xr:uid="{00000000-0005-0000-0000-0000DEA10000}"/>
    <cellStyle name="Normal 3 4 7 3 2" xfId="37997" xr:uid="{00000000-0005-0000-0000-0000DFA10000}"/>
    <cellStyle name="Normal 3 4 7 4" xfId="26696" xr:uid="{00000000-0005-0000-0000-0000E0A10000}"/>
    <cellStyle name="Normal 3 4 8" xfId="6545" xr:uid="{00000000-0005-0000-0000-0000E1A10000}"/>
    <cellStyle name="Normal 3 4 8 2" xfId="17846" xr:uid="{00000000-0005-0000-0000-0000E2A10000}"/>
    <cellStyle name="Normal 3 4 8 2 2" xfId="40448" xr:uid="{00000000-0005-0000-0000-0000E3A10000}"/>
    <cellStyle name="Normal 3 4 8 3" xfId="29147" xr:uid="{00000000-0005-0000-0000-0000E4A10000}"/>
    <cellStyle name="Normal 3 4 9" xfId="12196" xr:uid="{00000000-0005-0000-0000-0000E5A10000}"/>
    <cellStyle name="Normal 3 4 9 2" xfId="34798" xr:uid="{00000000-0005-0000-0000-0000E6A10000}"/>
    <cellStyle name="Normal 3 5" xfId="521" xr:uid="{00000000-0005-0000-0000-0000E7A10000}"/>
    <cellStyle name="Normal 3 5 2" xfId="1123" xr:uid="{00000000-0005-0000-0000-0000E8A10000}"/>
    <cellStyle name="Normal 3 5 2 2" xfId="2100" xr:uid="{00000000-0005-0000-0000-0000E9A10000}"/>
    <cellStyle name="Normal 3 5 2 2 2" xfId="3190" xr:uid="{00000000-0005-0000-0000-0000EAA10000}"/>
    <cellStyle name="Normal 3 5 2 2 2 2" xfId="6162" xr:uid="{00000000-0005-0000-0000-0000EBA10000}"/>
    <cellStyle name="Normal 3 5 2 2 2 2 2" xfId="11812" xr:uid="{00000000-0005-0000-0000-0000ECA10000}"/>
    <cellStyle name="Normal 3 5 2 2 2 2 2 2" xfId="23113" xr:uid="{00000000-0005-0000-0000-0000EDA10000}"/>
    <cellStyle name="Normal 3 5 2 2 2 2 2 2 2" xfId="45715" xr:uid="{00000000-0005-0000-0000-0000EEA10000}"/>
    <cellStyle name="Normal 3 5 2 2 2 2 2 3" xfId="34414" xr:uid="{00000000-0005-0000-0000-0000EFA10000}"/>
    <cellStyle name="Normal 3 5 2 2 2 2 3" xfId="17463" xr:uid="{00000000-0005-0000-0000-0000F0A10000}"/>
    <cellStyle name="Normal 3 5 2 2 2 2 3 2" xfId="40065" xr:uid="{00000000-0005-0000-0000-0000F1A10000}"/>
    <cellStyle name="Normal 3 5 2 2 2 2 4" xfId="28764" xr:uid="{00000000-0005-0000-0000-0000F2A10000}"/>
    <cellStyle name="Normal 3 5 2 2 2 3" xfId="8980" xr:uid="{00000000-0005-0000-0000-0000F3A10000}"/>
    <cellStyle name="Normal 3 5 2 2 2 3 2" xfId="20281" xr:uid="{00000000-0005-0000-0000-0000F4A10000}"/>
    <cellStyle name="Normal 3 5 2 2 2 3 2 2" xfId="42883" xr:uid="{00000000-0005-0000-0000-0000F5A10000}"/>
    <cellStyle name="Normal 3 5 2 2 2 3 3" xfId="31582" xr:uid="{00000000-0005-0000-0000-0000F6A10000}"/>
    <cellStyle name="Normal 3 5 2 2 2 4" xfId="14631" xr:uid="{00000000-0005-0000-0000-0000F7A10000}"/>
    <cellStyle name="Normal 3 5 2 2 2 4 2" xfId="37233" xr:uid="{00000000-0005-0000-0000-0000F8A10000}"/>
    <cellStyle name="Normal 3 5 2 2 2 5" xfId="25932" xr:uid="{00000000-0005-0000-0000-0000F9A10000}"/>
    <cellStyle name="Normal 3 5 2 2 3" xfId="4928" xr:uid="{00000000-0005-0000-0000-0000FAA10000}"/>
    <cellStyle name="Normal 3 5 2 2 3 2" xfId="10578" xr:uid="{00000000-0005-0000-0000-0000FBA10000}"/>
    <cellStyle name="Normal 3 5 2 2 3 2 2" xfId="21879" xr:uid="{00000000-0005-0000-0000-0000FCA10000}"/>
    <cellStyle name="Normal 3 5 2 2 3 2 2 2" xfId="44481" xr:uid="{00000000-0005-0000-0000-0000FDA10000}"/>
    <cellStyle name="Normal 3 5 2 2 3 2 3" xfId="33180" xr:uid="{00000000-0005-0000-0000-0000FEA10000}"/>
    <cellStyle name="Normal 3 5 2 2 3 3" xfId="16229" xr:uid="{00000000-0005-0000-0000-0000FFA10000}"/>
    <cellStyle name="Normal 3 5 2 2 3 3 2" xfId="38831" xr:uid="{00000000-0005-0000-0000-000000A20000}"/>
    <cellStyle name="Normal 3 5 2 2 3 4" xfId="27530" xr:uid="{00000000-0005-0000-0000-000001A20000}"/>
    <cellStyle name="Normal 3 5 2 2 4" xfId="7956" xr:uid="{00000000-0005-0000-0000-000002A20000}"/>
    <cellStyle name="Normal 3 5 2 2 4 2" xfId="19257" xr:uid="{00000000-0005-0000-0000-000003A20000}"/>
    <cellStyle name="Normal 3 5 2 2 4 2 2" xfId="41859" xr:uid="{00000000-0005-0000-0000-000004A20000}"/>
    <cellStyle name="Normal 3 5 2 2 4 3" xfId="30558" xr:uid="{00000000-0005-0000-0000-000005A20000}"/>
    <cellStyle name="Normal 3 5 2 2 5" xfId="13607" xr:uid="{00000000-0005-0000-0000-000006A20000}"/>
    <cellStyle name="Normal 3 5 2 2 5 2" xfId="36209" xr:uid="{00000000-0005-0000-0000-000007A20000}"/>
    <cellStyle name="Normal 3 5 2 2 6" xfId="24908" xr:uid="{00000000-0005-0000-0000-000008A20000}"/>
    <cellStyle name="Normal 3 5 2 3" xfId="2519" xr:uid="{00000000-0005-0000-0000-000009A20000}"/>
    <cellStyle name="Normal 3 5 2 3 2" xfId="5538" xr:uid="{00000000-0005-0000-0000-00000AA20000}"/>
    <cellStyle name="Normal 3 5 2 3 2 2" xfId="11188" xr:uid="{00000000-0005-0000-0000-00000BA20000}"/>
    <cellStyle name="Normal 3 5 2 3 2 2 2" xfId="22489" xr:uid="{00000000-0005-0000-0000-00000CA20000}"/>
    <cellStyle name="Normal 3 5 2 3 2 2 2 2" xfId="45091" xr:uid="{00000000-0005-0000-0000-00000DA20000}"/>
    <cellStyle name="Normal 3 5 2 3 2 2 3" xfId="33790" xr:uid="{00000000-0005-0000-0000-00000EA20000}"/>
    <cellStyle name="Normal 3 5 2 3 2 3" xfId="16839" xr:uid="{00000000-0005-0000-0000-00000FA20000}"/>
    <cellStyle name="Normal 3 5 2 3 2 3 2" xfId="39441" xr:uid="{00000000-0005-0000-0000-000010A20000}"/>
    <cellStyle name="Normal 3 5 2 3 2 4" xfId="28140" xr:uid="{00000000-0005-0000-0000-000011A20000}"/>
    <cellStyle name="Normal 3 5 2 3 3" xfId="8355" xr:uid="{00000000-0005-0000-0000-000012A20000}"/>
    <cellStyle name="Normal 3 5 2 3 3 2" xfId="19656" xr:uid="{00000000-0005-0000-0000-000013A20000}"/>
    <cellStyle name="Normal 3 5 2 3 3 2 2" xfId="42258" xr:uid="{00000000-0005-0000-0000-000014A20000}"/>
    <cellStyle name="Normal 3 5 2 3 3 3" xfId="30957" xr:uid="{00000000-0005-0000-0000-000015A20000}"/>
    <cellStyle name="Normal 3 5 2 3 4" xfId="14006" xr:uid="{00000000-0005-0000-0000-000016A20000}"/>
    <cellStyle name="Normal 3 5 2 3 4 2" xfId="36608" xr:uid="{00000000-0005-0000-0000-000017A20000}"/>
    <cellStyle name="Normal 3 5 2 3 5" xfId="25307" xr:uid="{00000000-0005-0000-0000-000018A20000}"/>
    <cellStyle name="Normal 3 5 2 4" xfId="4304" xr:uid="{00000000-0005-0000-0000-000019A20000}"/>
    <cellStyle name="Normal 3 5 2 4 2" xfId="9954" xr:uid="{00000000-0005-0000-0000-00001AA20000}"/>
    <cellStyle name="Normal 3 5 2 4 2 2" xfId="21255" xr:uid="{00000000-0005-0000-0000-00001BA20000}"/>
    <cellStyle name="Normal 3 5 2 4 2 2 2" xfId="43857" xr:uid="{00000000-0005-0000-0000-00001CA20000}"/>
    <cellStyle name="Normal 3 5 2 4 2 3" xfId="32556" xr:uid="{00000000-0005-0000-0000-00001DA20000}"/>
    <cellStyle name="Normal 3 5 2 4 3" xfId="15605" xr:uid="{00000000-0005-0000-0000-00001EA20000}"/>
    <cellStyle name="Normal 3 5 2 4 3 2" xfId="38207" xr:uid="{00000000-0005-0000-0000-00001FA20000}"/>
    <cellStyle name="Normal 3 5 2 4 4" xfId="26906" xr:uid="{00000000-0005-0000-0000-000020A20000}"/>
    <cellStyle name="Normal 3 5 2 5" xfId="7102" xr:uid="{00000000-0005-0000-0000-000021A20000}"/>
    <cellStyle name="Normal 3 5 2 5 2" xfId="18403" xr:uid="{00000000-0005-0000-0000-000022A20000}"/>
    <cellStyle name="Normal 3 5 2 5 2 2" xfId="41005" xr:uid="{00000000-0005-0000-0000-000023A20000}"/>
    <cellStyle name="Normal 3 5 2 5 3" xfId="29704" xr:uid="{00000000-0005-0000-0000-000024A20000}"/>
    <cellStyle name="Normal 3 5 2 6" xfId="12753" xr:uid="{00000000-0005-0000-0000-000025A20000}"/>
    <cellStyle name="Normal 3 5 2 6 2" xfId="35355" xr:uid="{00000000-0005-0000-0000-000026A20000}"/>
    <cellStyle name="Normal 3 5 2 7" xfId="24054" xr:uid="{00000000-0005-0000-0000-000027A20000}"/>
    <cellStyle name="Normal 3 5 3" xfId="787" xr:uid="{00000000-0005-0000-0000-000028A20000}"/>
    <cellStyle name="Normal 3 5 3 2" xfId="2884" xr:uid="{00000000-0005-0000-0000-000029A20000}"/>
    <cellStyle name="Normal 3 5 3 2 2" xfId="5856" xr:uid="{00000000-0005-0000-0000-00002AA20000}"/>
    <cellStyle name="Normal 3 5 3 2 2 2" xfId="11506" xr:uid="{00000000-0005-0000-0000-00002BA20000}"/>
    <cellStyle name="Normal 3 5 3 2 2 2 2" xfId="22807" xr:uid="{00000000-0005-0000-0000-00002CA20000}"/>
    <cellStyle name="Normal 3 5 3 2 2 2 2 2" xfId="45409" xr:uid="{00000000-0005-0000-0000-00002DA20000}"/>
    <cellStyle name="Normal 3 5 3 2 2 2 3" xfId="34108" xr:uid="{00000000-0005-0000-0000-00002EA20000}"/>
    <cellStyle name="Normal 3 5 3 2 2 3" xfId="17157" xr:uid="{00000000-0005-0000-0000-00002FA20000}"/>
    <cellStyle name="Normal 3 5 3 2 2 3 2" xfId="39759" xr:uid="{00000000-0005-0000-0000-000030A20000}"/>
    <cellStyle name="Normal 3 5 3 2 2 4" xfId="28458" xr:uid="{00000000-0005-0000-0000-000031A20000}"/>
    <cellStyle name="Normal 3 5 3 2 3" xfId="8674" xr:uid="{00000000-0005-0000-0000-000032A20000}"/>
    <cellStyle name="Normal 3 5 3 2 3 2" xfId="19975" xr:uid="{00000000-0005-0000-0000-000033A20000}"/>
    <cellStyle name="Normal 3 5 3 2 3 2 2" xfId="42577" xr:uid="{00000000-0005-0000-0000-000034A20000}"/>
    <cellStyle name="Normal 3 5 3 2 3 3" xfId="31276" xr:uid="{00000000-0005-0000-0000-000035A20000}"/>
    <cellStyle name="Normal 3 5 3 2 4" xfId="14325" xr:uid="{00000000-0005-0000-0000-000036A20000}"/>
    <cellStyle name="Normal 3 5 3 2 4 2" xfId="36927" xr:uid="{00000000-0005-0000-0000-000037A20000}"/>
    <cellStyle name="Normal 3 5 3 2 5" xfId="25626" xr:uid="{00000000-0005-0000-0000-000038A20000}"/>
    <cellStyle name="Normal 3 5 3 3" xfId="4622" xr:uid="{00000000-0005-0000-0000-000039A20000}"/>
    <cellStyle name="Normal 3 5 3 3 2" xfId="10272" xr:uid="{00000000-0005-0000-0000-00003AA20000}"/>
    <cellStyle name="Normal 3 5 3 3 2 2" xfId="21573" xr:uid="{00000000-0005-0000-0000-00003BA20000}"/>
    <cellStyle name="Normal 3 5 3 3 2 2 2" xfId="44175" xr:uid="{00000000-0005-0000-0000-00003CA20000}"/>
    <cellStyle name="Normal 3 5 3 3 2 3" xfId="32874" xr:uid="{00000000-0005-0000-0000-00003DA20000}"/>
    <cellStyle name="Normal 3 5 3 3 3" xfId="15923" xr:uid="{00000000-0005-0000-0000-00003EA20000}"/>
    <cellStyle name="Normal 3 5 3 3 3 2" xfId="38525" xr:uid="{00000000-0005-0000-0000-00003FA20000}"/>
    <cellStyle name="Normal 3 5 3 3 4" xfId="27224" xr:uid="{00000000-0005-0000-0000-000040A20000}"/>
    <cellStyle name="Normal 3 5 3 4" xfId="6804" xr:uid="{00000000-0005-0000-0000-000041A20000}"/>
    <cellStyle name="Normal 3 5 3 4 2" xfId="18105" xr:uid="{00000000-0005-0000-0000-000042A20000}"/>
    <cellStyle name="Normal 3 5 3 4 2 2" xfId="40707" xr:uid="{00000000-0005-0000-0000-000043A20000}"/>
    <cellStyle name="Normal 3 5 3 4 3" xfId="29406" xr:uid="{00000000-0005-0000-0000-000044A20000}"/>
    <cellStyle name="Normal 3 5 3 5" xfId="12455" xr:uid="{00000000-0005-0000-0000-000045A20000}"/>
    <cellStyle name="Normal 3 5 3 5 2" xfId="35057" xr:uid="{00000000-0005-0000-0000-000046A20000}"/>
    <cellStyle name="Normal 3 5 3 6" xfId="23756" xr:uid="{00000000-0005-0000-0000-000047A20000}"/>
    <cellStyle name="Normal 3 5 4" xfId="2099" xr:uid="{00000000-0005-0000-0000-000048A20000}"/>
    <cellStyle name="Normal 3 5 4 2" xfId="3855" xr:uid="{00000000-0005-0000-0000-000049A20000}"/>
    <cellStyle name="Normal 3 5 4 2 2" xfId="9563" xr:uid="{00000000-0005-0000-0000-00004AA20000}"/>
    <cellStyle name="Normal 3 5 4 2 2 2" xfId="20864" xr:uid="{00000000-0005-0000-0000-00004BA20000}"/>
    <cellStyle name="Normal 3 5 4 2 2 2 2" xfId="43466" xr:uid="{00000000-0005-0000-0000-00004CA20000}"/>
    <cellStyle name="Normal 3 5 4 2 2 3" xfId="32165" xr:uid="{00000000-0005-0000-0000-00004DA20000}"/>
    <cellStyle name="Normal 3 5 4 2 3" xfId="15214" xr:uid="{00000000-0005-0000-0000-00004EA20000}"/>
    <cellStyle name="Normal 3 5 4 2 3 2" xfId="37816" xr:uid="{00000000-0005-0000-0000-00004FA20000}"/>
    <cellStyle name="Normal 3 5 4 2 4" xfId="26515" xr:uid="{00000000-0005-0000-0000-000050A20000}"/>
    <cellStyle name="Normal 3 5 4 3" xfId="5232" xr:uid="{00000000-0005-0000-0000-000051A20000}"/>
    <cellStyle name="Normal 3 5 4 3 2" xfId="10882" xr:uid="{00000000-0005-0000-0000-000052A20000}"/>
    <cellStyle name="Normal 3 5 4 3 2 2" xfId="22183" xr:uid="{00000000-0005-0000-0000-000053A20000}"/>
    <cellStyle name="Normal 3 5 4 3 2 2 2" xfId="44785" xr:uid="{00000000-0005-0000-0000-000054A20000}"/>
    <cellStyle name="Normal 3 5 4 3 2 3" xfId="33484" xr:uid="{00000000-0005-0000-0000-000055A20000}"/>
    <cellStyle name="Normal 3 5 4 3 3" xfId="16533" xr:uid="{00000000-0005-0000-0000-000056A20000}"/>
    <cellStyle name="Normal 3 5 4 3 3 2" xfId="39135" xr:uid="{00000000-0005-0000-0000-000057A20000}"/>
    <cellStyle name="Normal 3 5 4 3 4" xfId="27834" xr:uid="{00000000-0005-0000-0000-000058A20000}"/>
    <cellStyle name="Normal 3 5 4 4" xfId="7955" xr:uid="{00000000-0005-0000-0000-000059A20000}"/>
    <cellStyle name="Normal 3 5 4 4 2" xfId="19256" xr:uid="{00000000-0005-0000-0000-00005AA20000}"/>
    <cellStyle name="Normal 3 5 4 4 2 2" xfId="41858" xr:uid="{00000000-0005-0000-0000-00005BA20000}"/>
    <cellStyle name="Normal 3 5 4 4 3" xfId="30557" xr:uid="{00000000-0005-0000-0000-00005CA20000}"/>
    <cellStyle name="Normal 3 5 4 5" xfId="13606" xr:uid="{00000000-0005-0000-0000-00005DA20000}"/>
    <cellStyle name="Normal 3 5 4 5 2" xfId="36208" xr:uid="{00000000-0005-0000-0000-00005EA20000}"/>
    <cellStyle name="Normal 3 5 4 6" xfId="24907" xr:uid="{00000000-0005-0000-0000-00005FA20000}"/>
    <cellStyle name="Normal 3 5 5" xfId="2203" xr:uid="{00000000-0005-0000-0000-000060A20000}"/>
    <cellStyle name="Normal 3 5 5 2" xfId="8046" xr:uid="{00000000-0005-0000-0000-000061A20000}"/>
    <cellStyle name="Normal 3 5 5 2 2" xfId="19347" xr:uid="{00000000-0005-0000-0000-000062A20000}"/>
    <cellStyle name="Normal 3 5 5 2 2 2" xfId="41949" xr:uid="{00000000-0005-0000-0000-000063A20000}"/>
    <cellStyle name="Normal 3 5 5 2 3" xfId="30648" xr:uid="{00000000-0005-0000-0000-000064A20000}"/>
    <cellStyle name="Normal 3 5 5 3" xfId="13697" xr:uid="{00000000-0005-0000-0000-000065A20000}"/>
    <cellStyle name="Normal 3 5 5 3 2" xfId="36299" xr:uid="{00000000-0005-0000-0000-000066A20000}"/>
    <cellStyle name="Normal 3 5 5 4" xfId="24998" xr:uid="{00000000-0005-0000-0000-000067A20000}"/>
    <cellStyle name="Normal 3 5 6" xfId="3998" xr:uid="{00000000-0005-0000-0000-000068A20000}"/>
    <cellStyle name="Normal 3 5 6 2" xfId="9648" xr:uid="{00000000-0005-0000-0000-000069A20000}"/>
    <cellStyle name="Normal 3 5 6 2 2" xfId="20949" xr:uid="{00000000-0005-0000-0000-00006AA20000}"/>
    <cellStyle name="Normal 3 5 6 2 2 2" xfId="43551" xr:uid="{00000000-0005-0000-0000-00006BA20000}"/>
    <cellStyle name="Normal 3 5 6 2 3" xfId="32250" xr:uid="{00000000-0005-0000-0000-00006CA20000}"/>
    <cellStyle name="Normal 3 5 6 3" xfId="15299" xr:uid="{00000000-0005-0000-0000-00006DA20000}"/>
    <cellStyle name="Normal 3 5 6 3 2" xfId="37901" xr:uid="{00000000-0005-0000-0000-00006EA20000}"/>
    <cellStyle name="Normal 3 5 6 4" xfId="26600" xr:uid="{00000000-0005-0000-0000-00006FA20000}"/>
    <cellStyle name="Normal 3 5 7" xfId="6616" xr:uid="{00000000-0005-0000-0000-000070A20000}"/>
    <cellStyle name="Normal 3 5 7 2" xfId="17917" xr:uid="{00000000-0005-0000-0000-000071A20000}"/>
    <cellStyle name="Normal 3 5 7 2 2" xfId="40519" xr:uid="{00000000-0005-0000-0000-000072A20000}"/>
    <cellStyle name="Normal 3 5 7 3" xfId="29218" xr:uid="{00000000-0005-0000-0000-000073A20000}"/>
    <cellStyle name="Normal 3 5 8" xfId="12267" xr:uid="{00000000-0005-0000-0000-000074A20000}"/>
    <cellStyle name="Normal 3 5 8 2" xfId="34869" xr:uid="{00000000-0005-0000-0000-000075A20000}"/>
    <cellStyle name="Normal 3 5 9" xfId="23568" xr:uid="{00000000-0005-0000-0000-000076A20000}"/>
    <cellStyle name="Normal 3 6" xfId="692" xr:uid="{00000000-0005-0000-0000-000077A20000}"/>
    <cellStyle name="Normal 3 7" xfId="1471" xr:uid="{00000000-0005-0000-0000-000078A20000}"/>
    <cellStyle name="Normal 3 7 2" xfId="3477" xr:uid="{00000000-0005-0000-0000-000079A20000}"/>
    <cellStyle name="Normal 3 7 3" xfId="3580" xr:uid="{00000000-0005-0000-0000-00007AA20000}"/>
    <cellStyle name="Normal 3 8" xfId="3583" xr:uid="{00000000-0005-0000-0000-00007BA20000}"/>
    <cellStyle name="Normal 3 8 2" xfId="9306" xr:uid="{00000000-0005-0000-0000-00007CA20000}"/>
    <cellStyle name="Normal 3 8 2 2" xfId="20607" xr:uid="{00000000-0005-0000-0000-00007DA20000}"/>
    <cellStyle name="Normal 3 8 2 2 2" xfId="43209" xr:uid="{00000000-0005-0000-0000-00007EA20000}"/>
    <cellStyle name="Normal 3 8 2 3" xfId="31908" xr:uid="{00000000-0005-0000-0000-00007FA20000}"/>
    <cellStyle name="Normal 3 8 3" xfId="14957" xr:uid="{00000000-0005-0000-0000-000080A20000}"/>
    <cellStyle name="Normal 3 8 3 2" xfId="37559" xr:uid="{00000000-0005-0000-0000-000081A20000}"/>
    <cellStyle name="Normal 3 8 4" xfId="26258" xr:uid="{00000000-0005-0000-0000-000082A20000}"/>
    <cellStyle name="Normal 3 9" xfId="3914" xr:uid="{00000000-0005-0000-0000-000083A20000}"/>
    <cellStyle name="Normal 3 9 2" xfId="3911" xr:uid="{00000000-0005-0000-0000-000084A20000}"/>
    <cellStyle name="Normal 4" xfId="83" xr:uid="{00000000-0005-0000-0000-000085A20000}"/>
    <cellStyle name="Normal 4 2" xfId="249" xr:uid="{00000000-0005-0000-0000-000086A20000}"/>
    <cellStyle name="Normal 4 3" xfId="354" xr:uid="{00000000-0005-0000-0000-000087A20000}"/>
    <cellStyle name="Normal 4 3 10" xfId="23462" xr:uid="{00000000-0005-0000-0000-000088A20000}"/>
    <cellStyle name="Normal 4 3 2" xfId="612" xr:uid="{00000000-0005-0000-0000-000089A20000}"/>
    <cellStyle name="Normal 4 3 2 2" xfId="1322" xr:uid="{00000000-0005-0000-0000-00008AA20000}"/>
    <cellStyle name="Normal 4 3 2 2 2" xfId="2103" xr:uid="{00000000-0005-0000-0000-00008BA20000}"/>
    <cellStyle name="Normal 4 3 2 2 2 2" xfId="3391" xr:uid="{00000000-0005-0000-0000-00008CA20000}"/>
    <cellStyle name="Normal 4 3 2 2 2 2 2" xfId="6363" xr:uid="{00000000-0005-0000-0000-00008DA20000}"/>
    <cellStyle name="Normal 4 3 2 2 2 2 2 2" xfId="12013" xr:uid="{00000000-0005-0000-0000-00008EA20000}"/>
    <cellStyle name="Normal 4 3 2 2 2 2 2 2 2" xfId="23314" xr:uid="{00000000-0005-0000-0000-00008FA20000}"/>
    <cellStyle name="Normal 4 3 2 2 2 2 2 2 2 2" xfId="45916" xr:uid="{00000000-0005-0000-0000-000090A20000}"/>
    <cellStyle name="Normal 4 3 2 2 2 2 2 2 3" xfId="34615" xr:uid="{00000000-0005-0000-0000-000091A20000}"/>
    <cellStyle name="Normal 4 3 2 2 2 2 2 3" xfId="17664" xr:uid="{00000000-0005-0000-0000-000092A20000}"/>
    <cellStyle name="Normal 4 3 2 2 2 2 2 3 2" xfId="40266" xr:uid="{00000000-0005-0000-0000-000093A20000}"/>
    <cellStyle name="Normal 4 3 2 2 2 2 2 4" xfId="28965" xr:uid="{00000000-0005-0000-0000-000094A20000}"/>
    <cellStyle name="Normal 4 3 2 2 2 2 3" xfId="9181" xr:uid="{00000000-0005-0000-0000-000095A20000}"/>
    <cellStyle name="Normal 4 3 2 2 2 2 3 2" xfId="20482" xr:uid="{00000000-0005-0000-0000-000096A20000}"/>
    <cellStyle name="Normal 4 3 2 2 2 2 3 2 2" xfId="43084" xr:uid="{00000000-0005-0000-0000-000097A20000}"/>
    <cellStyle name="Normal 4 3 2 2 2 2 3 3" xfId="31783" xr:uid="{00000000-0005-0000-0000-000098A20000}"/>
    <cellStyle name="Normal 4 3 2 2 2 2 4" xfId="14832" xr:uid="{00000000-0005-0000-0000-000099A20000}"/>
    <cellStyle name="Normal 4 3 2 2 2 2 4 2" xfId="37434" xr:uid="{00000000-0005-0000-0000-00009AA20000}"/>
    <cellStyle name="Normal 4 3 2 2 2 2 5" xfId="26133" xr:uid="{00000000-0005-0000-0000-00009BA20000}"/>
    <cellStyle name="Normal 4 3 2 2 2 3" xfId="5129" xr:uid="{00000000-0005-0000-0000-00009CA20000}"/>
    <cellStyle name="Normal 4 3 2 2 2 3 2" xfId="10779" xr:uid="{00000000-0005-0000-0000-00009DA20000}"/>
    <cellStyle name="Normal 4 3 2 2 2 3 2 2" xfId="22080" xr:uid="{00000000-0005-0000-0000-00009EA20000}"/>
    <cellStyle name="Normal 4 3 2 2 2 3 2 2 2" xfId="44682" xr:uid="{00000000-0005-0000-0000-00009FA20000}"/>
    <cellStyle name="Normal 4 3 2 2 2 3 2 3" xfId="33381" xr:uid="{00000000-0005-0000-0000-0000A0A20000}"/>
    <cellStyle name="Normal 4 3 2 2 2 3 3" xfId="16430" xr:uid="{00000000-0005-0000-0000-0000A1A20000}"/>
    <cellStyle name="Normal 4 3 2 2 2 3 3 2" xfId="39032" xr:uid="{00000000-0005-0000-0000-0000A2A20000}"/>
    <cellStyle name="Normal 4 3 2 2 2 3 4" xfId="27731" xr:uid="{00000000-0005-0000-0000-0000A3A20000}"/>
    <cellStyle name="Normal 4 3 2 2 2 4" xfId="7959" xr:uid="{00000000-0005-0000-0000-0000A4A20000}"/>
    <cellStyle name="Normal 4 3 2 2 2 4 2" xfId="19260" xr:uid="{00000000-0005-0000-0000-0000A5A20000}"/>
    <cellStyle name="Normal 4 3 2 2 2 4 2 2" xfId="41862" xr:uid="{00000000-0005-0000-0000-0000A6A20000}"/>
    <cellStyle name="Normal 4 3 2 2 2 4 3" xfId="30561" xr:uid="{00000000-0005-0000-0000-0000A7A20000}"/>
    <cellStyle name="Normal 4 3 2 2 2 5" xfId="13610" xr:uid="{00000000-0005-0000-0000-0000A8A20000}"/>
    <cellStyle name="Normal 4 3 2 2 2 5 2" xfId="36212" xr:uid="{00000000-0005-0000-0000-0000A9A20000}"/>
    <cellStyle name="Normal 4 3 2 2 2 6" xfId="24911" xr:uid="{00000000-0005-0000-0000-0000AAA20000}"/>
    <cellStyle name="Normal 4 3 2 2 3" xfId="2720" xr:uid="{00000000-0005-0000-0000-0000ABA20000}"/>
    <cellStyle name="Normal 4 3 2 2 3 2" xfId="5739" xr:uid="{00000000-0005-0000-0000-0000ACA20000}"/>
    <cellStyle name="Normal 4 3 2 2 3 2 2" xfId="11389" xr:uid="{00000000-0005-0000-0000-0000ADA20000}"/>
    <cellStyle name="Normal 4 3 2 2 3 2 2 2" xfId="22690" xr:uid="{00000000-0005-0000-0000-0000AEA20000}"/>
    <cellStyle name="Normal 4 3 2 2 3 2 2 2 2" xfId="45292" xr:uid="{00000000-0005-0000-0000-0000AFA20000}"/>
    <cellStyle name="Normal 4 3 2 2 3 2 2 3" xfId="33991" xr:uid="{00000000-0005-0000-0000-0000B0A20000}"/>
    <cellStyle name="Normal 4 3 2 2 3 2 3" xfId="17040" xr:uid="{00000000-0005-0000-0000-0000B1A20000}"/>
    <cellStyle name="Normal 4 3 2 2 3 2 3 2" xfId="39642" xr:uid="{00000000-0005-0000-0000-0000B2A20000}"/>
    <cellStyle name="Normal 4 3 2 2 3 2 4" xfId="28341" xr:uid="{00000000-0005-0000-0000-0000B3A20000}"/>
    <cellStyle name="Normal 4 3 2 2 3 3" xfId="8556" xr:uid="{00000000-0005-0000-0000-0000B4A20000}"/>
    <cellStyle name="Normal 4 3 2 2 3 3 2" xfId="19857" xr:uid="{00000000-0005-0000-0000-0000B5A20000}"/>
    <cellStyle name="Normal 4 3 2 2 3 3 2 2" xfId="42459" xr:uid="{00000000-0005-0000-0000-0000B6A20000}"/>
    <cellStyle name="Normal 4 3 2 2 3 3 3" xfId="31158" xr:uid="{00000000-0005-0000-0000-0000B7A20000}"/>
    <cellStyle name="Normal 4 3 2 2 3 4" xfId="14207" xr:uid="{00000000-0005-0000-0000-0000B8A20000}"/>
    <cellStyle name="Normal 4 3 2 2 3 4 2" xfId="36809" xr:uid="{00000000-0005-0000-0000-0000B9A20000}"/>
    <cellStyle name="Normal 4 3 2 2 3 5" xfId="25508" xr:uid="{00000000-0005-0000-0000-0000BAA20000}"/>
    <cellStyle name="Normal 4 3 2 2 4" xfId="4505" xr:uid="{00000000-0005-0000-0000-0000BBA20000}"/>
    <cellStyle name="Normal 4 3 2 2 4 2" xfId="10155" xr:uid="{00000000-0005-0000-0000-0000BCA20000}"/>
    <cellStyle name="Normal 4 3 2 2 4 2 2" xfId="21456" xr:uid="{00000000-0005-0000-0000-0000BDA20000}"/>
    <cellStyle name="Normal 4 3 2 2 4 2 2 2" xfId="44058" xr:uid="{00000000-0005-0000-0000-0000BEA20000}"/>
    <cellStyle name="Normal 4 3 2 2 4 2 3" xfId="32757" xr:uid="{00000000-0005-0000-0000-0000BFA20000}"/>
    <cellStyle name="Normal 4 3 2 2 4 3" xfId="15806" xr:uid="{00000000-0005-0000-0000-0000C0A20000}"/>
    <cellStyle name="Normal 4 3 2 2 4 3 2" xfId="38408" xr:uid="{00000000-0005-0000-0000-0000C1A20000}"/>
    <cellStyle name="Normal 4 3 2 2 4 4" xfId="27107" xr:uid="{00000000-0005-0000-0000-0000C2A20000}"/>
    <cellStyle name="Normal 4 3 2 2 5" xfId="7301" xr:uid="{00000000-0005-0000-0000-0000C3A20000}"/>
    <cellStyle name="Normal 4 3 2 2 5 2" xfId="18602" xr:uid="{00000000-0005-0000-0000-0000C4A20000}"/>
    <cellStyle name="Normal 4 3 2 2 5 2 2" xfId="41204" xr:uid="{00000000-0005-0000-0000-0000C5A20000}"/>
    <cellStyle name="Normal 4 3 2 2 5 3" xfId="29903" xr:uid="{00000000-0005-0000-0000-0000C6A20000}"/>
    <cellStyle name="Normal 4 3 2 2 6" xfId="12952" xr:uid="{00000000-0005-0000-0000-0000C7A20000}"/>
    <cellStyle name="Normal 4 3 2 2 6 2" xfId="35554" xr:uid="{00000000-0005-0000-0000-0000C8A20000}"/>
    <cellStyle name="Normal 4 3 2 2 7" xfId="24253" xr:uid="{00000000-0005-0000-0000-0000C9A20000}"/>
    <cellStyle name="Normal 4 3 2 3" xfId="1020" xr:uid="{00000000-0005-0000-0000-0000CAA20000}"/>
    <cellStyle name="Normal 4 3 2 3 2" xfId="3083" xr:uid="{00000000-0005-0000-0000-0000CBA20000}"/>
    <cellStyle name="Normal 4 3 2 3 2 2" xfId="6055" xr:uid="{00000000-0005-0000-0000-0000CCA20000}"/>
    <cellStyle name="Normal 4 3 2 3 2 2 2" xfId="11705" xr:uid="{00000000-0005-0000-0000-0000CDA20000}"/>
    <cellStyle name="Normal 4 3 2 3 2 2 2 2" xfId="23006" xr:uid="{00000000-0005-0000-0000-0000CEA20000}"/>
    <cellStyle name="Normal 4 3 2 3 2 2 2 2 2" xfId="45608" xr:uid="{00000000-0005-0000-0000-0000CFA20000}"/>
    <cellStyle name="Normal 4 3 2 3 2 2 2 3" xfId="34307" xr:uid="{00000000-0005-0000-0000-0000D0A20000}"/>
    <cellStyle name="Normal 4 3 2 3 2 2 3" xfId="17356" xr:uid="{00000000-0005-0000-0000-0000D1A20000}"/>
    <cellStyle name="Normal 4 3 2 3 2 2 3 2" xfId="39958" xr:uid="{00000000-0005-0000-0000-0000D2A20000}"/>
    <cellStyle name="Normal 4 3 2 3 2 2 4" xfId="28657" xr:uid="{00000000-0005-0000-0000-0000D3A20000}"/>
    <cellStyle name="Normal 4 3 2 3 2 3" xfId="8873" xr:uid="{00000000-0005-0000-0000-0000D4A20000}"/>
    <cellStyle name="Normal 4 3 2 3 2 3 2" xfId="20174" xr:uid="{00000000-0005-0000-0000-0000D5A20000}"/>
    <cellStyle name="Normal 4 3 2 3 2 3 2 2" xfId="42776" xr:uid="{00000000-0005-0000-0000-0000D6A20000}"/>
    <cellStyle name="Normal 4 3 2 3 2 3 3" xfId="31475" xr:uid="{00000000-0005-0000-0000-0000D7A20000}"/>
    <cellStyle name="Normal 4 3 2 3 2 4" xfId="14524" xr:uid="{00000000-0005-0000-0000-0000D8A20000}"/>
    <cellStyle name="Normal 4 3 2 3 2 4 2" xfId="37126" xr:uid="{00000000-0005-0000-0000-0000D9A20000}"/>
    <cellStyle name="Normal 4 3 2 3 2 5" xfId="25825" xr:uid="{00000000-0005-0000-0000-0000DAA20000}"/>
    <cellStyle name="Normal 4 3 2 3 3" xfId="4821" xr:uid="{00000000-0005-0000-0000-0000DBA20000}"/>
    <cellStyle name="Normal 4 3 2 3 3 2" xfId="10471" xr:uid="{00000000-0005-0000-0000-0000DCA20000}"/>
    <cellStyle name="Normal 4 3 2 3 3 2 2" xfId="21772" xr:uid="{00000000-0005-0000-0000-0000DDA20000}"/>
    <cellStyle name="Normal 4 3 2 3 3 2 2 2" xfId="44374" xr:uid="{00000000-0005-0000-0000-0000DEA20000}"/>
    <cellStyle name="Normal 4 3 2 3 3 2 3" xfId="33073" xr:uid="{00000000-0005-0000-0000-0000DFA20000}"/>
    <cellStyle name="Normal 4 3 2 3 3 3" xfId="16122" xr:uid="{00000000-0005-0000-0000-0000E0A20000}"/>
    <cellStyle name="Normal 4 3 2 3 3 3 2" xfId="38724" xr:uid="{00000000-0005-0000-0000-0000E1A20000}"/>
    <cellStyle name="Normal 4 3 2 3 3 4" xfId="27423" xr:uid="{00000000-0005-0000-0000-0000E2A20000}"/>
    <cellStyle name="Normal 4 3 2 3 4" xfId="7008" xr:uid="{00000000-0005-0000-0000-0000E3A20000}"/>
    <cellStyle name="Normal 4 3 2 3 4 2" xfId="18309" xr:uid="{00000000-0005-0000-0000-0000E4A20000}"/>
    <cellStyle name="Normal 4 3 2 3 4 2 2" xfId="40911" xr:uid="{00000000-0005-0000-0000-0000E5A20000}"/>
    <cellStyle name="Normal 4 3 2 3 4 3" xfId="29610" xr:uid="{00000000-0005-0000-0000-0000E6A20000}"/>
    <cellStyle name="Normal 4 3 2 3 5" xfId="12659" xr:uid="{00000000-0005-0000-0000-0000E7A20000}"/>
    <cellStyle name="Normal 4 3 2 3 5 2" xfId="35261" xr:uid="{00000000-0005-0000-0000-0000E8A20000}"/>
    <cellStyle name="Normal 4 3 2 3 6" xfId="23960" xr:uid="{00000000-0005-0000-0000-0000E9A20000}"/>
    <cellStyle name="Normal 4 3 2 4" xfId="2102" xr:uid="{00000000-0005-0000-0000-0000EAA20000}"/>
    <cellStyle name="Normal 4 3 2 4 2" xfId="3857" xr:uid="{00000000-0005-0000-0000-0000EBA20000}"/>
    <cellStyle name="Normal 4 3 2 4 2 2" xfId="9565" xr:uid="{00000000-0005-0000-0000-0000ECA20000}"/>
    <cellStyle name="Normal 4 3 2 4 2 2 2" xfId="20866" xr:uid="{00000000-0005-0000-0000-0000EDA20000}"/>
    <cellStyle name="Normal 4 3 2 4 2 2 2 2" xfId="43468" xr:uid="{00000000-0005-0000-0000-0000EEA20000}"/>
    <cellStyle name="Normal 4 3 2 4 2 2 3" xfId="32167" xr:uid="{00000000-0005-0000-0000-0000EFA20000}"/>
    <cellStyle name="Normal 4 3 2 4 2 3" xfId="15216" xr:uid="{00000000-0005-0000-0000-0000F0A20000}"/>
    <cellStyle name="Normal 4 3 2 4 2 3 2" xfId="37818" xr:uid="{00000000-0005-0000-0000-0000F1A20000}"/>
    <cellStyle name="Normal 4 3 2 4 2 4" xfId="26517" xr:uid="{00000000-0005-0000-0000-0000F2A20000}"/>
    <cellStyle name="Normal 4 3 2 4 3" xfId="5431" xr:uid="{00000000-0005-0000-0000-0000F3A20000}"/>
    <cellStyle name="Normal 4 3 2 4 3 2" xfId="11081" xr:uid="{00000000-0005-0000-0000-0000F4A20000}"/>
    <cellStyle name="Normal 4 3 2 4 3 2 2" xfId="22382" xr:uid="{00000000-0005-0000-0000-0000F5A20000}"/>
    <cellStyle name="Normal 4 3 2 4 3 2 2 2" xfId="44984" xr:uid="{00000000-0005-0000-0000-0000F6A20000}"/>
    <cellStyle name="Normal 4 3 2 4 3 2 3" xfId="33683" xr:uid="{00000000-0005-0000-0000-0000F7A20000}"/>
    <cellStyle name="Normal 4 3 2 4 3 3" xfId="16732" xr:uid="{00000000-0005-0000-0000-0000F8A20000}"/>
    <cellStyle name="Normal 4 3 2 4 3 3 2" xfId="39334" xr:uid="{00000000-0005-0000-0000-0000F9A20000}"/>
    <cellStyle name="Normal 4 3 2 4 3 4" xfId="28033" xr:uid="{00000000-0005-0000-0000-0000FAA20000}"/>
    <cellStyle name="Normal 4 3 2 4 4" xfId="7958" xr:uid="{00000000-0005-0000-0000-0000FBA20000}"/>
    <cellStyle name="Normal 4 3 2 4 4 2" xfId="19259" xr:uid="{00000000-0005-0000-0000-0000FCA20000}"/>
    <cellStyle name="Normal 4 3 2 4 4 2 2" xfId="41861" xr:uid="{00000000-0005-0000-0000-0000FDA20000}"/>
    <cellStyle name="Normal 4 3 2 4 4 3" xfId="30560" xr:uid="{00000000-0005-0000-0000-0000FEA20000}"/>
    <cellStyle name="Normal 4 3 2 4 5" xfId="13609" xr:uid="{00000000-0005-0000-0000-0000FFA20000}"/>
    <cellStyle name="Normal 4 3 2 4 5 2" xfId="36211" xr:uid="{00000000-0005-0000-0000-000000A30000}"/>
    <cellStyle name="Normal 4 3 2 4 6" xfId="24910" xr:uid="{00000000-0005-0000-0000-000001A30000}"/>
    <cellStyle name="Normal 4 3 2 5" xfId="2412" xr:uid="{00000000-0005-0000-0000-000002A30000}"/>
    <cellStyle name="Normal 4 3 2 5 2" xfId="8248" xr:uid="{00000000-0005-0000-0000-000003A30000}"/>
    <cellStyle name="Normal 4 3 2 5 2 2" xfId="19549" xr:uid="{00000000-0005-0000-0000-000004A30000}"/>
    <cellStyle name="Normal 4 3 2 5 2 2 2" xfId="42151" xr:uid="{00000000-0005-0000-0000-000005A30000}"/>
    <cellStyle name="Normal 4 3 2 5 2 3" xfId="30850" xr:uid="{00000000-0005-0000-0000-000006A30000}"/>
    <cellStyle name="Normal 4 3 2 5 3" xfId="13899" xr:uid="{00000000-0005-0000-0000-000007A30000}"/>
    <cellStyle name="Normal 4 3 2 5 3 2" xfId="36501" xr:uid="{00000000-0005-0000-0000-000008A30000}"/>
    <cellStyle name="Normal 4 3 2 5 4" xfId="25200" xr:uid="{00000000-0005-0000-0000-000009A30000}"/>
    <cellStyle name="Normal 4 3 2 6" xfId="4197" xr:uid="{00000000-0005-0000-0000-00000AA30000}"/>
    <cellStyle name="Normal 4 3 2 6 2" xfId="9847" xr:uid="{00000000-0005-0000-0000-00000BA30000}"/>
    <cellStyle name="Normal 4 3 2 6 2 2" xfId="21148" xr:uid="{00000000-0005-0000-0000-00000CA30000}"/>
    <cellStyle name="Normal 4 3 2 6 2 2 2" xfId="43750" xr:uid="{00000000-0005-0000-0000-00000DA30000}"/>
    <cellStyle name="Normal 4 3 2 6 2 3" xfId="32449" xr:uid="{00000000-0005-0000-0000-00000EA30000}"/>
    <cellStyle name="Normal 4 3 2 6 3" xfId="15498" xr:uid="{00000000-0005-0000-0000-00000FA30000}"/>
    <cellStyle name="Normal 4 3 2 6 3 2" xfId="38100" xr:uid="{00000000-0005-0000-0000-000010A30000}"/>
    <cellStyle name="Normal 4 3 2 6 4" xfId="26799" xr:uid="{00000000-0005-0000-0000-000011A30000}"/>
    <cellStyle name="Normal 4 3 2 7" xfId="6677" xr:uid="{00000000-0005-0000-0000-000012A30000}"/>
    <cellStyle name="Normal 4 3 2 7 2" xfId="17978" xr:uid="{00000000-0005-0000-0000-000013A30000}"/>
    <cellStyle name="Normal 4 3 2 7 2 2" xfId="40580" xr:uid="{00000000-0005-0000-0000-000014A30000}"/>
    <cellStyle name="Normal 4 3 2 7 3" xfId="29279" xr:uid="{00000000-0005-0000-0000-000015A30000}"/>
    <cellStyle name="Normal 4 3 2 8" xfId="12328" xr:uid="{00000000-0005-0000-0000-000016A30000}"/>
    <cellStyle name="Normal 4 3 2 8 2" xfId="34930" xr:uid="{00000000-0005-0000-0000-000017A30000}"/>
    <cellStyle name="Normal 4 3 2 9" xfId="23629" xr:uid="{00000000-0005-0000-0000-000018A30000}"/>
    <cellStyle name="Normal 4 3 3" xfId="1184" xr:uid="{00000000-0005-0000-0000-000019A30000}"/>
    <cellStyle name="Normal 4 3 3 2" xfId="2104" xr:uid="{00000000-0005-0000-0000-00001AA30000}"/>
    <cellStyle name="Normal 4 3 3 2 2" xfId="3252" xr:uid="{00000000-0005-0000-0000-00001BA30000}"/>
    <cellStyle name="Normal 4 3 3 2 2 2" xfId="6224" xr:uid="{00000000-0005-0000-0000-00001CA30000}"/>
    <cellStyle name="Normal 4 3 3 2 2 2 2" xfId="11874" xr:uid="{00000000-0005-0000-0000-00001DA30000}"/>
    <cellStyle name="Normal 4 3 3 2 2 2 2 2" xfId="23175" xr:uid="{00000000-0005-0000-0000-00001EA30000}"/>
    <cellStyle name="Normal 4 3 3 2 2 2 2 2 2" xfId="45777" xr:uid="{00000000-0005-0000-0000-00001FA30000}"/>
    <cellStyle name="Normal 4 3 3 2 2 2 2 3" xfId="34476" xr:uid="{00000000-0005-0000-0000-000020A30000}"/>
    <cellStyle name="Normal 4 3 3 2 2 2 3" xfId="17525" xr:uid="{00000000-0005-0000-0000-000021A30000}"/>
    <cellStyle name="Normal 4 3 3 2 2 2 3 2" xfId="40127" xr:uid="{00000000-0005-0000-0000-000022A30000}"/>
    <cellStyle name="Normal 4 3 3 2 2 2 4" xfId="28826" xr:uid="{00000000-0005-0000-0000-000023A30000}"/>
    <cellStyle name="Normal 4 3 3 2 2 3" xfId="9042" xr:uid="{00000000-0005-0000-0000-000024A30000}"/>
    <cellStyle name="Normal 4 3 3 2 2 3 2" xfId="20343" xr:uid="{00000000-0005-0000-0000-000025A30000}"/>
    <cellStyle name="Normal 4 3 3 2 2 3 2 2" xfId="42945" xr:uid="{00000000-0005-0000-0000-000026A30000}"/>
    <cellStyle name="Normal 4 3 3 2 2 3 3" xfId="31644" xr:uid="{00000000-0005-0000-0000-000027A30000}"/>
    <cellStyle name="Normal 4 3 3 2 2 4" xfId="14693" xr:uid="{00000000-0005-0000-0000-000028A30000}"/>
    <cellStyle name="Normal 4 3 3 2 2 4 2" xfId="37295" xr:uid="{00000000-0005-0000-0000-000029A30000}"/>
    <cellStyle name="Normal 4 3 3 2 2 5" xfId="25994" xr:uid="{00000000-0005-0000-0000-00002AA30000}"/>
    <cellStyle name="Normal 4 3 3 2 3" xfId="4990" xr:uid="{00000000-0005-0000-0000-00002BA30000}"/>
    <cellStyle name="Normal 4 3 3 2 3 2" xfId="10640" xr:uid="{00000000-0005-0000-0000-00002CA30000}"/>
    <cellStyle name="Normal 4 3 3 2 3 2 2" xfId="21941" xr:uid="{00000000-0005-0000-0000-00002DA30000}"/>
    <cellStyle name="Normal 4 3 3 2 3 2 2 2" xfId="44543" xr:uid="{00000000-0005-0000-0000-00002EA30000}"/>
    <cellStyle name="Normal 4 3 3 2 3 2 3" xfId="33242" xr:uid="{00000000-0005-0000-0000-00002FA30000}"/>
    <cellStyle name="Normal 4 3 3 2 3 3" xfId="16291" xr:uid="{00000000-0005-0000-0000-000030A30000}"/>
    <cellStyle name="Normal 4 3 3 2 3 3 2" xfId="38893" xr:uid="{00000000-0005-0000-0000-000031A30000}"/>
    <cellStyle name="Normal 4 3 3 2 3 4" xfId="27592" xr:uid="{00000000-0005-0000-0000-000032A30000}"/>
    <cellStyle name="Normal 4 3 3 2 4" xfId="7960" xr:uid="{00000000-0005-0000-0000-000033A30000}"/>
    <cellStyle name="Normal 4 3 3 2 4 2" xfId="19261" xr:uid="{00000000-0005-0000-0000-000034A30000}"/>
    <cellStyle name="Normal 4 3 3 2 4 2 2" xfId="41863" xr:uid="{00000000-0005-0000-0000-000035A30000}"/>
    <cellStyle name="Normal 4 3 3 2 4 3" xfId="30562" xr:uid="{00000000-0005-0000-0000-000036A30000}"/>
    <cellStyle name="Normal 4 3 3 2 5" xfId="13611" xr:uid="{00000000-0005-0000-0000-000037A30000}"/>
    <cellStyle name="Normal 4 3 3 2 5 2" xfId="36213" xr:uid="{00000000-0005-0000-0000-000038A30000}"/>
    <cellStyle name="Normal 4 3 3 2 6" xfId="24912" xr:uid="{00000000-0005-0000-0000-000039A30000}"/>
    <cellStyle name="Normal 4 3 3 3" xfId="2581" xr:uid="{00000000-0005-0000-0000-00003AA30000}"/>
    <cellStyle name="Normal 4 3 3 3 2" xfId="5600" xr:uid="{00000000-0005-0000-0000-00003BA30000}"/>
    <cellStyle name="Normal 4 3 3 3 2 2" xfId="11250" xr:uid="{00000000-0005-0000-0000-00003CA30000}"/>
    <cellStyle name="Normal 4 3 3 3 2 2 2" xfId="22551" xr:uid="{00000000-0005-0000-0000-00003DA30000}"/>
    <cellStyle name="Normal 4 3 3 3 2 2 2 2" xfId="45153" xr:uid="{00000000-0005-0000-0000-00003EA30000}"/>
    <cellStyle name="Normal 4 3 3 3 2 2 3" xfId="33852" xr:uid="{00000000-0005-0000-0000-00003FA30000}"/>
    <cellStyle name="Normal 4 3 3 3 2 3" xfId="16901" xr:uid="{00000000-0005-0000-0000-000040A30000}"/>
    <cellStyle name="Normal 4 3 3 3 2 3 2" xfId="39503" xr:uid="{00000000-0005-0000-0000-000041A30000}"/>
    <cellStyle name="Normal 4 3 3 3 2 4" xfId="28202" xr:uid="{00000000-0005-0000-0000-000042A30000}"/>
    <cellStyle name="Normal 4 3 3 3 3" xfId="8417" xr:uid="{00000000-0005-0000-0000-000043A30000}"/>
    <cellStyle name="Normal 4 3 3 3 3 2" xfId="19718" xr:uid="{00000000-0005-0000-0000-000044A30000}"/>
    <cellStyle name="Normal 4 3 3 3 3 2 2" xfId="42320" xr:uid="{00000000-0005-0000-0000-000045A30000}"/>
    <cellStyle name="Normal 4 3 3 3 3 3" xfId="31019" xr:uid="{00000000-0005-0000-0000-000046A30000}"/>
    <cellStyle name="Normal 4 3 3 3 4" xfId="14068" xr:uid="{00000000-0005-0000-0000-000047A30000}"/>
    <cellStyle name="Normal 4 3 3 3 4 2" xfId="36670" xr:uid="{00000000-0005-0000-0000-000048A30000}"/>
    <cellStyle name="Normal 4 3 3 3 5" xfId="25369" xr:uid="{00000000-0005-0000-0000-000049A30000}"/>
    <cellStyle name="Normal 4 3 3 4" xfId="4366" xr:uid="{00000000-0005-0000-0000-00004AA30000}"/>
    <cellStyle name="Normal 4 3 3 4 2" xfId="10016" xr:uid="{00000000-0005-0000-0000-00004BA30000}"/>
    <cellStyle name="Normal 4 3 3 4 2 2" xfId="21317" xr:uid="{00000000-0005-0000-0000-00004CA30000}"/>
    <cellStyle name="Normal 4 3 3 4 2 2 2" xfId="43919" xr:uid="{00000000-0005-0000-0000-00004DA30000}"/>
    <cellStyle name="Normal 4 3 3 4 2 3" xfId="32618" xr:uid="{00000000-0005-0000-0000-00004EA30000}"/>
    <cellStyle name="Normal 4 3 3 4 3" xfId="15667" xr:uid="{00000000-0005-0000-0000-00004FA30000}"/>
    <cellStyle name="Normal 4 3 3 4 3 2" xfId="38269" xr:uid="{00000000-0005-0000-0000-000050A30000}"/>
    <cellStyle name="Normal 4 3 3 4 4" xfId="26968" xr:uid="{00000000-0005-0000-0000-000051A30000}"/>
    <cellStyle name="Normal 4 3 3 5" xfId="7163" xr:uid="{00000000-0005-0000-0000-000052A30000}"/>
    <cellStyle name="Normal 4 3 3 5 2" xfId="18464" xr:uid="{00000000-0005-0000-0000-000053A30000}"/>
    <cellStyle name="Normal 4 3 3 5 2 2" xfId="41066" xr:uid="{00000000-0005-0000-0000-000054A30000}"/>
    <cellStyle name="Normal 4 3 3 5 3" xfId="29765" xr:uid="{00000000-0005-0000-0000-000055A30000}"/>
    <cellStyle name="Normal 4 3 3 6" xfId="12814" xr:uid="{00000000-0005-0000-0000-000056A30000}"/>
    <cellStyle name="Normal 4 3 3 6 2" xfId="35416" xr:uid="{00000000-0005-0000-0000-000057A30000}"/>
    <cellStyle name="Normal 4 3 3 7" xfId="24115" xr:uid="{00000000-0005-0000-0000-000058A30000}"/>
    <cellStyle name="Normal 4 3 4" xfId="874" xr:uid="{00000000-0005-0000-0000-000059A30000}"/>
    <cellStyle name="Normal 4 3 4 2" xfId="2945" xr:uid="{00000000-0005-0000-0000-00005AA30000}"/>
    <cellStyle name="Normal 4 3 4 2 2" xfId="5917" xr:uid="{00000000-0005-0000-0000-00005BA30000}"/>
    <cellStyle name="Normal 4 3 4 2 2 2" xfId="11567" xr:uid="{00000000-0005-0000-0000-00005CA30000}"/>
    <cellStyle name="Normal 4 3 4 2 2 2 2" xfId="22868" xr:uid="{00000000-0005-0000-0000-00005DA30000}"/>
    <cellStyle name="Normal 4 3 4 2 2 2 2 2" xfId="45470" xr:uid="{00000000-0005-0000-0000-00005EA30000}"/>
    <cellStyle name="Normal 4 3 4 2 2 2 3" xfId="34169" xr:uid="{00000000-0005-0000-0000-00005FA30000}"/>
    <cellStyle name="Normal 4 3 4 2 2 3" xfId="17218" xr:uid="{00000000-0005-0000-0000-000060A30000}"/>
    <cellStyle name="Normal 4 3 4 2 2 3 2" xfId="39820" xr:uid="{00000000-0005-0000-0000-000061A30000}"/>
    <cellStyle name="Normal 4 3 4 2 2 4" xfId="28519" xr:uid="{00000000-0005-0000-0000-000062A30000}"/>
    <cellStyle name="Normal 4 3 4 2 3" xfId="8735" xr:uid="{00000000-0005-0000-0000-000063A30000}"/>
    <cellStyle name="Normal 4 3 4 2 3 2" xfId="20036" xr:uid="{00000000-0005-0000-0000-000064A30000}"/>
    <cellStyle name="Normal 4 3 4 2 3 2 2" xfId="42638" xr:uid="{00000000-0005-0000-0000-000065A30000}"/>
    <cellStyle name="Normal 4 3 4 2 3 3" xfId="31337" xr:uid="{00000000-0005-0000-0000-000066A30000}"/>
    <cellStyle name="Normal 4 3 4 2 4" xfId="14386" xr:uid="{00000000-0005-0000-0000-000067A30000}"/>
    <cellStyle name="Normal 4 3 4 2 4 2" xfId="36988" xr:uid="{00000000-0005-0000-0000-000068A30000}"/>
    <cellStyle name="Normal 4 3 4 2 5" xfId="25687" xr:uid="{00000000-0005-0000-0000-000069A30000}"/>
    <cellStyle name="Normal 4 3 4 3" xfId="4683" xr:uid="{00000000-0005-0000-0000-00006AA30000}"/>
    <cellStyle name="Normal 4 3 4 3 2" xfId="10333" xr:uid="{00000000-0005-0000-0000-00006BA30000}"/>
    <cellStyle name="Normal 4 3 4 3 2 2" xfId="21634" xr:uid="{00000000-0005-0000-0000-00006CA30000}"/>
    <cellStyle name="Normal 4 3 4 3 2 2 2" xfId="44236" xr:uid="{00000000-0005-0000-0000-00006DA30000}"/>
    <cellStyle name="Normal 4 3 4 3 2 3" xfId="32935" xr:uid="{00000000-0005-0000-0000-00006EA30000}"/>
    <cellStyle name="Normal 4 3 4 3 3" xfId="15984" xr:uid="{00000000-0005-0000-0000-00006FA30000}"/>
    <cellStyle name="Normal 4 3 4 3 3 2" xfId="38586" xr:uid="{00000000-0005-0000-0000-000070A30000}"/>
    <cellStyle name="Normal 4 3 4 3 4" xfId="27285" xr:uid="{00000000-0005-0000-0000-000071A30000}"/>
    <cellStyle name="Normal 4 3 4 4" xfId="6870" xr:uid="{00000000-0005-0000-0000-000072A30000}"/>
    <cellStyle name="Normal 4 3 4 4 2" xfId="18171" xr:uid="{00000000-0005-0000-0000-000073A30000}"/>
    <cellStyle name="Normal 4 3 4 4 2 2" xfId="40773" xr:uid="{00000000-0005-0000-0000-000074A30000}"/>
    <cellStyle name="Normal 4 3 4 4 3" xfId="29472" xr:uid="{00000000-0005-0000-0000-000075A30000}"/>
    <cellStyle name="Normal 4 3 4 5" xfId="12521" xr:uid="{00000000-0005-0000-0000-000076A30000}"/>
    <cellStyle name="Normal 4 3 4 5 2" xfId="35123" xr:uid="{00000000-0005-0000-0000-000077A30000}"/>
    <cellStyle name="Normal 4 3 4 6" xfId="23822" xr:uid="{00000000-0005-0000-0000-000078A30000}"/>
    <cellStyle name="Normal 4 3 5" xfId="2101" xr:uid="{00000000-0005-0000-0000-000079A30000}"/>
    <cellStyle name="Normal 4 3 5 2" xfId="3856" xr:uid="{00000000-0005-0000-0000-00007AA30000}"/>
    <cellStyle name="Normal 4 3 5 2 2" xfId="9564" xr:uid="{00000000-0005-0000-0000-00007BA30000}"/>
    <cellStyle name="Normal 4 3 5 2 2 2" xfId="20865" xr:uid="{00000000-0005-0000-0000-00007CA30000}"/>
    <cellStyle name="Normal 4 3 5 2 2 2 2" xfId="43467" xr:uid="{00000000-0005-0000-0000-00007DA30000}"/>
    <cellStyle name="Normal 4 3 5 2 2 3" xfId="32166" xr:uid="{00000000-0005-0000-0000-00007EA30000}"/>
    <cellStyle name="Normal 4 3 5 2 3" xfId="15215" xr:uid="{00000000-0005-0000-0000-00007FA30000}"/>
    <cellStyle name="Normal 4 3 5 2 3 2" xfId="37817" xr:uid="{00000000-0005-0000-0000-000080A30000}"/>
    <cellStyle name="Normal 4 3 5 2 4" xfId="26516" xr:uid="{00000000-0005-0000-0000-000081A30000}"/>
    <cellStyle name="Normal 4 3 5 3" xfId="5293" xr:uid="{00000000-0005-0000-0000-000082A30000}"/>
    <cellStyle name="Normal 4 3 5 3 2" xfId="10943" xr:uid="{00000000-0005-0000-0000-000083A30000}"/>
    <cellStyle name="Normal 4 3 5 3 2 2" xfId="22244" xr:uid="{00000000-0005-0000-0000-000084A30000}"/>
    <cellStyle name="Normal 4 3 5 3 2 2 2" xfId="44846" xr:uid="{00000000-0005-0000-0000-000085A30000}"/>
    <cellStyle name="Normal 4 3 5 3 2 3" xfId="33545" xr:uid="{00000000-0005-0000-0000-000086A30000}"/>
    <cellStyle name="Normal 4 3 5 3 3" xfId="16594" xr:uid="{00000000-0005-0000-0000-000087A30000}"/>
    <cellStyle name="Normal 4 3 5 3 3 2" xfId="39196" xr:uid="{00000000-0005-0000-0000-000088A30000}"/>
    <cellStyle name="Normal 4 3 5 3 4" xfId="27895" xr:uid="{00000000-0005-0000-0000-000089A30000}"/>
    <cellStyle name="Normal 4 3 5 4" xfId="7957" xr:uid="{00000000-0005-0000-0000-00008AA30000}"/>
    <cellStyle name="Normal 4 3 5 4 2" xfId="19258" xr:uid="{00000000-0005-0000-0000-00008BA30000}"/>
    <cellStyle name="Normal 4 3 5 4 2 2" xfId="41860" xr:uid="{00000000-0005-0000-0000-00008CA30000}"/>
    <cellStyle name="Normal 4 3 5 4 3" xfId="30559" xr:uid="{00000000-0005-0000-0000-00008DA30000}"/>
    <cellStyle name="Normal 4 3 5 5" xfId="13608" xr:uid="{00000000-0005-0000-0000-00008EA30000}"/>
    <cellStyle name="Normal 4 3 5 5 2" xfId="36210" xr:uid="{00000000-0005-0000-0000-00008FA30000}"/>
    <cellStyle name="Normal 4 3 5 6" xfId="24909" xr:uid="{00000000-0005-0000-0000-000090A30000}"/>
    <cellStyle name="Normal 4 3 6" xfId="2272" xr:uid="{00000000-0005-0000-0000-000091A30000}"/>
    <cellStyle name="Normal 4 3 6 2" xfId="8108" xr:uid="{00000000-0005-0000-0000-000092A30000}"/>
    <cellStyle name="Normal 4 3 6 2 2" xfId="19409" xr:uid="{00000000-0005-0000-0000-000093A30000}"/>
    <cellStyle name="Normal 4 3 6 2 2 2" xfId="42011" xr:uid="{00000000-0005-0000-0000-000094A30000}"/>
    <cellStyle name="Normal 4 3 6 2 3" xfId="30710" xr:uid="{00000000-0005-0000-0000-000095A30000}"/>
    <cellStyle name="Normal 4 3 6 3" xfId="13759" xr:uid="{00000000-0005-0000-0000-000096A30000}"/>
    <cellStyle name="Normal 4 3 6 3 2" xfId="36361" xr:uid="{00000000-0005-0000-0000-000097A30000}"/>
    <cellStyle name="Normal 4 3 6 4" xfId="25060" xr:uid="{00000000-0005-0000-0000-000098A30000}"/>
    <cellStyle name="Normal 4 3 7" xfId="4059" xr:uid="{00000000-0005-0000-0000-000099A30000}"/>
    <cellStyle name="Normal 4 3 7 2" xfId="9709" xr:uid="{00000000-0005-0000-0000-00009AA30000}"/>
    <cellStyle name="Normal 4 3 7 2 2" xfId="21010" xr:uid="{00000000-0005-0000-0000-00009BA30000}"/>
    <cellStyle name="Normal 4 3 7 2 2 2" xfId="43612" xr:uid="{00000000-0005-0000-0000-00009CA30000}"/>
    <cellStyle name="Normal 4 3 7 2 3" xfId="32311" xr:uid="{00000000-0005-0000-0000-00009DA30000}"/>
    <cellStyle name="Normal 4 3 7 3" xfId="15360" xr:uid="{00000000-0005-0000-0000-00009EA30000}"/>
    <cellStyle name="Normal 4 3 7 3 2" xfId="37962" xr:uid="{00000000-0005-0000-0000-00009FA30000}"/>
    <cellStyle name="Normal 4 3 7 4" xfId="26661" xr:uid="{00000000-0005-0000-0000-0000A0A30000}"/>
    <cellStyle name="Normal 4 3 8" xfId="6510" xr:uid="{00000000-0005-0000-0000-0000A1A30000}"/>
    <cellStyle name="Normal 4 3 8 2" xfId="17811" xr:uid="{00000000-0005-0000-0000-0000A2A30000}"/>
    <cellStyle name="Normal 4 3 8 2 2" xfId="40413" xr:uid="{00000000-0005-0000-0000-0000A3A30000}"/>
    <cellStyle name="Normal 4 3 8 3" xfId="29112" xr:uid="{00000000-0005-0000-0000-0000A4A30000}"/>
    <cellStyle name="Normal 4 3 9" xfId="12161" xr:uid="{00000000-0005-0000-0000-0000A5A30000}"/>
    <cellStyle name="Normal 4 3 9 2" xfId="34763" xr:uid="{00000000-0005-0000-0000-0000A6A30000}"/>
    <cellStyle name="Normal 4 4" xfId="416" xr:uid="{00000000-0005-0000-0000-0000A7A30000}"/>
    <cellStyle name="Normal 4 4 10" xfId="23511" xr:uid="{00000000-0005-0000-0000-0000A8A30000}"/>
    <cellStyle name="Normal 4 4 2" xfId="661" xr:uid="{00000000-0005-0000-0000-0000A9A30000}"/>
    <cellStyle name="Normal 4 4 2 2" xfId="1371" xr:uid="{00000000-0005-0000-0000-0000AAA30000}"/>
    <cellStyle name="Normal 4 4 2 2 2" xfId="2107" xr:uid="{00000000-0005-0000-0000-0000ABA30000}"/>
    <cellStyle name="Normal 4 4 2 2 2 2" xfId="3440" xr:uid="{00000000-0005-0000-0000-0000ACA30000}"/>
    <cellStyle name="Normal 4 4 2 2 2 2 2" xfId="6412" xr:uid="{00000000-0005-0000-0000-0000ADA30000}"/>
    <cellStyle name="Normal 4 4 2 2 2 2 2 2" xfId="12062" xr:uid="{00000000-0005-0000-0000-0000AEA30000}"/>
    <cellStyle name="Normal 4 4 2 2 2 2 2 2 2" xfId="23363" xr:uid="{00000000-0005-0000-0000-0000AFA30000}"/>
    <cellStyle name="Normal 4 4 2 2 2 2 2 2 2 2" xfId="45965" xr:uid="{00000000-0005-0000-0000-0000B0A30000}"/>
    <cellStyle name="Normal 4 4 2 2 2 2 2 2 3" xfId="34664" xr:uid="{00000000-0005-0000-0000-0000B1A30000}"/>
    <cellStyle name="Normal 4 4 2 2 2 2 2 3" xfId="17713" xr:uid="{00000000-0005-0000-0000-0000B2A30000}"/>
    <cellStyle name="Normal 4 4 2 2 2 2 2 3 2" xfId="40315" xr:uid="{00000000-0005-0000-0000-0000B3A30000}"/>
    <cellStyle name="Normal 4 4 2 2 2 2 2 4" xfId="29014" xr:uid="{00000000-0005-0000-0000-0000B4A30000}"/>
    <cellStyle name="Normal 4 4 2 2 2 2 3" xfId="9230" xr:uid="{00000000-0005-0000-0000-0000B5A30000}"/>
    <cellStyle name="Normal 4 4 2 2 2 2 3 2" xfId="20531" xr:uid="{00000000-0005-0000-0000-0000B6A30000}"/>
    <cellStyle name="Normal 4 4 2 2 2 2 3 2 2" xfId="43133" xr:uid="{00000000-0005-0000-0000-0000B7A30000}"/>
    <cellStyle name="Normal 4 4 2 2 2 2 3 3" xfId="31832" xr:uid="{00000000-0005-0000-0000-0000B8A30000}"/>
    <cellStyle name="Normal 4 4 2 2 2 2 4" xfId="14881" xr:uid="{00000000-0005-0000-0000-0000B9A30000}"/>
    <cellStyle name="Normal 4 4 2 2 2 2 4 2" xfId="37483" xr:uid="{00000000-0005-0000-0000-0000BAA30000}"/>
    <cellStyle name="Normal 4 4 2 2 2 2 5" xfId="26182" xr:uid="{00000000-0005-0000-0000-0000BBA30000}"/>
    <cellStyle name="Normal 4 4 2 2 2 3" xfId="5178" xr:uid="{00000000-0005-0000-0000-0000BCA30000}"/>
    <cellStyle name="Normal 4 4 2 2 2 3 2" xfId="10828" xr:uid="{00000000-0005-0000-0000-0000BDA30000}"/>
    <cellStyle name="Normal 4 4 2 2 2 3 2 2" xfId="22129" xr:uid="{00000000-0005-0000-0000-0000BEA30000}"/>
    <cellStyle name="Normal 4 4 2 2 2 3 2 2 2" xfId="44731" xr:uid="{00000000-0005-0000-0000-0000BFA30000}"/>
    <cellStyle name="Normal 4 4 2 2 2 3 2 3" xfId="33430" xr:uid="{00000000-0005-0000-0000-0000C0A30000}"/>
    <cellStyle name="Normal 4 4 2 2 2 3 3" xfId="16479" xr:uid="{00000000-0005-0000-0000-0000C1A30000}"/>
    <cellStyle name="Normal 4 4 2 2 2 3 3 2" xfId="39081" xr:uid="{00000000-0005-0000-0000-0000C2A30000}"/>
    <cellStyle name="Normal 4 4 2 2 2 3 4" xfId="27780" xr:uid="{00000000-0005-0000-0000-0000C3A30000}"/>
    <cellStyle name="Normal 4 4 2 2 2 4" xfId="7963" xr:uid="{00000000-0005-0000-0000-0000C4A30000}"/>
    <cellStyle name="Normal 4 4 2 2 2 4 2" xfId="19264" xr:uid="{00000000-0005-0000-0000-0000C5A30000}"/>
    <cellStyle name="Normal 4 4 2 2 2 4 2 2" xfId="41866" xr:uid="{00000000-0005-0000-0000-0000C6A30000}"/>
    <cellStyle name="Normal 4 4 2 2 2 4 3" xfId="30565" xr:uid="{00000000-0005-0000-0000-0000C7A30000}"/>
    <cellStyle name="Normal 4 4 2 2 2 5" xfId="13614" xr:uid="{00000000-0005-0000-0000-0000C8A30000}"/>
    <cellStyle name="Normal 4 4 2 2 2 5 2" xfId="36216" xr:uid="{00000000-0005-0000-0000-0000C9A30000}"/>
    <cellStyle name="Normal 4 4 2 2 2 6" xfId="24915" xr:uid="{00000000-0005-0000-0000-0000CAA30000}"/>
    <cellStyle name="Normal 4 4 2 2 3" xfId="2769" xr:uid="{00000000-0005-0000-0000-0000CBA30000}"/>
    <cellStyle name="Normal 4 4 2 2 3 2" xfId="5788" xr:uid="{00000000-0005-0000-0000-0000CCA30000}"/>
    <cellStyle name="Normal 4 4 2 2 3 2 2" xfId="11438" xr:uid="{00000000-0005-0000-0000-0000CDA30000}"/>
    <cellStyle name="Normal 4 4 2 2 3 2 2 2" xfId="22739" xr:uid="{00000000-0005-0000-0000-0000CEA30000}"/>
    <cellStyle name="Normal 4 4 2 2 3 2 2 2 2" xfId="45341" xr:uid="{00000000-0005-0000-0000-0000CFA30000}"/>
    <cellStyle name="Normal 4 4 2 2 3 2 2 3" xfId="34040" xr:uid="{00000000-0005-0000-0000-0000D0A30000}"/>
    <cellStyle name="Normal 4 4 2 2 3 2 3" xfId="17089" xr:uid="{00000000-0005-0000-0000-0000D1A30000}"/>
    <cellStyle name="Normal 4 4 2 2 3 2 3 2" xfId="39691" xr:uid="{00000000-0005-0000-0000-0000D2A30000}"/>
    <cellStyle name="Normal 4 4 2 2 3 2 4" xfId="28390" xr:uid="{00000000-0005-0000-0000-0000D3A30000}"/>
    <cellStyle name="Normal 4 4 2 2 3 3" xfId="8605" xr:uid="{00000000-0005-0000-0000-0000D4A30000}"/>
    <cellStyle name="Normal 4 4 2 2 3 3 2" xfId="19906" xr:uid="{00000000-0005-0000-0000-0000D5A30000}"/>
    <cellStyle name="Normal 4 4 2 2 3 3 2 2" xfId="42508" xr:uid="{00000000-0005-0000-0000-0000D6A30000}"/>
    <cellStyle name="Normal 4 4 2 2 3 3 3" xfId="31207" xr:uid="{00000000-0005-0000-0000-0000D7A30000}"/>
    <cellStyle name="Normal 4 4 2 2 3 4" xfId="14256" xr:uid="{00000000-0005-0000-0000-0000D8A30000}"/>
    <cellStyle name="Normal 4 4 2 2 3 4 2" xfId="36858" xr:uid="{00000000-0005-0000-0000-0000D9A30000}"/>
    <cellStyle name="Normal 4 4 2 2 3 5" xfId="25557" xr:uid="{00000000-0005-0000-0000-0000DAA30000}"/>
    <cellStyle name="Normal 4 4 2 2 4" xfId="4554" xr:uid="{00000000-0005-0000-0000-0000DBA30000}"/>
    <cellStyle name="Normal 4 4 2 2 4 2" xfId="10204" xr:uid="{00000000-0005-0000-0000-0000DCA30000}"/>
    <cellStyle name="Normal 4 4 2 2 4 2 2" xfId="21505" xr:uid="{00000000-0005-0000-0000-0000DDA30000}"/>
    <cellStyle name="Normal 4 4 2 2 4 2 2 2" xfId="44107" xr:uid="{00000000-0005-0000-0000-0000DEA30000}"/>
    <cellStyle name="Normal 4 4 2 2 4 2 3" xfId="32806" xr:uid="{00000000-0005-0000-0000-0000DFA30000}"/>
    <cellStyle name="Normal 4 4 2 2 4 3" xfId="15855" xr:uid="{00000000-0005-0000-0000-0000E0A30000}"/>
    <cellStyle name="Normal 4 4 2 2 4 3 2" xfId="38457" xr:uid="{00000000-0005-0000-0000-0000E1A30000}"/>
    <cellStyle name="Normal 4 4 2 2 4 4" xfId="27156" xr:uid="{00000000-0005-0000-0000-0000E2A30000}"/>
    <cellStyle name="Normal 4 4 2 2 5" xfId="7350" xr:uid="{00000000-0005-0000-0000-0000E3A30000}"/>
    <cellStyle name="Normal 4 4 2 2 5 2" xfId="18651" xr:uid="{00000000-0005-0000-0000-0000E4A30000}"/>
    <cellStyle name="Normal 4 4 2 2 5 2 2" xfId="41253" xr:uid="{00000000-0005-0000-0000-0000E5A30000}"/>
    <cellStyle name="Normal 4 4 2 2 5 3" xfId="29952" xr:uid="{00000000-0005-0000-0000-0000E6A30000}"/>
    <cellStyle name="Normal 4 4 2 2 6" xfId="13001" xr:uid="{00000000-0005-0000-0000-0000E7A30000}"/>
    <cellStyle name="Normal 4 4 2 2 6 2" xfId="35603" xr:uid="{00000000-0005-0000-0000-0000E8A30000}"/>
    <cellStyle name="Normal 4 4 2 2 7" xfId="24302" xr:uid="{00000000-0005-0000-0000-0000E9A30000}"/>
    <cellStyle name="Normal 4 4 2 3" xfId="1069" xr:uid="{00000000-0005-0000-0000-0000EAA30000}"/>
    <cellStyle name="Normal 4 4 2 3 2" xfId="3132" xr:uid="{00000000-0005-0000-0000-0000EBA30000}"/>
    <cellStyle name="Normal 4 4 2 3 2 2" xfId="6104" xr:uid="{00000000-0005-0000-0000-0000ECA30000}"/>
    <cellStyle name="Normal 4 4 2 3 2 2 2" xfId="11754" xr:uid="{00000000-0005-0000-0000-0000EDA30000}"/>
    <cellStyle name="Normal 4 4 2 3 2 2 2 2" xfId="23055" xr:uid="{00000000-0005-0000-0000-0000EEA30000}"/>
    <cellStyle name="Normal 4 4 2 3 2 2 2 2 2" xfId="45657" xr:uid="{00000000-0005-0000-0000-0000EFA30000}"/>
    <cellStyle name="Normal 4 4 2 3 2 2 2 3" xfId="34356" xr:uid="{00000000-0005-0000-0000-0000F0A30000}"/>
    <cellStyle name="Normal 4 4 2 3 2 2 3" xfId="17405" xr:uid="{00000000-0005-0000-0000-0000F1A30000}"/>
    <cellStyle name="Normal 4 4 2 3 2 2 3 2" xfId="40007" xr:uid="{00000000-0005-0000-0000-0000F2A30000}"/>
    <cellStyle name="Normal 4 4 2 3 2 2 4" xfId="28706" xr:uid="{00000000-0005-0000-0000-0000F3A30000}"/>
    <cellStyle name="Normal 4 4 2 3 2 3" xfId="8922" xr:uid="{00000000-0005-0000-0000-0000F4A30000}"/>
    <cellStyle name="Normal 4 4 2 3 2 3 2" xfId="20223" xr:uid="{00000000-0005-0000-0000-0000F5A30000}"/>
    <cellStyle name="Normal 4 4 2 3 2 3 2 2" xfId="42825" xr:uid="{00000000-0005-0000-0000-0000F6A30000}"/>
    <cellStyle name="Normal 4 4 2 3 2 3 3" xfId="31524" xr:uid="{00000000-0005-0000-0000-0000F7A30000}"/>
    <cellStyle name="Normal 4 4 2 3 2 4" xfId="14573" xr:uid="{00000000-0005-0000-0000-0000F8A30000}"/>
    <cellStyle name="Normal 4 4 2 3 2 4 2" xfId="37175" xr:uid="{00000000-0005-0000-0000-0000F9A30000}"/>
    <cellStyle name="Normal 4 4 2 3 2 5" xfId="25874" xr:uid="{00000000-0005-0000-0000-0000FAA30000}"/>
    <cellStyle name="Normal 4 4 2 3 3" xfId="4870" xr:uid="{00000000-0005-0000-0000-0000FBA30000}"/>
    <cellStyle name="Normal 4 4 2 3 3 2" xfId="10520" xr:uid="{00000000-0005-0000-0000-0000FCA30000}"/>
    <cellStyle name="Normal 4 4 2 3 3 2 2" xfId="21821" xr:uid="{00000000-0005-0000-0000-0000FDA30000}"/>
    <cellStyle name="Normal 4 4 2 3 3 2 2 2" xfId="44423" xr:uid="{00000000-0005-0000-0000-0000FEA30000}"/>
    <cellStyle name="Normal 4 4 2 3 3 2 3" xfId="33122" xr:uid="{00000000-0005-0000-0000-0000FFA30000}"/>
    <cellStyle name="Normal 4 4 2 3 3 3" xfId="16171" xr:uid="{00000000-0005-0000-0000-000000A40000}"/>
    <cellStyle name="Normal 4 4 2 3 3 3 2" xfId="38773" xr:uid="{00000000-0005-0000-0000-000001A40000}"/>
    <cellStyle name="Normal 4 4 2 3 3 4" xfId="27472" xr:uid="{00000000-0005-0000-0000-000002A40000}"/>
    <cellStyle name="Normal 4 4 2 3 4" xfId="7057" xr:uid="{00000000-0005-0000-0000-000003A40000}"/>
    <cellStyle name="Normal 4 4 2 3 4 2" xfId="18358" xr:uid="{00000000-0005-0000-0000-000004A40000}"/>
    <cellStyle name="Normal 4 4 2 3 4 2 2" xfId="40960" xr:uid="{00000000-0005-0000-0000-000005A40000}"/>
    <cellStyle name="Normal 4 4 2 3 4 3" xfId="29659" xr:uid="{00000000-0005-0000-0000-000006A40000}"/>
    <cellStyle name="Normal 4 4 2 3 5" xfId="12708" xr:uid="{00000000-0005-0000-0000-000007A40000}"/>
    <cellStyle name="Normal 4 4 2 3 5 2" xfId="35310" xr:uid="{00000000-0005-0000-0000-000008A40000}"/>
    <cellStyle name="Normal 4 4 2 3 6" xfId="24009" xr:uid="{00000000-0005-0000-0000-000009A40000}"/>
    <cellStyle name="Normal 4 4 2 4" xfId="2106" xr:uid="{00000000-0005-0000-0000-00000AA40000}"/>
    <cellStyle name="Normal 4 4 2 4 2" xfId="3859" xr:uid="{00000000-0005-0000-0000-00000BA40000}"/>
    <cellStyle name="Normal 4 4 2 4 2 2" xfId="9567" xr:uid="{00000000-0005-0000-0000-00000CA40000}"/>
    <cellStyle name="Normal 4 4 2 4 2 2 2" xfId="20868" xr:uid="{00000000-0005-0000-0000-00000DA40000}"/>
    <cellStyle name="Normal 4 4 2 4 2 2 2 2" xfId="43470" xr:uid="{00000000-0005-0000-0000-00000EA40000}"/>
    <cellStyle name="Normal 4 4 2 4 2 2 3" xfId="32169" xr:uid="{00000000-0005-0000-0000-00000FA40000}"/>
    <cellStyle name="Normal 4 4 2 4 2 3" xfId="15218" xr:uid="{00000000-0005-0000-0000-000010A40000}"/>
    <cellStyle name="Normal 4 4 2 4 2 3 2" xfId="37820" xr:uid="{00000000-0005-0000-0000-000011A40000}"/>
    <cellStyle name="Normal 4 4 2 4 2 4" xfId="26519" xr:uid="{00000000-0005-0000-0000-000012A40000}"/>
    <cellStyle name="Normal 4 4 2 4 3" xfId="5480" xr:uid="{00000000-0005-0000-0000-000013A40000}"/>
    <cellStyle name="Normal 4 4 2 4 3 2" xfId="11130" xr:uid="{00000000-0005-0000-0000-000014A40000}"/>
    <cellStyle name="Normal 4 4 2 4 3 2 2" xfId="22431" xr:uid="{00000000-0005-0000-0000-000015A40000}"/>
    <cellStyle name="Normal 4 4 2 4 3 2 2 2" xfId="45033" xr:uid="{00000000-0005-0000-0000-000016A40000}"/>
    <cellStyle name="Normal 4 4 2 4 3 2 3" xfId="33732" xr:uid="{00000000-0005-0000-0000-000017A40000}"/>
    <cellStyle name="Normal 4 4 2 4 3 3" xfId="16781" xr:uid="{00000000-0005-0000-0000-000018A40000}"/>
    <cellStyle name="Normal 4 4 2 4 3 3 2" xfId="39383" xr:uid="{00000000-0005-0000-0000-000019A40000}"/>
    <cellStyle name="Normal 4 4 2 4 3 4" xfId="28082" xr:uid="{00000000-0005-0000-0000-00001AA40000}"/>
    <cellStyle name="Normal 4 4 2 4 4" xfId="7962" xr:uid="{00000000-0005-0000-0000-00001BA40000}"/>
    <cellStyle name="Normal 4 4 2 4 4 2" xfId="19263" xr:uid="{00000000-0005-0000-0000-00001CA40000}"/>
    <cellStyle name="Normal 4 4 2 4 4 2 2" xfId="41865" xr:uid="{00000000-0005-0000-0000-00001DA40000}"/>
    <cellStyle name="Normal 4 4 2 4 4 3" xfId="30564" xr:uid="{00000000-0005-0000-0000-00001EA40000}"/>
    <cellStyle name="Normal 4 4 2 4 5" xfId="13613" xr:uid="{00000000-0005-0000-0000-00001FA40000}"/>
    <cellStyle name="Normal 4 4 2 4 5 2" xfId="36215" xr:uid="{00000000-0005-0000-0000-000020A40000}"/>
    <cellStyle name="Normal 4 4 2 4 6" xfId="24914" xr:uid="{00000000-0005-0000-0000-000021A40000}"/>
    <cellStyle name="Normal 4 4 2 5" xfId="2461" xr:uid="{00000000-0005-0000-0000-000022A40000}"/>
    <cellStyle name="Normal 4 4 2 5 2" xfId="8297" xr:uid="{00000000-0005-0000-0000-000023A40000}"/>
    <cellStyle name="Normal 4 4 2 5 2 2" xfId="19598" xr:uid="{00000000-0005-0000-0000-000024A40000}"/>
    <cellStyle name="Normal 4 4 2 5 2 2 2" xfId="42200" xr:uid="{00000000-0005-0000-0000-000025A40000}"/>
    <cellStyle name="Normal 4 4 2 5 2 3" xfId="30899" xr:uid="{00000000-0005-0000-0000-000026A40000}"/>
    <cellStyle name="Normal 4 4 2 5 3" xfId="13948" xr:uid="{00000000-0005-0000-0000-000027A40000}"/>
    <cellStyle name="Normal 4 4 2 5 3 2" xfId="36550" xr:uid="{00000000-0005-0000-0000-000028A40000}"/>
    <cellStyle name="Normal 4 4 2 5 4" xfId="25249" xr:uid="{00000000-0005-0000-0000-000029A40000}"/>
    <cellStyle name="Normal 4 4 2 6" xfId="4246" xr:uid="{00000000-0005-0000-0000-00002AA40000}"/>
    <cellStyle name="Normal 4 4 2 6 2" xfId="9896" xr:uid="{00000000-0005-0000-0000-00002BA40000}"/>
    <cellStyle name="Normal 4 4 2 6 2 2" xfId="21197" xr:uid="{00000000-0005-0000-0000-00002CA40000}"/>
    <cellStyle name="Normal 4 4 2 6 2 2 2" xfId="43799" xr:uid="{00000000-0005-0000-0000-00002DA40000}"/>
    <cellStyle name="Normal 4 4 2 6 2 3" xfId="32498" xr:uid="{00000000-0005-0000-0000-00002EA40000}"/>
    <cellStyle name="Normal 4 4 2 6 3" xfId="15547" xr:uid="{00000000-0005-0000-0000-00002FA40000}"/>
    <cellStyle name="Normal 4 4 2 6 3 2" xfId="38149" xr:uid="{00000000-0005-0000-0000-000030A40000}"/>
    <cellStyle name="Normal 4 4 2 6 4" xfId="26848" xr:uid="{00000000-0005-0000-0000-000031A40000}"/>
    <cellStyle name="Normal 4 4 2 7" xfId="6726" xr:uid="{00000000-0005-0000-0000-000032A40000}"/>
    <cellStyle name="Normal 4 4 2 7 2" xfId="18027" xr:uid="{00000000-0005-0000-0000-000033A40000}"/>
    <cellStyle name="Normal 4 4 2 7 2 2" xfId="40629" xr:uid="{00000000-0005-0000-0000-000034A40000}"/>
    <cellStyle name="Normal 4 4 2 7 3" xfId="29328" xr:uid="{00000000-0005-0000-0000-000035A40000}"/>
    <cellStyle name="Normal 4 4 2 8" xfId="12377" xr:uid="{00000000-0005-0000-0000-000036A40000}"/>
    <cellStyle name="Normal 4 4 2 8 2" xfId="34979" xr:uid="{00000000-0005-0000-0000-000037A40000}"/>
    <cellStyle name="Normal 4 4 2 9" xfId="23678" xr:uid="{00000000-0005-0000-0000-000038A40000}"/>
    <cellStyle name="Normal 4 4 3" xfId="1233" xr:uid="{00000000-0005-0000-0000-000039A40000}"/>
    <cellStyle name="Normal 4 4 3 2" xfId="2108" xr:uid="{00000000-0005-0000-0000-00003AA40000}"/>
    <cellStyle name="Normal 4 4 3 2 2" xfId="3301" xr:uid="{00000000-0005-0000-0000-00003BA40000}"/>
    <cellStyle name="Normal 4 4 3 2 2 2" xfId="6273" xr:uid="{00000000-0005-0000-0000-00003CA40000}"/>
    <cellStyle name="Normal 4 4 3 2 2 2 2" xfId="11923" xr:uid="{00000000-0005-0000-0000-00003DA40000}"/>
    <cellStyle name="Normal 4 4 3 2 2 2 2 2" xfId="23224" xr:uid="{00000000-0005-0000-0000-00003EA40000}"/>
    <cellStyle name="Normal 4 4 3 2 2 2 2 2 2" xfId="45826" xr:uid="{00000000-0005-0000-0000-00003FA40000}"/>
    <cellStyle name="Normal 4 4 3 2 2 2 2 3" xfId="34525" xr:uid="{00000000-0005-0000-0000-000040A40000}"/>
    <cellStyle name="Normal 4 4 3 2 2 2 3" xfId="17574" xr:uid="{00000000-0005-0000-0000-000041A40000}"/>
    <cellStyle name="Normal 4 4 3 2 2 2 3 2" xfId="40176" xr:uid="{00000000-0005-0000-0000-000042A40000}"/>
    <cellStyle name="Normal 4 4 3 2 2 2 4" xfId="28875" xr:uid="{00000000-0005-0000-0000-000043A40000}"/>
    <cellStyle name="Normal 4 4 3 2 2 3" xfId="9091" xr:uid="{00000000-0005-0000-0000-000044A40000}"/>
    <cellStyle name="Normal 4 4 3 2 2 3 2" xfId="20392" xr:uid="{00000000-0005-0000-0000-000045A40000}"/>
    <cellStyle name="Normal 4 4 3 2 2 3 2 2" xfId="42994" xr:uid="{00000000-0005-0000-0000-000046A40000}"/>
    <cellStyle name="Normal 4 4 3 2 2 3 3" xfId="31693" xr:uid="{00000000-0005-0000-0000-000047A40000}"/>
    <cellStyle name="Normal 4 4 3 2 2 4" xfId="14742" xr:uid="{00000000-0005-0000-0000-000048A40000}"/>
    <cellStyle name="Normal 4 4 3 2 2 4 2" xfId="37344" xr:uid="{00000000-0005-0000-0000-000049A40000}"/>
    <cellStyle name="Normal 4 4 3 2 2 5" xfId="26043" xr:uid="{00000000-0005-0000-0000-00004AA40000}"/>
    <cellStyle name="Normal 4 4 3 2 3" xfId="5039" xr:uid="{00000000-0005-0000-0000-00004BA40000}"/>
    <cellStyle name="Normal 4 4 3 2 3 2" xfId="10689" xr:uid="{00000000-0005-0000-0000-00004CA40000}"/>
    <cellStyle name="Normal 4 4 3 2 3 2 2" xfId="21990" xr:uid="{00000000-0005-0000-0000-00004DA40000}"/>
    <cellStyle name="Normal 4 4 3 2 3 2 2 2" xfId="44592" xr:uid="{00000000-0005-0000-0000-00004EA40000}"/>
    <cellStyle name="Normal 4 4 3 2 3 2 3" xfId="33291" xr:uid="{00000000-0005-0000-0000-00004FA40000}"/>
    <cellStyle name="Normal 4 4 3 2 3 3" xfId="16340" xr:uid="{00000000-0005-0000-0000-000050A40000}"/>
    <cellStyle name="Normal 4 4 3 2 3 3 2" xfId="38942" xr:uid="{00000000-0005-0000-0000-000051A40000}"/>
    <cellStyle name="Normal 4 4 3 2 3 4" xfId="27641" xr:uid="{00000000-0005-0000-0000-000052A40000}"/>
    <cellStyle name="Normal 4 4 3 2 4" xfId="7964" xr:uid="{00000000-0005-0000-0000-000053A40000}"/>
    <cellStyle name="Normal 4 4 3 2 4 2" xfId="19265" xr:uid="{00000000-0005-0000-0000-000054A40000}"/>
    <cellStyle name="Normal 4 4 3 2 4 2 2" xfId="41867" xr:uid="{00000000-0005-0000-0000-000055A40000}"/>
    <cellStyle name="Normal 4 4 3 2 4 3" xfId="30566" xr:uid="{00000000-0005-0000-0000-000056A40000}"/>
    <cellStyle name="Normal 4 4 3 2 5" xfId="13615" xr:uid="{00000000-0005-0000-0000-000057A40000}"/>
    <cellStyle name="Normal 4 4 3 2 5 2" xfId="36217" xr:uid="{00000000-0005-0000-0000-000058A40000}"/>
    <cellStyle name="Normal 4 4 3 2 6" xfId="24916" xr:uid="{00000000-0005-0000-0000-000059A40000}"/>
    <cellStyle name="Normal 4 4 3 3" xfId="2630" xr:uid="{00000000-0005-0000-0000-00005AA40000}"/>
    <cellStyle name="Normal 4 4 3 3 2" xfId="5649" xr:uid="{00000000-0005-0000-0000-00005BA40000}"/>
    <cellStyle name="Normal 4 4 3 3 2 2" xfId="11299" xr:uid="{00000000-0005-0000-0000-00005CA40000}"/>
    <cellStyle name="Normal 4 4 3 3 2 2 2" xfId="22600" xr:uid="{00000000-0005-0000-0000-00005DA40000}"/>
    <cellStyle name="Normal 4 4 3 3 2 2 2 2" xfId="45202" xr:uid="{00000000-0005-0000-0000-00005EA40000}"/>
    <cellStyle name="Normal 4 4 3 3 2 2 3" xfId="33901" xr:uid="{00000000-0005-0000-0000-00005FA40000}"/>
    <cellStyle name="Normal 4 4 3 3 2 3" xfId="16950" xr:uid="{00000000-0005-0000-0000-000060A40000}"/>
    <cellStyle name="Normal 4 4 3 3 2 3 2" xfId="39552" xr:uid="{00000000-0005-0000-0000-000061A40000}"/>
    <cellStyle name="Normal 4 4 3 3 2 4" xfId="28251" xr:uid="{00000000-0005-0000-0000-000062A40000}"/>
    <cellStyle name="Normal 4 4 3 3 3" xfId="8466" xr:uid="{00000000-0005-0000-0000-000063A40000}"/>
    <cellStyle name="Normal 4 4 3 3 3 2" xfId="19767" xr:uid="{00000000-0005-0000-0000-000064A40000}"/>
    <cellStyle name="Normal 4 4 3 3 3 2 2" xfId="42369" xr:uid="{00000000-0005-0000-0000-000065A40000}"/>
    <cellStyle name="Normal 4 4 3 3 3 3" xfId="31068" xr:uid="{00000000-0005-0000-0000-000066A40000}"/>
    <cellStyle name="Normal 4 4 3 3 4" xfId="14117" xr:uid="{00000000-0005-0000-0000-000067A40000}"/>
    <cellStyle name="Normal 4 4 3 3 4 2" xfId="36719" xr:uid="{00000000-0005-0000-0000-000068A40000}"/>
    <cellStyle name="Normal 4 4 3 3 5" xfId="25418" xr:uid="{00000000-0005-0000-0000-000069A40000}"/>
    <cellStyle name="Normal 4 4 3 4" xfId="4415" xr:uid="{00000000-0005-0000-0000-00006AA40000}"/>
    <cellStyle name="Normal 4 4 3 4 2" xfId="10065" xr:uid="{00000000-0005-0000-0000-00006BA40000}"/>
    <cellStyle name="Normal 4 4 3 4 2 2" xfId="21366" xr:uid="{00000000-0005-0000-0000-00006CA40000}"/>
    <cellStyle name="Normal 4 4 3 4 2 2 2" xfId="43968" xr:uid="{00000000-0005-0000-0000-00006DA40000}"/>
    <cellStyle name="Normal 4 4 3 4 2 3" xfId="32667" xr:uid="{00000000-0005-0000-0000-00006EA40000}"/>
    <cellStyle name="Normal 4 4 3 4 3" xfId="15716" xr:uid="{00000000-0005-0000-0000-00006FA40000}"/>
    <cellStyle name="Normal 4 4 3 4 3 2" xfId="38318" xr:uid="{00000000-0005-0000-0000-000070A40000}"/>
    <cellStyle name="Normal 4 4 3 4 4" xfId="27017" xr:uid="{00000000-0005-0000-0000-000071A40000}"/>
    <cellStyle name="Normal 4 4 3 5" xfId="7212" xr:uid="{00000000-0005-0000-0000-000072A40000}"/>
    <cellStyle name="Normal 4 4 3 5 2" xfId="18513" xr:uid="{00000000-0005-0000-0000-000073A40000}"/>
    <cellStyle name="Normal 4 4 3 5 2 2" xfId="41115" xr:uid="{00000000-0005-0000-0000-000074A40000}"/>
    <cellStyle name="Normal 4 4 3 5 3" xfId="29814" xr:uid="{00000000-0005-0000-0000-000075A40000}"/>
    <cellStyle name="Normal 4 4 3 6" xfId="12863" xr:uid="{00000000-0005-0000-0000-000076A40000}"/>
    <cellStyle name="Normal 4 4 3 6 2" xfId="35465" xr:uid="{00000000-0005-0000-0000-000077A40000}"/>
    <cellStyle name="Normal 4 4 3 7" xfId="24164" xr:uid="{00000000-0005-0000-0000-000078A40000}"/>
    <cellStyle name="Normal 4 4 4" xfId="924" xr:uid="{00000000-0005-0000-0000-000079A40000}"/>
    <cellStyle name="Normal 4 4 4 2" xfId="2994" xr:uid="{00000000-0005-0000-0000-00007AA40000}"/>
    <cellStyle name="Normal 4 4 4 2 2" xfId="5966" xr:uid="{00000000-0005-0000-0000-00007BA40000}"/>
    <cellStyle name="Normal 4 4 4 2 2 2" xfId="11616" xr:uid="{00000000-0005-0000-0000-00007CA40000}"/>
    <cellStyle name="Normal 4 4 4 2 2 2 2" xfId="22917" xr:uid="{00000000-0005-0000-0000-00007DA40000}"/>
    <cellStyle name="Normal 4 4 4 2 2 2 2 2" xfId="45519" xr:uid="{00000000-0005-0000-0000-00007EA40000}"/>
    <cellStyle name="Normal 4 4 4 2 2 2 3" xfId="34218" xr:uid="{00000000-0005-0000-0000-00007FA40000}"/>
    <cellStyle name="Normal 4 4 4 2 2 3" xfId="17267" xr:uid="{00000000-0005-0000-0000-000080A40000}"/>
    <cellStyle name="Normal 4 4 4 2 2 3 2" xfId="39869" xr:uid="{00000000-0005-0000-0000-000081A40000}"/>
    <cellStyle name="Normal 4 4 4 2 2 4" xfId="28568" xr:uid="{00000000-0005-0000-0000-000082A40000}"/>
    <cellStyle name="Normal 4 4 4 2 3" xfId="8784" xr:uid="{00000000-0005-0000-0000-000083A40000}"/>
    <cellStyle name="Normal 4 4 4 2 3 2" xfId="20085" xr:uid="{00000000-0005-0000-0000-000084A40000}"/>
    <cellStyle name="Normal 4 4 4 2 3 2 2" xfId="42687" xr:uid="{00000000-0005-0000-0000-000085A40000}"/>
    <cellStyle name="Normal 4 4 4 2 3 3" xfId="31386" xr:uid="{00000000-0005-0000-0000-000086A40000}"/>
    <cellStyle name="Normal 4 4 4 2 4" xfId="14435" xr:uid="{00000000-0005-0000-0000-000087A40000}"/>
    <cellStyle name="Normal 4 4 4 2 4 2" xfId="37037" xr:uid="{00000000-0005-0000-0000-000088A40000}"/>
    <cellStyle name="Normal 4 4 4 2 5" xfId="25736" xr:uid="{00000000-0005-0000-0000-000089A40000}"/>
    <cellStyle name="Normal 4 4 4 3" xfId="4732" xr:uid="{00000000-0005-0000-0000-00008AA40000}"/>
    <cellStyle name="Normal 4 4 4 3 2" xfId="10382" xr:uid="{00000000-0005-0000-0000-00008BA40000}"/>
    <cellStyle name="Normal 4 4 4 3 2 2" xfId="21683" xr:uid="{00000000-0005-0000-0000-00008CA40000}"/>
    <cellStyle name="Normal 4 4 4 3 2 2 2" xfId="44285" xr:uid="{00000000-0005-0000-0000-00008DA40000}"/>
    <cellStyle name="Normal 4 4 4 3 2 3" xfId="32984" xr:uid="{00000000-0005-0000-0000-00008EA40000}"/>
    <cellStyle name="Normal 4 4 4 3 3" xfId="16033" xr:uid="{00000000-0005-0000-0000-00008FA40000}"/>
    <cellStyle name="Normal 4 4 4 3 3 2" xfId="38635" xr:uid="{00000000-0005-0000-0000-000090A40000}"/>
    <cellStyle name="Normal 4 4 4 3 4" xfId="27334" xr:uid="{00000000-0005-0000-0000-000091A40000}"/>
    <cellStyle name="Normal 4 4 4 4" xfId="6919" xr:uid="{00000000-0005-0000-0000-000092A40000}"/>
    <cellStyle name="Normal 4 4 4 4 2" xfId="18220" xr:uid="{00000000-0005-0000-0000-000093A40000}"/>
    <cellStyle name="Normal 4 4 4 4 2 2" xfId="40822" xr:uid="{00000000-0005-0000-0000-000094A40000}"/>
    <cellStyle name="Normal 4 4 4 4 3" xfId="29521" xr:uid="{00000000-0005-0000-0000-000095A40000}"/>
    <cellStyle name="Normal 4 4 4 5" xfId="12570" xr:uid="{00000000-0005-0000-0000-000096A40000}"/>
    <cellStyle name="Normal 4 4 4 5 2" xfId="35172" xr:uid="{00000000-0005-0000-0000-000097A40000}"/>
    <cellStyle name="Normal 4 4 4 6" xfId="23871" xr:uid="{00000000-0005-0000-0000-000098A40000}"/>
    <cellStyle name="Normal 4 4 5" xfId="2105" xr:uid="{00000000-0005-0000-0000-000099A40000}"/>
    <cellStyle name="Normal 4 4 5 2" xfId="3858" xr:uid="{00000000-0005-0000-0000-00009AA40000}"/>
    <cellStyle name="Normal 4 4 5 2 2" xfId="9566" xr:uid="{00000000-0005-0000-0000-00009BA40000}"/>
    <cellStyle name="Normal 4 4 5 2 2 2" xfId="20867" xr:uid="{00000000-0005-0000-0000-00009CA40000}"/>
    <cellStyle name="Normal 4 4 5 2 2 2 2" xfId="43469" xr:uid="{00000000-0005-0000-0000-00009DA40000}"/>
    <cellStyle name="Normal 4 4 5 2 2 3" xfId="32168" xr:uid="{00000000-0005-0000-0000-00009EA40000}"/>
    <cellStyle name="Normal 4 4 5 2 3" xfId="15217" xr:uid="{00000000-0005-0000-0000-00009FA40000}"/>
    <cellStyle name="Normal 4 4 5 2 3 2" xfId="37819" xr:uid="{00000000-0005-0000-0000-0000A0A40000}"/>
    <cellStyle name="Normal 4 4 5 2 4" xfId="26518" xr:uid="{00000000-0005-0000-0000-0000A1A40000}"/>
    <cellStyle name="Normal 4 4 5 3" xfId="5342" xr:uid="{00000000-0005-0000-0000-0000A2A40000}"/>
    <cellStyle name="Normal 4 4 5 3 2" xfId="10992" xr:uid="{00000000-0005-0000-0000-0000A3A40000}"/>
    <cellStyle name="Normal 4 4 5 3 2 2" xfId="22293" xr:uid="{00000000-0005-0000-0000-0000A4A40000}"/>
    <cellStyle name="Normal 4 4 5 3 2 2 2" xfId="44895" xr:uid="{00000000-0005-0000-0000-0000A5A40000}"/>
    <cellStyle name="Normal 4 4 5 3 2 3" xfId="33594" xr:uid="{00000000-0005-0000-0000-0000A6A40000}"/>
    <cellStyle name="Normal 4 4 5 3 3" xfId="16643" xr:uid="{00000000-0005-0000-0000-0000A7A40000}"/>
    <cellStyle name="Normal 4 4 5 3 3 2" xfId="39245" xr:uid="{00000000-0005-0000-0000-0000A8A40000}"/>
    <cellStyle name="Normal 4 4 5 3 4" xfId="27944" xr:uid="{00000000-0005-0000-0000-0000A9A40000}"/>
    <cellStyle name="Normal 4 4 5 4" xfId="7961" xr:uid="{00000000-0005-0000-0000-0000AAA40000}"/>
    <cellStyle name="Normal 4 4 5 4 2" xfId="19262" xr:uid="{00000000-0005-0000-0000-0000ABA40000}"/>
    <cellStyle name="Normal 4 4 5 4 2 2" xfId="41864" xr:uid="{00000000-0005-0000-0000-0000ACA40000}"/>
    <cellStyle name="Normal 4 4 5 4 3" xfId="30563" xr:uid="{00000000-0005-0000-0000-0000ADA40000}"/>
    <cellStyle name="Normal 4 4 5 5" xfId="13612" xr:uid="{00000000-0005-0000-0000-0000AEA40000}"/>
    <cellStyle name="Normal 4 4 5 5 2" xfId="36214" xr:uid="{00000000-0005-0000-0000-0000AFA40000}"/>
    <cellStyle name="Normal 4 4 5 6" xfId="24913" xr:uid="{00000000-0005-0000-0000-0000B0A40000}"/>
    <cellStyle name="Normal 4 4 6" xfId="2321" xr:uid="{00000000-0005-0000-0000-0000B1A40000}"/>
    <cellStyle name="Normal 4 4 6 2" xfId="8157" xr:uid="{00000000-0005-0000-0000-0000B2A40000}"/>
    <cellStyle name="Normal 4 4 6 2 2" xfId="19458" xr:uid="{00000000-0005-0000-0000-0000B3A40000}"/>
    <cellStyle name="Normal 4 4 6 2 2 2" xfId="42060" xr:uid="{00000000-0005-0000-0000-0000B4A40000}"/>
    <cellStyle name="Normal 4 4 6 2 3" xfId="30759" xr:uid="{00000000-0005-0000-0000-0000B5A40000}"/>
    <cellStyle name="Normal 4 4 6 3" xfId="13808" xr:uid="{00000000-0005-0000-0000-0000B6A40000}"/>
    <cellStyle name="Normal 4 4 6 3 2" xfId="36410" xr:uid="{00000000-0005-0000-0000-0000B7A40000}"/>
    <cellStyle name="Normal 4 4 6 4" xfId="25109" xr:uid="{00000000-0005-0000-0000-0000B8A40000}"/>
    <cellStyle name="Normal 4 4 7" xfId="4108" xr:uid="{00000000-0005-0000-0000-0000B9A40000}"/>
    <cellStyle name="Normal 4 4 7 2" xfId="9758" xr:uid="{00000000-0005-0000-0000-0000BAA40000}"/>
    <cellStyle name="Normal 4 4 7 2 2" xfId="21059" xr:uid="{00000000-0005-0000-0000-0000BBA40000}"/>
    <cellStyle name="Normal 4 4 7 2 2 2" xfId="43661" xr:uid="{00000000-0005-0000-0000-0000BCA40000}"/>
    <cellStyle name="Normal 4 4 7 2 3" xfId="32360" xr:uid="{00000000-0005-0000-0000-0000BDA40000}"/>
    <cellStyle name="Normal 4 4 7 3" xfId="15409" xr:uid="{00000000-0005-0000-0000-0000BEA40000}"/>
    <cellStyle name="Normal 4 4 7 3 2" xfId="38011" xr:uid="{00000000-0005-0000-0000-0000BFA40000}"/>
    <cellStyle name="Normal 4 4 7 4" xfId="26710" xr:uid="{00000000-0005-0000-0000-0000C0A40000}"/>
    <cellStyle name="Normal 4 4 8" xfId="6559" xr:uid="{00000000-0005-0000-0000-0000C1A40000}"/>
    <cellStyle name="Normal 4 4 8 2" xfId="17860" xr:uid="{00000000-0005-0000-0000-0000C2A40000}"/>
    <cellStyle name="Normal 4 4 8 2 2" xfId="40462" xr:uid="{00000000-0005-0000-0000-0000C3A40000}"/>
    <cellStyle name="Normal 4 4 8 3" xfId="29161" xr:uid="{00000000-0005-0000-0000-0000C4A40000}"/>
    <cellStyle name="Normal 4 4 9" xfId="12210" xr:uid="{00000000-0005-0000-0000-0000C5A40000}"/>
    <cellStyle name="Normal 4 4 9 2" xfId="34812" xr:uid="{00000000-0005-0000-0000-0000C6A40000}"/>
    <cellStyle name="Normal 4 5" xfId="563" xr:uid="{00000000-0005-0000-0000-0000C7A40000}"/>
    <cellStyle name="Normal 4 5 2" xfId="1137" xr:uid="{00000000-0005-0000-0000-0000C8A40000}"/>
    <cellStyle name="Normal 4 5 2 2" xfId="2110" xr:uid="{00000000-0005-0000-0000-0000C9A40000}"/>
    <cellStyle name="Normal 4 5 2 2 2" xfId="3205" xr:uid="{00000000-0005-0000-0000-0000CAA40000}"/>
    <cellStyle name="Normal 4 5 2 2 2 2" xfId="6177" xr:uid="{00000000-0005-0000-0000-0000CBA40000}"/>
    <cellStyle name="Normal 4 5 2 2 2 2 2" xfId="11827" xr:uid="{00000000-0005-0000-0000-0000CCA40000}"/>
    <cellStyle name="Normal 4 5 2 2 2 2 2 2" xfId="23128" xr:uid="{00000000-0005-0000-0000-0000CDA40000}"/>
    <cellStyle name="Normal 4 5 2 2 2 2 2 2 2" xfId="45730" xr:uid="{00000000-0005-0000-0000-0000CEA40000}"/>
    <cellStyle name="Normal 4 5 2 2 2 2 2 3" xfId="34429" xr:uid="{00000000-0005-0000-0000-0000CFA40000}"/>
    <cellStyle name="Normal 4 5 2 2 2 2 3" xfId="17478" xr:uid="{00000000-0005-0000-0000-0000D0A40000}"/>
    <cellStyle name="Normal 4 5 2 2 2 2 3 2" xfId="40080" xr:uid="{00000000-0005-0000-0000-0000D1A40000}"/>
    <cellStyle name="Normal 4 5 2 2 2 2 4" xfId="28779" xr:uid="{00000000-0005-0000-0000-0000D2A40000}"/>
    <cellStyle name="Normal 4 5 2 2 2 3" xfId="8995" xr:uid="{00000000-0005-0000-0000-0000D3A40000}"/>
    <cellStyle name="Normal 4 5 2 2 2 3 2" xfId="20296" xr:uid="{00000000-0005-0000-0000-0000D4A40000}"/>
    <cellStyle name="Normal 4 5 2 2 2 3 2 2" xfId="42898" xr:uid="{00000000-0005-0000-0000-0000D5A40000}"/>
    <cellStyle name="Normal 4 5 2 2 2 3 3" xfId="31597" xr:uid="{00000000-0005-0000-0000-0000D6A40000}"/>
    <cellStyle name="Normal 4 5 2 2 2 4" xfId="14646" xr:uid="{00000000-0005-0000-0000-0000D7A40000}"/>
    <cellStyle name="Normal 4 5 2 2 2 4 2" xfId="37248" xr:uid="{00000000-0005-0000-0000-0000D8A40000}"/>
    <cellStyle name="Normal 4 5 2 2 2 5" xfId="25947" xr:uid="{00000000-0005-0000-0000-0000D9A40000}"/>
    <cellStyle name="Normal 4 5 2 2 3" xfId="4943" xr:uid="{00000000-0005-0000-0000-0000DAA40000}"/>
    <cellStyle name="Normal 4 5 2 2 3 2" xfId="10593" xr:uid="{00000000-0005-0000-0000-0000DBA40000}"/>
    <cellStyle name="Normal 4 5 2 2 3 2 2" xfId="21894" xr:uid="{00000000-0005-0000-0000-0000DCA40000}"/>
    <cellStyle name="Normal 4 5 2 2 3 2 2 2" xfId="44496" xr:uid="{00000000-0005-0000-0000-0000DDA40000}"/>
    <cellStyle name="Normal 4 5 2 2 3 2 3" xfId="33195" xr:uid="{00000000-0005-0000-0000-0000DEA40000}"/>
    <cellStyle name="Normal 4 5 2 2 3 3" xfId="16244" xr:uid="{00000000-0005-0000-0000-0000DFA40000}"/>
    <cellStyle name="Normal 4 5 2 2 3 3 2" xfId="38846" xr:uid="{00000000-0005-0000-0000-0000E0A40000}"/>
    <cellStyle name="Normal 4 5 2 2 3 4" xfId="27545" xr:uid="{00000000-0005-0000-0000-0000E1A40000}"/>
    <cellStyle name="Normal 4 5 2 2 4" xfId="7966" xr:uid="{00000000-0005-0000-0000-0000E2A40000}"/>
    <cellStyle name="Normal 4 5 2 2 4 2" xfId="19267" xr:uid="{00000000-0005-0000-0000-0000E3A40000}"/>
    <cellStyle name="Normal 4 5 2 2 4 2 2" xfId="41869" xr:uid="{00000000-0005-0000-0000-0000E4A40000}"/>
    <cellStyle name="Normal 4 5 2 2 4 3" xfId="30568" xr:uid="{00000000-0005-0000-0000-0000E5A40000}"/>
    <cellStyle name="Normal 4 5 2 2 5" xfId="13617" xr:uid="{00000000-0005-0000-0000-0000E6A40000}"/>
    <cellStyle name="Normal 4 5 2 2 5 2" xfId="36219" xr:uid="{00000000-0005-0000-0000-0000E7A40000}"/>
    <cellStyle name="Normal 4 5 2 2 6" xfId="24918" xr:uid="{00000000-0005-0000-0000-0000E8A40000}"/>
    <cellStyle name="Normal 4 5 2 3" xfId="2534" xr:uid="{00000000-0005-0000-0000-0000E9A40000}"/>
    <cellStyle name="Normal 4 5 2 3 2" xfId="5553" xr:uid="{00000000-0005-0000-0000-0000EAA40000}"/>
    <cellStyle name="Normal 4 5 2 3 2 2" xfId="11203" xr:uid="{00000000-0005-0000-0000-0000EBA40000}"/>
    <cellStyle name="Normal 4 5 2 3 2 2 2" xfId="22504" xr:uid="{00000000-0005-0000-0000-0000ECA40000}"/>
    <cellStyle name="Normal 4 5 2 3 2 2 2 2" xfId="45106" xr:uid="{00000000-0005-0000-0000-0000EDA40000}"/>
    <cellStyle name="Normal 4 5 2 3 2 2 3" xfId="33805" xr:uid="{00000000-0005-0000-0000-0000EEA40000}"/>
    <cellStyle name="Normal 4 5 2 3 2 3" xfId="16854" xr:uid="{00000000-0005-0000-0000-0000EFA40000}"/>
    <cellStyle name="Normal 4 5 2 3 2 3 2" xfId="39456" xr:uid="{00000000-0005-0000-0000-0000F0A40000}"/>
    <cellStyle name="Normal 4 5 2 3 2 4" xfId="28155" xr:uid="{00000000-0005-0000-0000-0000F1A40000}"/>
    <cellStyle name="Normal 4 5 2 3 3" xfId="8370" xr:uid="{00000000-0005-0000-0000-0000F2A40000}"/>
    <cellStyle name="Normal 4 5 2 3 3 2" xfId="19671" xr:uid="{00000000-0005-0000-0000-0000F3A40000}"/>
    <cellStyle name="Normal 4 5 2 3 3 2 2" xfId="42273" xr:uid="{00000000-0005-0000-0000-0000F4A40000}"/>
    <cellStyle name="Normal 4 5 2 3 3 3" xfId="30972" xr:uid="{00000000-0005-0000-0000-0000F5A40000}"/>
    <cellStyle name="Normal 4 5 2 3 4" xfId="14021" xr:uid="{00000000-0005-0000-0000-0000F6A40000}"/>
    <cellStyle name="Normal 4 5 2 3 4 2" xfId="36623" xr:uid="{00000000-0005-0000-0000-0000F7A40000}"/>
    <cellStyle name="Normal 4 5 2 3 5" xfId="25322" xr:uid="{00000000-0005-0000-0000-0000F8A40000}"/>
    <cellStyle name="Normal 4 5 2 4" xfId="4319" xr:uid="{00000000-0005-0000-0000-0000F9A40000}"/>
    <cellStyle name="Normal 4 5 2 4 2" xfId="9969" xr:uid="{00000000-0005-0000-0000-0000FAA40000}"/>
    <cellStyle name="Normal 4 5 2 4 2 2" xfId="21270" xr:uid="{00000000-0005-0000-0000-0000FBA40000}"/>
    <cellStyle name="Normal 4 5 2 4 2 2 2" xfId="43872" xr:uid="{00000000-0005-0000-0000-0000FCA40000}"/>
    <cellStyle name="Normal 4 5 2 4 2 3" xfId="32571" xr:uid="{00000000-0005-0000-0000-0000FDA40000}"/>
    <cellStyle name="Normal 4 5 2 4 3" xfId="15620" xr:uid="{00000000-0005-0000-0000-0000FEA40000}"/>
    <cellStyle name="Normal 4 5 2 4 3 2" xfId="38222" xr:uid="{00000000-0005-0000-0000-0000FFA40000}"/>
    <cellStyle name="Normal 4 5 2 4 4" xfId="26921" xr:uid="{00000000-0005-0000-0000-000000A50000}"/>
    <cellStyle name="Normal 4 5 2 5" xfId="7116" xr:uid="{00000000-0005-0000-0000-000001A50000}"/>
    <cellStyle name="Normal 4 5 2 5 2" xfId="18417" xr:uid="{00000000-0005-0000-0000-000002A50000}"/>
    <cellStyle name="Normal 4 5 2 5 2 2" xfId="41019" xr:uid="{00000000-0005-0000-0000-000003A50000}"/>
    <cellStyle name="Normal 4 5 2 5 3" xfId="29718" xr:uid="{00000000-0005-0000-0000-000004A50000}"/>
    <cellStyle name="Normal 4 5 2 6" xfId="12767" xr:uid="{00000000-0005-0000-0000-000005A50000}"/>
    <cellStyle name="Normal 4 5 2 6 2" xfId="35369" xr:uid="{00000000-0005-0000-0000-000006A50000}"/>
    <cellStyle name="Normal 4 5 2 7" xfId="24068" xr:uid="{00000000-0005-0000-0000-000007A50000}"/>
    <cellStyle name="Normal 4 5 3" xfId="811" xr:uid="{00000000-0005-0000-0000-000008A50000}"/>
    <cellStyle name="Normal 4 5 3 2" xfId="2898" xr:uid="{00000000-0005-0000-0000-000009A50000}"/>
    <cellStyle name="Normal 4 5 3 2 2" xfId="5870" xr:uid="{00000000-0005-0000-0000-00000AA50000}"/>
    <cellStyle name="Normal 4 5 3 2 2 2" xfId="11520" xr:uid="{00000000-0005-0000-0000-00000BA50000}"/>
    <cellStyle name="Normal 4 5 3 2 2 2 2" xfId="22821" xr:uid="{00000000-0005-0000-0000-00000CA50000}"/>
    <cellStyle name="Normal 4 5 3 2 2 2 2 2" xfId="45423" xr:uid="{00000000-0005-0000-0000-00000DA50000}"/>
    <cellStyle name="Normal 4 5 3 2 2 2 3" xfId="34122" xr:uid="{00000000-0005-0000-0000-00000EA50000}"/>
    <cellStyle name="Normal 4 5 3 2 2 3" xfId="17171" xr:uid="{00000000-0005-0000-0000-00000FA50000}"/>
    <cellStyle name="Normal 4 5 3 2 2 3 2" xfId="39773" xr:uid="{00000000-0005-0000-0000-000010A50000}"/>
    <cellStyle name="Normal 4 5 3 2 2 4" xfId="28472" xr:uid="{00000000-0005-0000-0000-000011A50000}"/>
    <cellStyle name="Normal 4 5 3 2 3" xfId="8688" xr:uid="{00000000-0005-0000-0000-000012A50000}"/>
    <cellStyle name="Normal 4 5 3 2 3 2" xfId="19989" xr:uid="{00000000-0005-0000-0000-000013A50000}"/>
    <cellStyle name="Normal 4 5 3 2 3 2 2" xfId="42591" xr:uid="{00000000-0005-0000-0000-000014A50000}"/>
    <cellStyle name="Normal 4 5 3 2 3 3" xfId="31290" xr:uid="{00000000-0005-0000-0000-000015A50000}"/>
    <cellStyle name="Normal 4 5 3 2 4" xfId="14339" xr:uid="{00000000-0005-0000-0000-000016A50000}"/>
    <cellStyle name="Normal 4 5 3 2 4 2" xfId="36941" xr:uid="{00000000-0005-0000-0000-000017A50000}"/>
    <cellStyle name="Normal 4 5 3 2 5" xfId="25640" xr:uid="{00000000-0005-0000-0000-000018A50000}"/>
    <cellStyle name="Normal 4 5 3 3" xfId="4636" xr:uid="{00000000-0005-0000-0000-000019A50000}"/>
    <cellStyle name="Normal 4 5 3 3 2" xfId="10286" xr:uid="{00000000-0005-0000-0000-00001AA50000}"/>
    <cellStyle name="Normal 4 5 3 3 2 2" xfId="21587" xr:uid="{00000000-0005-0000-0000-00001BA50000}"/>
    <cellStyle name="Normal 4 5 3 3 2 2 2" xfId="44189" xr:uid="{00000000-0005-0000-0000-00001CA50000}"/>
    <cellStyle name="Normal 4 5 3 3 2 3" xfId="32888" xr:uid="{00000000-0005-0000-0000-00001DA50000}"/>
    <cellStyle name="Normal 4 5 3 3 3" xfId="15937" xr:uid="{00000000-0005-0000-0000-00001EA50000}"/>
    <cellStyle name="Normal 4 5 3 3 3 2" xfId="38539" xr:uid="{00000000-0005-0000-0000-00001FA50000}"/>
    <cellStyle name="Normal 4 5 3 3 4" xfId="27238" xr:uid="{00000000-0005-0000-0000-000020A50000}"/>
    <cellStyle name="Normal 4 5 3 4" xfId="6819" xr:uid="{00000000-0005-0000-0000-000021A50000}"/>
    <cellStyle name="Normal 4 5 3 4 2" xfId="18120" xr:uid="{00000000-0005-0000-0000-000022A50000}"/>
    <cellStyle name="Normal 4 5 3 4 2 2" xfId="40722" xr:uid="{00000000-0005-0000-0000-000023A50000}"/>
    <cellStyle name="Normal 4 5 3 4 3" xfId="29421" xr:uid="{00000000-0005-0000-0000-000024A50000}"/>
    <cellStyle name="Normal 4 5 3 5" xfId="12470" xr:uid="{00000000-0005-0000-0000-000025A50000}"/>
    <cellStyle name="Normal 4 5 3 5 2" xfId="35072" xr:uid="{00000000-0005-0000-0000-000026A50000}"/>
    <cellStyle name="Normal 4 5 3 6" xfId="23771" xr:uid="{00000000-0005-0000-0000-000027A50000}"/>
    <cellStyle name="Normal 4 5 4" xfId="2109" xr:uid="{00000000-0005-0000-0000-000028A50000}"/>
    <cellStyle name="Normal 4 5 4 2" xfId="3860" xr:uid="{00000000-0005-0000-0000-000029A50000}"/>
    <cellStyle name="Normal 4 5 4 2 2" xfId="9568" xr:uid="{00000000-0005-0000-0000-00002AA50000}"/>
    <cellStyle name="Normal 4 5 4 2 2 2" xfId="20869" xr:uid="{00000000-0005-0000-0000-00002BA50000}"/>
    <cellStyle name="Normal 4 5 4 2 2 2 2" xfId="43471" xr:uid="{00000000-0005-0000-0000-00002CA50000}"/>
    <cellStyle name="Normal 4 5 4 2 2 3" xfId="32170" xr:uid="{00000000-0005-0000-0000-00002DA50000}"/>
    <cellStyle name="Normal 4 5 4 2 3" xfId="15219" xr:uid="{00000000-0005-0000-0000-00002EA50000}"/>
    <cellStyle name="Normal 4 5 4 2 3 2" xfId="37821" xr:uid="{00000000-0005-0000-0000-00002FA50000}"/>
    <cellStyle name="Normal 4 5 4 2 4" xfId="26520" xr:uid="{00000000-0005-0000-0000-000030A50000}"/>
    <cellStyle name="Normal 4 5 4 3" xfId="5246" xr:uid="{00000000-0005-0000-0000-000031A50000}"/>
    <cellStyle name="Normal 4 5 4 3 2" xfId="10896" xr:uid="{00000000-0005-0000-0000-000032A50000}"/>
    <cellStyle name="Normal 4 5 4 3 2 2" xfId="22197" xr:uid="{00000000-0005-0000-0000-000033A50000}"/>
    <cellStyle name="Normal 4 5 4 3 2 2 2" xfId="44799" xr:uid="{00000000-0005-0000-0000-000034A50000}"/>
    <cellStyle name="Normal 4 5 4 3 2 3" xfId="33498" xr:uid="{00000000-0005-0000-0000-000035A50000}"/>
    <cellStyle name="Normal 4 5 4 3 3" xfId="16547" xr:uid="{00000000-0005-0000-0000-000036A50000}"/>
    <cellStyle name="Normal 4 5 4 3 3 2" xfId="39149" xr:uid="{00000000-0005-0000-0000-000037A50000}"/>
    <cellStyle name="Normal 4 5 4 3 4" xfId="27848" xr:uid="{00000000-0005-0000-0000-000038A50000}"/>
    <cellStyle name="Normal 4 5 4 4" xfId="7965" xr:uid="{00000000-0005-0000-0000-000039A50000}"/>
    <cellStyle name="Normal 4 5 4 4 2" xfId="19266" xr:uid="{00000000-0005-0000-0000-00003AA50000}"/>
    <cellStyle name="Normal 4 5 4 4 2 2" xfId="41868" xr:uid="{00000000-0005-0000-0000-00003BA50000}"/>
    <cellStyle name="Normal 4 5 4 4 3" xfId="30567" xr:uid="{00000000-0005-0000-0000-00003CA50000}"/>
    <cellStyle name="Normal 4 5 4 5" xfId="13616" xr:uid="{00000000-0005-0000-0000-00003DA50000}"/>
    <cellStyle name="Normal 4 5 4 5 2" xfId="36218" xr:uid="{00000000-0005-0000-0000-00003EA50000}"/>
    <cellStyle name="Normal 4 5 4 6" xfId="24917" xr:uid="{00000000-0005-0000-0000-00003FA50000}"/>
    <cellStyle name="Normal 4 5 5" xfId="2218" xr:uid="{00000000-0005-0000-0000-000040A50000}"/>
    <cellStyle name="Normal 4 5 5 2" xfId="8060" xr:uid="{00000000-0005-0000-0000-000041A50000}"/>
    <cellStyle name="Normal 4 5 5 2 2" xfId="19361" xr:uid="{00000000-0005-0000-0000-000042A50000}"/>
    <cellStyle name="Normal 4 5 5 2 2 2" xfId="41963" xr:uid="{00000000-0005-0000-0000-000043A50000}"/>
    <cellStyle name="Normal 4 5 5 2 3" xfId="30662" xr:uid="{00000000-0005-0000-0000-000044A50000}"/>
    <cellStyle name="Normal 4 5 5 3" xfId="13711" xr:uid="{00000000-0005-0000-0000-000045A50000}"/>
    <cellStyle name="Normal 4 5 5 3 2" xfId="36313" xr:uid="{00000000-0005-0000-0000-000046A50000}"/>
    <cellStyle name="Normal 4 5 5 4" xfId="25012" xr:uid="{00000000-0005-0000-0000-000047A50000}"/>
    <cellStyle name="Normal 4 5 6" xfId="4012" xr:uid="{00000000-0005-0000-0000-000048A50000}"/>
    <cellStyle name="Normal 4 5 6 2" xfId="9662" xr:uid="{00000000-0005-0000-0000-000049A50000}"/>
    <cellStyle name="Normal 4 5 6 2 2" xfId="20963" xr:uid="{00000000-0005-0000-0000-00004AA50000}"/>
    <cellStyle name="Normal 4 5 6 2 2 2" xfId="43565" xr:uid="{00000000-0005-0000-0000-00004BA50000}"/>
    <cellStyle name="Normal 4 5 6 2 3" xfId="32264" xr:uid="{00000000-0005-0000-0000-00004CA50000}"/>
    <cellStyle name="Normal 4 5 6 3" xfId="15313" xr:uid="{00000000-0005-0000-0000-00004DA50000}"/>
    <cellStyle name="Normal 4 5 6 3 2" xfId="37915" xr:uid="{00000000-0005-0000-0000-00004EA50000}"/>
    <cellStyle name="Normal 4 5 6 4" xfId="26614" xr:uid="{00000000-0005-0000-0000-00004FA50000}"/>
    <cellStyle name="Normal 4 5 7" xfId="6630" xr:uid="{00000000-0005-0000-0000-000050A50000}"/>
    <cellStyle name="Normal 4 5 7 2" xfId="17931" xr:uid="{00000000-0005-0000-0000-000051A50000}"/>
    <cellStyle name="Normal 4 5 7 2 2" xfId="40533" xr:uid="{00000000-0005-0000-0000-000052A50000}"/>
    <cellStyle name="Normal 4 5 7 3" xfId="29232" xr:uid="{00000000-0005-0000-0000-000053A50000}"/>
    <cellStyle name="Normal 4 5 8" xfId="12281" xr:uid="{00000000-0005-0000-0000-000054A50000}"/>
    <cellStyle name="Normal 4 5 8 2" xfId="34883" xr:uid="{00000000-0005-0000-0000-000055A50000}"/>
    <cellStyle name="Normal 4 5 9" xfId="23582" xr:uid="{00000000-0005-0000-0000-000056A50000}"/>
    <cellStyle name="Normal 4 6" xfId="231" xr:uid="{00000000-0005-0000-0000-000057A50000}"/>
    <cellStyle name="Normal 4 6 2" xfId="12114" xr:uid="{00000000-0005-0000-0000-000058A50000}"/>
    <cellStyle name="Normal 4 6 2 2" xfId="34716" xr:uid="{00000000-0005-0000-0000-000059A50000}"/>
    <cellStyle name="Normal 4 6 3" xfId="23415" xr:uid="{00000000-0005-0000-0000-00005AA50000}"/>
    <cellStyle name="Normal 4 7" xfId="6463" xr:uid="{00000000-0005-0000-0000-00005BA50000}"/>
    <cellStyle name="Normal 4 7 2" xfId="17764" xr:uid="{00000000-0005-0000-0000-00005CA50000}"/>
    <cellStyle name="Normal 4 7 2 2" xfId="40366" xr:uid="{00000000-0005-0000-0000-00005DA50000}"/>
    <cellStyle name="Normal 4 7 3" xfId="29065" xr:uid="{00000000-0005-0000-0000-00005EA50000}"/>
    <cellStyle name="Normal 5" xfId="97" xr:uid="{00000000-0005-0000-0000-00005FA50000}"/>
    <cellStyle name="Normal 5 10" xfId="3969" xr:uid="{00000000-0005-0000-0000-000060A50000}"/>
    <cellStyle name="Normal 5 10 2" xfId="9619" xr:uid="{00000000-0005-0000-0000-000061A50000}"/>
    <cellStyle name="Normal 5 10 2 2" xfId="20920" xr:uid="{00000000-0005-0000-0000-000062A50000}"/>
    <cellStyle name="Normal 5 10 2 2 2" xfId="43522" xr:uid="{00000000-0005-0000-0000-000063A50000}"/>
    <cellStyle name="Normal 5 10 2 3" xfId="32221" xr:uid="{00000000-0005-0000-0000-000064A50000}"/>
    <cellStyle name="Normal 5 10 3" xfId="15270" xr:uid="{00000000-0005-0000-0000-000065A50000}"/>
    <cellStyle name="Normal 5 10 3 2" xfId="37872" xr:uid="{00000000-0005-0000-0000-000066A50000}"/>
    <cellStyle name="Normal 5 10 4" xfId="26571" xr:uid="{00000000-0005-0000-0000-000067A50000}"/>
    <cellStyle name="Normal 5 11" xfId="259" xr:uid="{00000000-0005-0000-0000-000068A50000}"/>
    <cellStyle name="Normal 5 2" xfId="503" xr:uid="{00000000-0005-0000-0000-000069A50000}"/>
    <cellStyle name="Normal 5 2 10" xfId="23552" xr:uid="{00000000-0005-0000-0000-00006AA50000}"/>
    <cellStyle name="Normal 5 2 2" xfId="690" xr:uid="{00000000-0005-0000-0000-00006BA50000}"/>
    <cellStyle name="Normal 5 2 2 2" xfId="1274" xr:uid="{00000000-0005-0000-0000-00006CA50000}"/>
    <cellStyle name="Normal 5 2 2 2 2" xfId="2114" xr:uid="{00000000-0005-0000-0000-00006DA50000}"/>
    <cellStyle name="Normal 5 2 2 2 2 2" xfId="3343" xr:uid="{00000000-0005-0000-0000-00006EA50000}"/>
    <cellStyle name="Normal 5 2 2 2 2 2 2" xfId="6315" xr:uid="{00000000-0005-0000-0000-00006FA50000}"/>
    <cellStyle name="Normal 5 2 2 2 2 2 2 2" xfId="11965" xr:uid="{00000000-0005-0000-0000-000070A50000}"/>
    <cellStyle name="Normal 5 2 2 2 2 2 2 2 2" xfId="23266" xr:uid="{00000000-0005-0000-0000-000071A50000}"/>
    <cellStyle name="Normal 5 2 2 2 2 2 2 2 2 2" xfId="45868" xr:uid="{00000000-0005-0000-0000-000072A50000}"/>
    <cellStyle name="Normal 5 2 2 2 2 2 2 2 3" xfId="34567" xr:uid="{00000000-0005-0000-0000-000073A50000}"/>
    <cellStyle name="Normal 5 2 2 2 2 2 2 3" xfId="17616" xr:uid="{00000000-0005-0000-0000-000074A50000}"/>
    <cellStyle name="Normal 5 2 2 2 2 2 2 3 2" xfId="40218" xr:uid="{00000000-0005-0000-0000-000075A50000}"/>
    <cellStyle name="Normal 5 2 2 2 2 2 2 4" xfId="28917" xr:uid="{00000000-0005-0000-0000-000076A50000}"/>
    <cellStyle name="Normal 5 2 2 2 2 2 3" xfId="9133" xr:uid="{00000000-0005-0000-0000-000077A50000}"/>
    <cellStyle name="Normal 5 2 2 2 2 2 3 2" xfId="20434" xr:uid="{00000000-0005-0000-0000-000078A50000}"/>
    <cellStyle name="Normal 5 2 2 2 2 2 3 2 2" xfId="43036" xr:uid="{00000000-0005-0000-0000-000079A50000}"/>
    <cellStyle name="Normal 5 2 2 2 2 2 3 3" xfId="31735" xr:uid="{00000000-0005-0000-0000-00007AA50000}"/>
    <cellStyle name="Normal 5 2 2 2 2 2 4" xfId="14784" xr:uid="{00000000-0005-0000-0000-00007BA50000}"/>
    <cellStyle name="Normal 5 2 2 2 2 2 4 2" xfId="37386" xr:uid="{00000000-0005-0000-0000-00007CA50000}"/>
    <cellStyle name="Normal 5 2 2 2 2 2 5" xfId="26085" xr:uid="{00000000-0005-0000-0000-00007DA50000}"/>
    <cellStyle name="Normal 5 2 2 2 2 3" xfId="5081" xr:uid="{00000000-0005-0000-0000-00007EA50000}"/>
    <cellStyle name="Normal 5 2 2 2 2 3 2" xfId="10731" xr:uid="{00000000-0005-0000-0000-00007FA50000}"/>
    <cellStyle name="Normal 5 2 2 2 2 3 2 2" xfId="22032" xr:uid="{00000000-0005-0000-0000-000080A50000}"/>
    <cellStyle name="Normal 5 2 2 2 2 3 2 2 2" xfId="44634" xr:uid="{00000000-0005-0000-0000-000081A50000}"/>
    <cellStyle name="Normal 5 2 2 2 2 3 2 3" xfId="33333" xr:uid="{00000000-0005-0000-0000-000082A50000}"/>
    <cellStyle name="Normal 5 2 2 2 2 3 3" xfId="16382" xr:uid="{00000000-0005-0000-0000-000083A50000}"/>
    <cellStyle name="Normal 5 2 2 2 2 3 3 2" xfId="38984" xr:uid="{00000000-0005-0000-0000-000084A50000}"/>
    <cellStyle name="Normal 5 2 2 2 2 3 4" xfId="27683" xr:uid="{00000000-0005-0000-0000-000085A50000}"/>
    <cellStyle name="Normal 5 2 2 2 2 4" xfId="7970" xr:uid="{00000000-0005-0000-0000-000086A50000}"/>
    <cellStyle name="Normal 5 2 2 2 2 4 2" xfId="19271" xr:uid="{00000000-0005-0000-0000-000087A50000}"/>
    <cellStyle name="Normal 5 2 2 2 2 4 2 2" xfId="41873" xr:uid="{00000000-0005-0000-0000-000088A50000}"/>
    <cellStyle name="Normal 5 2 2 2 2 4 3" xfId="30572" xr:uid="{00000000-0005-0000-0000-000089A50000}"/>
    <cellStyle name="Normal 5 2 2 2 2 5" xfId="13621" xr:uid="{00000000-0005-0000-0000-00008AA50000}"/>
    <cellStyle name="Normal 5 2 2 2 2 5 2" xfId="36223" xr:uid="{00000000-0005-0000-0000-00008BA50000}"/>
    <cellStyle name="Normal 5 2 2 2 2 6" xfId="24922" xr:uid="{00000000-0005-0000-0000-00008CA50000}"/>
    <cellStyle name="Normal 5 2 2 2 3" xfId="2672" xr:uid="{00000000-0005-0000-0000-00008DA50000}"/>
    <cellStyle name="Normal 5 2 2 2 3 2" xfId="5691" xr:uid="{00000000-0005-0000-0000-00008EA50000}"/>
    <cellStyle name="Normal 5 2 2 2 3 2 2" xfId="11341" xr:uid="{00000000-0005-0000-0000-00008FA50000}"/>
    <cellStyle name="Normal 5 2 2 2 3 2 2 2" xfId="22642" xr:uid="{00000000-0005-0000-0000-000090A50000}"/>
    <cellStyle name="Normal 5 2 2 2 3 2 2 2 2" xfId="45244" xr:uid="{00000000-0005-0000-0000-000091A50000}"/>
    <cellStyle name="Normal 5 2 2 2 3 2 2 3" xfId="33943" xr:uid="{00000000-0005-0000-0000-000092A50000}"/>
    <cellStyle name="Normal 5 2 2 2 3 2 3" xfId="16992" xr:uid="{00000000-0005-0000-0000-000093A50000}"/>
    <cellStyle name="Normal 5 2 2 2 3 2 3 2" xfId="39594" xr:uid="{00000000-0005-0000-0000-000094A50000}"/>
    <cellStyle name="Normal 5 2 2 2 3 2 4" xfId="28293" xr:uid="{00000000-0005-0000-0000-000095A50000}"/>
    <cellStyle name="Normal 5 2 2 2 3 3" xfId="8508" xr:uid="{00000000-0005-0000-0000-000096A50000}"/>
    <cellStyle name="Normal 5 2 2 2 3 3 2" xfId="19809" xr:uid="{00000000-0005-0000-0000-000097A50000}"/>
    <cellStyle name="Normal 5 2 2 2 3 3 2 2" xfId="42411" xr:uid="{00000000-0005-0000-0000-000098A50000}"/>
    <cellStyle name="Normal 5 2 2 2 3 3 3" xfId="31110" xr:uid="{00000000-0005-0000-0000-000099A50000}"/>
    <cellStyle name="Normal 5 2 2 2 3 4" xfId="14159" xr:uid="{00000000-0005-0000-0000-00009AA50000}"/>
    <cellStyle name="Normal 5 2 2 2 3 4 2" xfId="36761" xr:uid="{00000000-0005-0000-0000-00009BA50000}"/>
    <cellStyle name="Normal 5 2 2 2 3 5" xfId="25460" xr:uid="{00000000-0005-0000-0000-00009CA50000}"/>
    <cellStyle name="Normal 5 2 2 2 4" xfId="4457" xr:uid="{00000000-0005-0000-0000-00009DA50000}"/>
    <cellStyle name="Normal 5 2 2 2 4 2" xfId="10107" xr:uid="{00000000-0005-0000-0000-00009EA50000}"/>
    <cellStyle name="Normal 5 2 2 2 4 2 2" xfId="21408" xr:uid="{00000000-0005-0000-0000-00009FA50000}"/>
    <cellStyle name="Normal 5 2 2 2 4 2 2 2" xfId="44010" xr:uid="{00000000-0005-0000-0000-0000A0A50000}"/>
    <cellStyle name="Normal 5 2 2 2 4 2 3" xfId="32709" xr:uid="{00000000-0005-0000-0000-0000A1A50000}"/>
    <cellStyle name="Normal 5 2 2 2 4 3" xfId="15758" xr:uid="{00000000-0005-0000-0000-0000A2A50000}"/>
    <cellStyle name="Normal 5 2 2 2 4 3 2" xfId="38360" xr:uid="{00000000-0005-0000-0000-0000A3A50000}"/>
    <cellStyle name="Normal 5 2 2 2 4 4" xfId="27059" xr:uid="{00000000-0005-0000-0000-0000A4A50000}"/>
    <cellStyle name="Normal 5 2 2 2 5" xfId="7253" xr:uid="{00000000-0005-0000-0000-0000A5A50000}"/>
    <cellStyle name="Normal 5 2 2 2 5 2" xfId="18554" xr:uid="{00000000-0005-0000-0000-0000A6A50000}"/>
    <cellStyle name="Normal 5 2 2 2 5 2 2" xfId="41156" xr:uid="{00000000-0005-0000-0000-0000A7A50000}"/>
    <cellStyle name="Normal 5 2 2 2 5 3" xfId="29855" xr:uid="{00000000-0005-0000-0000-0000A8A50000}"/>
    <cellStyle name="Normal 5 2 2 2 6" xfId="12904" xr:uid="{00000000-0005-0000-0000-0000A9A50000}"/>
    <cellStyle name="Normal 5 2 2 2 6 2" xfId="35506" xr:uid="{00000000-0005-0000-0000-0000AAA50000}"/>
    <cellStyle name="Normal 5 2 2 2 7" xfId="24205" xr:uid="{00000000-0005-0000-0000-0000ABA50000}"/>
    <cellStyle name="Normal 5 2 2 3" xfId="971" xr:uid="{00000000-0005-0000-0000-0000ACA50000}"/>
    <cellStyle name="Normal 5 2 2 3 2" xfId="3035" xr:uid="{00000000-0005-0000-0000-0000ADA50000}"/>
    <cellStyle name="Normal 5 2 2 3 2 2" xfId="6007" xr:uid="{00000000-0005-0000-0000-0000AEA50000}"/>
    <cellStyle name="Normal 5 2 2 3 2 2 2" xfId="11657" xr:uid="{00000000-0005-0000-0000-0000AFA50000}"/>
    <cellStyle name="Normal 5 2 2 3 2 2 2 2" xfId="22958" xr:uid="{00000000-0005-0000-0000-0000B0A50000}"/>
    <cellStyle name="Normal 5 2 2 3 2 2 2 2 2" xfId="45560" xr:uid="{00000000-0005-0000-0000-0000B1A50000}"/>
    <cellStyle name="Normal 5 2 2 3 2 2 2 3" xfId="34259" xr:uid="{00000000-0005-0000-0000-0000B2A50000}"/>
    <cellStyle name="Normal 5 2 2 3 2 2 3" xfId="17308" xr:uid="{00000000-0005-0000-0000-0000B3A50000}"/>
    <cellStyle name="Normal 5 2 2 3 2 2 3 2" xfId="39910" xr:uid="{00000000-0005-0000-0000-0000B4A50000}"/>
    <cellStyle name="Normal 5 2 2 3 2 2 4" xfId="28609" xr:uid="{00000000-0005-0000-0000-0000B5A50000}"/>
    <cellStyle name="Normal 5 2 2 3 2 3" xfId="8825" xr:uid="{00000000-0005-0000-0000-0000B6A50000}"/>
    <cellStyle name="Normal 5 2 2 3 2 3 2" xfId="20126" xr:uid="{00000000-0005-0000-0000-0000B7A50000}"/>
    <cellStyle name="Normal 5 2 2 3 2 3 2 2" xfId="42728" xr:uid="{00000000-0005-0000-0000-0000B8A50000}"/>
    <cellStyle name="Normal 5 2 2 3 2 3 3" xfId="31427" xr:uid="{00000000-0005-0000-0000-0000B9A50000}"/>
    <cellStyle name="Normal 5 2 2 3 2 4" xfId="14476" xr:uid="{00000000-0005-0000-0000-0000BAA50000}"/>
    <cellStyle name="Normal 5 2 2 3 2 4 2" xfId="37078" xr:uid="{00000000-0005-0000-0000-0000BBA50000}"/>
    <cellStyle name="Normal 5 2 2 3 2 5" xfId="25777" xr:uid="{00000000-0005-0000-0000-0000BCA50000}"/>
    <cellStyle name="Normal 5 2 2 3 3" xfId="4773" xr:uid="{00000000-0005-0000-0000-0000BDA50000}"/>
    <cellStyle name="Normal 5 2 2 3 3 2" xfId="10423" xr:uid="{00000000-0005-0000-0000-0000BEA50000}"/>
    <cellStyle name="Normal 5 2 2 3 3 2 2" xfId="21724" xr:uid="{00000000-0005-0000-0000-0000BFA50000}"/>
    <cellStyle name="Normal 5 2 2 3 3 2 2 2" xfId="44326" xr:uid="{00000000-0005-0000-0000-0000C0A50000}"/>
    <cellStyle name="Normal 5 2 2 3 3 2 3" xfId="33025" xr:uid="{00000000-0005-0000-0000-0000C1A50000}"/>
    <cellStyle name="Normal 5 2 2 3 3 3" xfId="16074" xr:uid="{00000000-0005-0000-0000-0000C2A50000}"/>
    <cellStyle name="Normal 5 2 2 3 3 3 2" xfId="38676" xr:uid="{00000000-0005-0000-0000-0000C3A50000}"/>
    <cellStyle name="Normal 5 2 2 3 3 4" xfId="27375" xr:uid="{00000000-0005-0000-0000-0000C4A50000}"/>
    <cellStyle name="Normal 5 2 2 3 4" xfId="6960" xr:uid="{00000000-0005-0000-0000-0000C5A50000}"/>
    <cellStyle name="Normal 5 2 2 3 4 2" xfId="18261" xr:uid="{00000000-0005-0000-0000-0000C6A50000}"/>
    <cellStyle name="Normal 5 2 2 3 4 2 2" xfId="40863" xr:uid="{00000000-0005-0000-0000-0000C7A50000}"/>
    <cellStyle name="Normal 5 2 2 3 4 3" xfId="29562" xr:uid="{00000000-0005-0000-0000-0000C8A50000}"/>
    <cellStyle name="Normal 5 2 2 3 5" xfId="12611" xr:uid="{00000000-0005-0000-0000-0000C9A50000}"/>
    <cellStyle name="Normal 5 2 2 3 5 2" xfId="35213" xr:uid="{00000000-0005-0000-0000-0000CAA50000}"/>
    <cellStyle name="Normal 5 2 2 3 6" xfId="23912" xr:uid="{00000000-0005-0000-0000-0000CBA50000}"/>
    <cellStyle name="Normal 5 2 2 4" xfId="2113" xr:uid="{00000000-0005-0000-0000-0000CCA50000}"/>
    <cellStyle name="Normal 5 2 2 4 2" xfId="3863" xr:uid="{00000000-0005-0000-0000-0000CDA50000}"/>
    <cellStyle name="Normal 5 2 2 4 2 2" xfId="9571" xr:uid="{00000000-0005-0000-0000-0000CEA50000}"/>
    <cellStyle name="Normal 5 2 2 4 2 2 2" xfId="20872" xr:uid="{00000000-0005-0000-0000-0000CFA50000}"/>
    <cellStyle name="Normal 5 2 2 4 2 2 2 2" xfId="43474" xr:uid="{00000000-0005-0000-0000-0000D0A50000}"/>
    <cellStyle name="Normal 5 2 2 4 2 2 3" xfId="32173" xr:uid="{00000000-0005-0000-0000-0000D1A50000}"/>
    <cellStyle name="Normal 5 2 2 4 2 3" xfId="15222" xr:uid="{00000000-0005-0000-0000-0000D2A50000}"/>
    <cellStyle name="Normal 5 2 2 4 2 3 2" xfId="37824" xr:uid="{00000000-0005-0000-0000-0000D3A50000}"/>
    <cellStyle name="Normal 5 2 2 4 2 4" xfId="26523" xr:uid="{00000000-0005-0000-0000-0000D4A50000}"/>
    <cellStyle name="Normal 5 2 2 4 3" xfId="5383" xr:uid="{00000000-0005-0000-0000-0000D5A50000}"/>
    <cellStyle name="Normal 5 2 2 4 3 2" xfId="11033" xr:uid="{00000000-0005-0000-0000-0000D6A50000}"/>
    <cellStyle name="Normal 5 2 2 4 3 2 2" xfId="22334" xr:uid="{00000000-0005-0000-0000-0000D7A50000}"/>
    <cellStyle name="Normal 5 2 2 4 3 2 2 2" xfId="44936" xr:uid="{00000000-0005-0000-0000-0000D8A50000}"/>
    <cellStyle name="Normal 5 2 2 4 3 2 3" xfId="33635" xr:uid="{00000000-0005-0000-0000-0000D9A50000}"/>
    <cellStyle name="Normal 5 2 2 4 3 3" xfId="16684" xr:uid="{00000000-0005-0000-0000-0000DAA50000}"/>
    <cellStyle name="Normal 5 2 2 4 3 3 2" xfId="39286" xr:uid="{00000000-0005-0000-0000-0000DBA50000}"/>
    <cellStyle name="Normal 5 2 2 4 3 4" xfId="27985" xr:uid="{00000000-0005-0000-0000-0000DCA50000}"/>
    <cellStyle name="Normal 5 2 2 4 4" xfId="7969" xr:uid="{00000000-0005-0000-0000-0000DDA50000}"/>
    <cellStyle name="Normal 5 2 2 4 4 2" xfId="19270" xr:uid="{00000000-0005-0000-0000-0000DEA50000}"/>
    <cellStyle name="Normal 5 2 2 4 4 2 2" xfId="41872" xr:uid="{00000000-0005-0000-0000-0000DFA50000}"/>
    <cellStyle name="Normal 5 2 2 4 4 3" xfId="30571" xr:uid="{00000000-0005-0000-0000-0000E0A50000}"/>
    <cellStyle name="Normal 5 2 2 4 5" xfId="13620" xr:uid="{00000000-0005-0000-0000-0000E1A50000}"/>
    <cellStyle name="Normal 5 2 2 4 5 2" xfId="36222" xr:uid="{00000000-0005-0000-0000-0000E2A50000}"/>
    <cellStyle name="Normal 5 2 2 4 6" xfId="24921" xr:uid="{00000000-0005-0000-0000-0000E3A50000}"/>
    <cellStyle name="Normal 5 2 2 5" xfId="2364" xr:uid="{00000000-0005-0000-0000-0000E4A50000}"/>
    <cellStyle name="Normal 5 2 2 5 2" xfId="8200" xr:uid="{00000000-0005-0000-0000-0000E5A50000}"/>
    <cellStyle name="Normal 5 2 2 5 2 2" xfId="19501" xr:uid="{00000000-0005-0000-0000-0000E6A50000}"/>
    <cellStyle name="Normal 5 2 2 5 2 2 2" xfId="42103" xr:uid="{00000000-0005-0000-0000-0000E7A50000}"/>
    <cellStyle name="Normal 5 2 2 5 2 3" xfId="30802" xr:uid="{00000000-0005-0000-0000-0000E8A50000}"/>
    <cellStyle name="Normal 5 2 2 5 3" xfId="13851" xr:uid="{00000000-0005-0000-0000-0000E9A50000}"/>
    <cellStyle name="Normal 5 2 2 5 3 2" xfId="36453" xr:uid="{00000000-0005-0000-0000-0000EAA50000}"/>
    <cellStyle name="Normal 5 2 2 5 4" xfId="25152" xr:uid="{00000000-0005-0000-0000-0000EBA50000}"/>
    <cellStyle name="Normal 5 2 2 6" xfId="4149" xr:uid="{00000000-0005-0000-0000-0000ECA50000}"/>
    <cellStyle name="Normal 5 2 2 6 2" xfId="9799" xr:uid="{00000000-0005-0000-0000-0000EDA50000}"/>
    <cellStyle name="Normal 5 2 2 6 2 2" xfId="21100" xr:uid="{00000000-0005-0000-0000-0000EEA50000}"/>
    <cellStyle name="Normal 5 2 2 6 2 2 2" xfId="43702" xr:uid="{00000000-0005-0000-0000-0000EFA50000}"/>
    <cellStyle name="Normal 5 2 2 6 2 3" xfId="32401" xr:uid="{00000000-0005-0000-0000-0000F0A50000}"/>
    <cellStyle name="Normal 5 2 2 6 3" xfId="15450" xr:uid="{00000000-0005-0000-0000-0000F1A50000}"/>
    <cellStyle name="Normal 5 2 2 6 3 2" xfId="38052" xr:uid="{00000000-0005-0000-0000-0000F2A50000}"/>
    <cellStyle name="Normal 5 2 2 6 4" xfId="26751" xr:uid="{00000000-0005-0000-0000-0000F3A50000}"/>
    <cellStyle name="Normal 5 2 2 7" xfId="6754" xr:uid="{00000000-0005-0000-0000-0000F4A50000}"/>
    <cellStyle name="Normal 5 2 2 7 2" xfId="18055" xr:uid="{00000000-0005-0000-0000-0000F5A50000}"/>
    <cellStyle name="Normal 5 2 2 7 2 2" xfId="40657" xr:uid="{00000000-0005-0000-0000-0000F6A50000}"/>
    <cellStyle name="Normal 5 2 2 7 3" xfId="29356" xr:uid="{00000000-0005-0000-0000-0000F7A50000}"/>
    <cellStyle name="Normal 5 2 2 8" xfId="12405" xr:uid="{00000000-0005-0000-0000-0000F8A50000}"/>
    <cellStyle name="Normal 5 2 2 8 2" xfId="35007" xr:uid="{00000000-0005-0000-0000-0000F9A50000}"/>
    <cellStyle name="Normal 5 2 2 9" xfId="23706" xr:uid="{00000000-0005-0000-0000-0000FAA50000}"/>
    <cellStyle name="Normal 5 2 3" xfId="1108" xr:uid="{00000000-0005-0000-0000-0000FBA50000}"/>
    <cellStyle name="Normal 5 2 3 2" xfId="2115" xr:uid="{00000000-0005-0000-0000-0000FCA50000}"/>
    <cellStyle name="Normal 5 2 3 2 2" xfId="3175" xr:uid="{00000000-0005-0000-0000-0000FDA50000}"/>
    <cellStyle name="Normal 5 2 3 2 2 2" xfId="6147" xr:uid="{00000000-0005-0000-0000-0000FEA50000}"/>
    <cellStyle name="Normal 5 2 3 2 2 2 2" xfId="11797" xr:uid="{00000000-0005-0000-0000-0000FFA50000}"/>
    <cellStyle name="Normal 5 2 3 2 2 2 2 2" xfId="23098" xr:uid="{00000000-0005-0000-0000-000000A60000}"/>
    <cellStyle name="Normal 5 2 3 2 2 2 2 2 2" xfId="45700" xr:uid="{00000000-0005-0000-0000-000001A60000}"/>
    <cellStyle name="Normal 5 2 3 2 2 2 2 3" xfId="34399" xr:uid="{00000000-0005-0000-0000-000002A60000}"/>
    <cellStyle name="Normal 5 2 3 2 2 2 3" xfId="17448" xr:uid="{00000000-0005-0000-0000-000003A60000}"/>
    <cellStyle name="Normal 5 2 3 2 2 2 3 2" xfId="40050" xr:uid="{00000000-0005-0000-0000-000004A60000}"/>
    <cellStyle name="Normal 5 2 3 2 2 2 4" xfId="28749" xr:uid="{00000000-0005-0000-0000-000005A60000}"/>
    <cellStyle name="Normal 5 2 3 2 2 3" xfId="8965" xr:uid="{00000000-0005-0000-0000-000006A60000}"/>
    <cellStyle name="Normal 5 2 3 2 2 3 2" xfId="20266" xr:uid="{00000000-0005-0000-0000-000007A60000}"/>
    <cellStyle name="Normal 5 2 3 2 2 3 2 2" xfId="42868" xr:uid="{00000000-0005-0000-0000-000008A60000}"/>
    <cellStyle name="Normal 5 2 3 2 2 3 3" xfId="31567" xr:uid="{00000000-0005-0000-0000-000009A60000}"/>
    <cellStyle name="Normal 5 2 3 2 2 4" xfId="14616" xr:uid="{00000000-0005-0000-0000-00000AA60000}"/>
    <cellStyle name="Normal 5 2 3 2 2 4 2" xfId="37218" xr:uid="{00000000-0005-0000-0000-00000BA60000}"/>
    <cellStyle name="Normal 5 2 3 2 2 5" xfId="25917" xr:uid="{00000000-0005-0000-0000-00000CA60000}"/>
    <cellStyle name="Normal 5 2 3 2 3" xfId="4913" xr:uid="{00000000-0005-0000-0000-00000DA60000}"/>
    <cellStyle name="Normal 5 2 3 2 3 2" xfId="10563" xr:uid="{00000000-0005-0000-0000-00000EA60000}"/>
    <cellStyle name="Normal 5 2 3 2 3 2 2" xfId="21864" xr:uid="{00000000-0005-0000-0000-00000FA60000}"/>
    <cellStyle name="Normal 5 2 3 2 3 2 2 2" xfId="44466" xr:uid="{00000000-0005-0000-0000-000010A60000}"/>
    <cellStyle name="Normal 5 2 3 2 3 2 3" xfId="33165" xr:uid="{00000000-0005-0000-0000-000011A60000}"/>
    <cellStyle name="Normal 5 2 3 2 3 3" xfId="16214" xr:uid="{00000000-0005-0000-0000-000012A60000}"/>
    <cellStyle name="Normal 5 2 3 2 3 3 2" xfId="38816" xr:uid="{00000000-0005-0000-0000-000013A60000}"/>
    <cellStyle name="Normal 5 2 3 2 3 4" xfId="27515" xr:uid="{00000000-0005-0000-0000-000014A60000}"/>
    <cellStyle name="Normal 5 2 3 2 4" xfId="7971" xr:uid="{00000000-0005-0000-0000-000015A60000}"/>
    <cellStyle name="Normal 5 2 3 2 4 2" xfId="19272" xr:uid="{00000000-0005-0000-0000-000016A60000}"/>
    <cellStyle name="Normal 5 2 3 2 4 2 2" xfId="41874" xr:uid="{00000000-0005-0000-0000-000017A60000}"/>
    <cellStyle name="Normal 5 2 3 2 4 3" xfId="30573" xr:uid="{00000000-0005-0000-0000-000018A60000}"/>
    <cellStyle name="Normal 5 2 3 2 5" xfId="13622" xr:uid="{00000000-0005-0000-0000-000019A60000}"/>
    <cellStyle name="Normal 5 2 3 2 5 2" xfId="36224" xr:uid="{00000000-0005-0000-0000-00001AA60000}"/>
    <cellStyle name="Normal 5 2 3 2 6" xfId="24923" xr:uid="{00000000-0005-0000-0000-00001BA60000}"/>
    <cellStyle name="Normal 5 2 3 3" xfId="2504" xr:uid="{00000000-0005-0000-0000-00001CA60000}"/>
    <cellStyle name="Normal 5 2 3 3 2" xfId="5523" xr:uid="{00000000-0005-0000-0000-00001DA60000}"/>
    <cellStyle name="Normal 5 2 3 3 2 2" xfId="11173" xr:uid="{00000000-0005-0000-0000-00001EA60000}"/>
    <cellStyle name="Normal 5 2 3 3 2 2 2" xfId="22474" xr:uid="{00000000-0005-0000-0000-00001FA60000}"/>
    <cellStyle name="Normal 5 2 3 3 2 2 2 2" xfId="45076" xr:uid="{00000000-0005-0000-0000-000020A60000}"/>
    <cellStyle name="Normal 5 2 3 3 2 2 3" xfId="33775" xr:uid="{00000000-0005-0000-0000-000021A60000}"/>
    <cellStyle name="Normal 5 2 3 3 2 3" xfId="16824" xr:uid="{00000000-0005-0000-0000-000022A60000}"/>
    <cellStyle name="Normal 5 2 3 3 2 3 2" xfId="39426" xr:uid="{00000000-0005-0000-0000-000023A60000}"/>
    <cellStyle name="Normal 5 2 3 3 2 4" xfId="28125" xr:uid="{00000000-0005-0000-0000-000024A60000}"/>
    <cellStyle name="Normal 5 2 3 3 3" xfId="8340" xr:uid="{00000000-0005-0000-0000-000025A60000}"/>
    <cellStyle name="Normal 5 2 3 3 3 2" xfId="19641" xr:uid="{00000000-0005-0000-0000-000026A60000}"/>
    <cellStyle name="Normal 5 2 3 3 3 2 2" xfId="42243" xr:uid="{00000000-0005-0000-0000-000027A60000}"/>
    <cellStyle name="Normal 5 2 3 3 3 3" xfId="30942" xr:uid="{00000000-0005-0000-0000-000028A60000}"/>
    <cellStyle name="Normal 5 2 3 3 4" xfId="13991" xr:uid="{00000000-0005-0000-0000-000029A60000}"/>
    <cellStyle name="Normal 5 2 3 3 4 2" xfId="36593" xr:uid="{00000000-0005-0000-0000-00002AA60000}"/>
    <cellStyle name="Normal 5 2 3 3 5" xfId="25292" xr:uid="{00000000-0005-0000-0000-00002BA60000}"/>
    <cellStyle name="Normal 5 2 3 4" xfId="4289" xr:uid="{00000000-0005-0000-0000-00002CA60000}"/>
    <cellStyle name="Normal 5 2 3 4 2" xfId="9939" xr:uid="{00000000-0005-0000-0000-00002DA60000}"/>
    <cellStyle name="Normal 5 2 3 4 2 2" xfId="21240" xr:uid="{00000000-0005-0000-0000-00002EA60000}"/>
    <cellStyle name="Normal 5 2 3 4 2 2 2" xfId="43842" xr:uid="{00000000-0005-0000-0000-00002FA60000}"/>
    <cellStyle name="Normal 5 2 3 4 2 3" xfId="32541" xr:uid="{00000000-0005-0000-0000-000030A60000}"/>
    <cellStyle name="Normal 5 2 3 4 3" xfId="15590" xr:uid="{00000000-0005-0000-0000-000031A60000}"/>
    <cellStyle name="Normal 5 2 3 4 3 2" xfId="38192" xr:uid="{00000000-0005-0000-0000-000032A60000}"/>
    <cellStyle name="Normal 5 2 3 4 4" xfId="26891" xr:uid="{00000000-0005-0000-0000-000033A60000}"/>
    <cellStyle name="Normal 5 2 3 5" xfId="7087" xr:uid="{00000000-0005-0000-0000-000034A60000}"/>
    <cellStyle name="Normal 5 2 3 5 2" xfId="18388" xr:uid="{00000000-0005-0000-0000-000035A60000}"/>
    <cellStyle name="Normal 5 2 3 5 2 2" xfId="40990" xr:uid="{00000000-0005-0000-0000-000036A60000}"/>
    <cellStyle name="Normal 5 2 3 5 3" xfId="29689" xr:uid="{00000000-0005-0000-0000-000037A60000}"/>
    <cellStyle name="Normal 5 2 3 6" xfId="12738" xr:uid="{00000000-0005-0000-0000-000038A60000}"/>
    <cellStyle name="Normal 5 2 3 6 2" xfId="35340" xr:uid="{00000000-0005-0000-0000-000039A60000}"/>
    <cellStyle name="Normal 5 2 3 7" xfId="24039" xr:uid="{00000000-0005-0000-0000-00003AA60000}"/>
    <cellStyle name="Normal 5 2 4" xfId="771" xr:uid="{00000000-0005-0000-0000-00003BA60000}"/>
    <cellStyle name="Normal 5 2 4 2" xfId="2868" xr:uid="{00000000-0005-0000-0000-00003CA60000}"/>
    <cellStyle name="Normal 5 2 4 2 2" xfId="5840" xr:uid="{00000000-0005-0000-0000-00003DA60000}"/>
    <cellStyle name="Normal 5 2 4 2 2 2" xfId="11490" xr:uid="{00000000-0005-0000-0000-00003EA60000}"/>
    <cellStyle name="Normal 5 2 4 2 2 2 2" xfId="22791" xr:uid="{00000000-0005-0000-0000-00003FA60000}"/>
    <cellStyle name="Normal 5 2 4 2 2 2 2 2" xfId="45393" xr:uid="{00000000-0005-0000-0000-000040A60000}"/>
    <cellStyle name="Normal 5 2 4 2 2 2 3" xfId="34092" xr:uid="{00000000-0005-0000-0000-000041A60000}"/>
    <cellStyle name="Normal 5 2 4 2 2 3" xfId="17141" xr:uid="{00000000-0005-0000-0000-000042A60000}"/>
    <cellStyle name="Normal 5 2 4 2 2 3 2" xfId="39743" xr:uid="{00000000-0005-0000-0000-000043A60000}"/>
    <cellStyle name="Normal 5 2 4 2 2 4" xfId="28442" xr:uid="{00000000-0005-0000-0000-000044A60000}"/>
    <cellStyle name="Normal 5 2 4 2 3" xfId="8658" xr:uid="{00000000-0005-0000-0000-000045A60000}"/>
    <cellStyle name="Normal 5 2 4 2 3 2" xfId="19959" xr:uid="{00000000-0005-0000-0000-000046A60000}"/>
    <cellStyle name="Normal 5 2 4 2 3 2 2" xfId="42561" xr:uid="{00000000-0005-0000-0000-000047A60000}"/>
    <cellStyle name="Normal 5 2 4 2 3 3" xfId="31260" xr:uid="{00000000-0005-0000-0000-000048A60000}"/>
    <cellStyle name="Normal 5 2 4 2 4" xfId="14309" xr:uid="{00000000-0005-0000-0000-000049A60000}"/>
    <cellStyle name="Normal 5 2 4 2 4 2" xfId="36911" xr:uid="{00000000-0005-0000-0000-00004AA60000}"/>
    <cellStyle name="Normal 5 2 4 2 5" xfId="25610" xr:uid="{00000000-0005-0000-0000-00004BA60000}"/>
    <cellStyle name="Normal 5 2 4 3" xfId="4606" xr:uid="{00000000-0005-0000-0000-00004CA60000}"/>
    <cellStyle name="Normal 5 2 4 3 2" xfId="10256" xr:uid="{00000000-0005-0000-0000-00004DA60000}"/>
    <cellStyle name="Normal 5 2 4 3 2 2" xfId="21557" xr:uid="{00000000-0005-0000-0000-00004EA60000}"/>
    <cellStyle name="Normal 5 2 4 3 2 2 2" xfId="44159" xr:uid="{00000000-0005-0000-0000-00004FA60000}"/>
    <cellStyle name="Normal 5 2 4 3 2 3" xfId="32858" xr:uid="{00000000-0005-0000-0000-000050A60000}"/>
    <cellStyle name="Normal 5 2 4 3 3" xfId="15907" xr:uid="{00000000-0005-0000-0000-000051A60000}"/>
    <cellStyle name="Normal 5 2 4 3 3 2" xfId="38509" xr:uid="{00000000-0005-0000-0000-000052A60000}"/>
    <cellStyle name="Normal 5 2 4 3 4" xfId="27208" xr:uid="{00000000-0005-0000-0000-000053A60000}"/>
    <cellStyle name="Normal 5 2 4 4" xfId="6789" xr:uid="{00000000-0005-0000-0000-000054A60000}"/>
    <cellStyle name="Normal 5 2 4 4 2" xfId="18090" xr:uid="{00000000-0005-0000-0000-000055A60000}"/>
    <cellStyle name="Normal 5 2 4 4 2 2" xfId="40692" xr:uid="{00000000-0005-0000-0000-000056A60000}"/>
    <cellStyle name="Normal 5 2 4 4 3" xfId="29391" xr:uid="{00000000-0005-0000-0000-000057A60000}"/>
    <cellStyle name="Normal 5 2 4 5" xfId="12440" xr:uid="{00000000-0005-0000-0000-000058A60000}"/>
    <cellStyle name="Normal 5 2 4 5 2" xfId="35042" xr:uid="{00000000-0005-0000-0000-000059A60000}"/>
    <cellStyle name="Normal 5 2 4 6" xfId="23741" xr:uid="{00000000-0005-0000-0000-00005AA60000}"/>
    <cellStyle name="Normal 5 2 5" xfId="2112" xr:uid="{00000000-0005-0000-0000-00005BA60000}"/>
    <cellStyle name="Normal 5 2 5 2" xfId="3862" xr:uid="{00000000-0005-0000-0000-00005CA60000}"/>
    <cellStyle name="Normal 5 2 5 2 2" xfId="9570" xr:uid="{00000000-0005-0000-0000-00005DA60000}"/>
    <cellStyle name="Normal 5 2 5 2 2 2" xfId="20871" xr:uid="{00000000-0005-0000-0000-00005EA60000}"/>
    <cellStyle name="Normal 5 2 5 2 2 2 2" xfId="43473" xr:uid="{00000000-0005-0000-0000-00005FA60000}"/>
    <cellStyle name="Normal 5 2 5 2 2 3" xfId="32172" xr:uid="{00000000-0005-0000-0000-000060A60000}"/>
    <cellStyle name="Normal 5 2 5 2 3" xfId="15221" xr:uid="{00000000-0005-0000-0000-000061A60000}"/>
    <cellStyle name="Normal 5 2 5 2 3 2" xfId="37823" xr:uid="{00000000-0005-0000-0000-000062A60000}"/>
    <cellStyle name="Normal 5 2 5 2 4" xfId="26522" xr:uid="{00000000-0005-0000-0000-000063A60000}"/>
    <cellStyle name="Normal 5 2 5 3" xfId="5216" xr:uid="{00000000-0005-0000-0000-000064A60000}"/>
    <cellStyle name="Normal 5 2 5 3 2" xfId="10866" xr:uid="{00000000-0005-0000-0000-000065A60000}"/>
    <cellStyle name="Normal 5 2 5 3 2 2" xfId="22167" xr:uid="{00000000-0005-0000-0000-000066A60000}"/>
    <cellStyle name="Normal 5 2 5 3 2 2 2" xfId="44769" xr:uid="{00000000-0005-0000-0000-000067A60000}"/>
    <cellStyle name="Normal 5 2 5 3 2 3" xfId="33468" xr:uid="{00000000-0005-0000-0000-000068A60000}"/>
    <cellStyle name="Normal 5 2 5 3 3" xfId="16517" xr:uid="{00000000-0005-0000-0000-000069A60000}"/>
    <cellStyle name="Normal 5 2 5 3 3 2" xfId="39119" xr:uid="{00000000-0005-0000-0000-00006AA60000}"/>
    <cellStyle name="Normal 5 2 5 3 4" xfId="27818" xr:uid="{00000000-0005-0000-0000-00006BA60000}"/>
    <cellStyle name="Normal 5 2 5 4" xfId="7968" xr:uid="{00000000-0005-0000-0000-00006CA60000}"/>
    <cellStyle name="Normal 5 2 5 4 2" xfId="19269" xr:uid="{00000000-0005-0000-0000-00006DA60000}"/>
    <cellStyle name="Normal 5 2 5 4 2 2" xfId="41871" xr:uid="{00000000-0005-0000-0000-00006EA60000}"/>
    <cellStyle name="Normal 5 2 5 4 3" xfId="30570" xr:uid="{00000000-0005-0000-0000-00006FA60000}"/>
    <cellStyle name="Normal 5 2 5 5" xfId="13619" xr:uid="{00000000-0005-0000-0000-000070A60000}"/>
    <cellStyle name="Normal 5 2 5 5 2" xfId="36221" xr:uid="{00000000-0005-0000-0000-000071A60000}"/>
    <cellStyle name="Normal 5 2 5 6" xfId="24920" xr:uid="{00000000-0005-0000-0000-000072A60000}"/>
    <cellStyle name="Normal 5 2 6" xfId="2186" xr:uid="{00000000-0005-0000-0000-000073A60000}"/>
    <cellStyle name="Normal 5 2 6 2" xfId="8030" xr:uid="{00000000-0005-0000-0000-000074A60000}"/>
    <cellStyle name="Normal 5 2 6 2 2" xfId="19331" xr:uid="{00000000-0005-0000-0000-000075A60000}"/>
    <cellStyle name="Normal 5 2 6 2 2 2" xfId="41933" xr:uid="{00000000-0005-0000-0000-000076A60000}"/>
    <cellStyle name="Normal 5 2 6 2 3" xfId="30632" xr:uid="{00000000-0005-0000-0000-000077A60000}"/>
    <cellStyle name="Normal 5 2 6 3" xfId="13681" xr:uid="{00000000-0005-0000-0000-000078A60000}"/>
    <cellStyle name="Normal 5 2 6 3 2" xfId="36283" xr:uid="{00000000-0005-0000-0000-000079A60000}"/>
    <cellStyle name="Normal 5 2 6 4" xfId="24982" xr:uid="{00000000-0005-0000-0000-00007AA60000}"/>
    <cellStyle name="Normal 5 2 7" xfId="3982" xr:uid="{00000000-0005-0000-0000-00007BA60000}"/>
    <cellStyle name="Normal 5 2 7 2" xfId="9632" xr:uid="{00000000-0005-0000-0000-00007CA60000}"/>
    <cellStyle name="Normal 5 2 7 2 2" xfId="20933" xr:uid="{00000000-0005-0000-0000-00007DA60000}"/>
    <cellStyle name="Normal 5 2 7 2 2 2" xfId="43535" xr:uid="{00000000-0005-0000-0000-00007EA60000}"/>
    <cellStyle name="Normal 5 2 7 2 3" xfId="32234" xr:uid="{00000000-0005-0000-0000-00007FA60000}"/>
    <cellStyle name="Normal 5 2 7 3" xfId="15283" xr:uid="{00000000-0005-0000-0000-000080A60000}"/>
    <cellStyle name="Normal 5 2 7 3 2" xfId="37885" xr:uid="{00000000-0005-0000-0000-000081A60000}"/>
    <cellStyle name="Normal 5 2 7 4" xfId="26584" xr:uid="{00000000-0005-0000-0000-000082A60000}"/>
    <cellStyle name="Normal 5 2 8" xfId="6600" xr:uid="{00000000-0005-0000-0000-000083A60000}"/>
    <cellStyle name="Normal 5 2 8 2" xfId="17901" xr:uid="{00000000-0005-0000-0000-000084A60000}"/>
    <cellStyle name="Normal 5 2 8 2 2" xfId="40503" xr:uid="{00000000-0005-0000-0000-000085A60000}"/>
    <cellStyle name="Normal 5 2 8 3" xfId="29202" xr:uid="{00000000-0005-0000-0000-000086A60000}"/>
    <cellStyle name="Normal 5 2 9" xfId="12251" xr:uid="{00000000-0005-0000-0000-000087A60000}"/>
    <cellStyle name="Normal 5 2 9 2" xfId="34853" xr:uid="{00000000-0005-0000-0000-000088A60000}"/>
    <cellStyle name="Normal 5 3" xfId="508" xr:uid="{00000000-0005-0000-0000-000089A60000}"/>
    <cellStyle name="Normal 5 3 10" xfId="23555" xr:uid="{00000000-0005-0000-0000-00008AA60000}"/>
    <cellStyle name="Normal 5 3 2" xfId="691" xr:uid="{00000000-0005-0000-0000-00008BA60000}"/>
    <cellStyle name="Normal 5 3 2 2" xfId="1277" xr:uid="{00000000-0005-0000-0000-00008CA60000}"/>
    <cellStyle name="Normal 5 3 2 2 2" xfId="2118" xr:uid="{00000000-0005-0000-0000-00008DA60000}"/>
    <cellStyle name="Normal 5 3 2 2 2 2" xfId="3346" xr:uid="{00000000-0005-0000-0000-00008EA60000}"/>
    <cellStyle name="Normal 5 3 2 2 2 2 2" xfId="6318" xr:uid="{00000000-0005-0000-0000-00008FA60000}"/>
    <cellStyle name="Normal 5 3 2 2 2 2 2 2" xfId="11968" xr:uid="{00000000-0005-0000-0000-000090A60000}"/>
    <cellStyle name="Normal 5 3 2 2 2 2 2 2 2" xfId="23269" xr:uid="{00000000-0005-0000-0000-000091A60000}"/>
    <cellStyle name="Normal 5 3 2 2 2 2 2 2 2 2" xfId="45871" xr:uid="{00000000-0005-0000-0000-000092A60000}"/>
    <cellStyle name="Normal 5 3 2 2 2 2 2 2 3" xfId="34570" xr:uid="{00000000-0005-0000-0000-000093A60000}"/>
    <cellStyle name="Normal 5 3 2 2 2 2 2 3" xfId="17619" xr:uid="{00000000-0005-0000-0000-000094A60000}"/>
    <cellStyle name="Normal 5 3 2 2 2 2 2 3 2" xfId="40221" xr:uid="{00000000-0005-0000-0000-000095A60000}"/>
    <cellStyle name="Normal 5 3 2 2 2 2 2 4" xfId="28920" xr:uid="{00000000-0005-0000-0000-000096A60000}"/>
    <cellStyle name="Normal 5 3 2 2 2 2 3" xfId="9136" xr:uid="{00000000-0005-0000-0000-000097A60000}"/>
    <cellStyle name="Normal 5 3 2 2 2 2 3 2" xfId="20437" xr:uid="{00000000-0005-0000-0000-000098A60000}"/>
    <cellStyle name="Normal 5 3 2 2 2 2 3 2 2" xfId="43039" xr:uid="{00000000-0005-0000-0000-000099A60000}"/>
    <cellStyle name="Normal 5 3 2 2 2 2 3 3" xfId="31738" xr:uid="{00000000-0005-0000-0000-00009AA60000}"/>
    <cellStyle name="Normal 5 3 2 2 2 2 4" xfId="14787" xr:uid="{00000000-0005-0000-0000-00009BA60000}"/>
    <cellStyle name="Normal 5 3 2 2 2 2 4 2" xfId="37389" xr:uid="{00000000-0005-0000-0000-00009CA60000}"/>
    <cellStyle name="Normal 5 3 2 2 2 2 5" xfId="26088" xr:uid="{00000000-0005-0000-0000-00009DA60000}"/>
    <cellStyle name="Normal 5 3 2 2 2 3" xfId="5084" xr:uid="{00000000-0005-0000-0000-00009EA60000}"/>
    <cellStyle name="Normal 5 3 2 2 2 3 2" xfId="10734" xr:uid="{00000000-0005-0000-0000-00009FA60000}"/>
    <cellStyle name="Normal 5 3 2 2 2 3 2 2" xfId="22035" xr:uid="{00000000-0005-0000-0000-0000A0A60000}"/>
    <cellStyle name="Normal 5 3 2 2 2 3 2 2 2" xfId="44637" xr:uid="{00000000-0005-0000-0000-0000A1A60000}"/>
    <cellStyle name="Normal 5 3 2 2 2 3 2 3" xfId="33336" xr:uid="{00000000-0005-0000-0000-0000A2A60000}"/>
    <cellStyle name="Normal 5 3 2 2 2 3 3" xfId="16385" xr:uid="{00000000-0005-0000-0000-0000A3A60000}"/>
    <cellStyle name="Normal 5 3 2 2 2 3 3 2" xfId="38987" xr:uid="{00000000-0005-0000-0000-0000A4A60000}"/>
    <cellStyle name="Normal 5 3 2 2 2 3 4" xfId="27686" xr:uid="{00000000-0005-0000-0000-0000A5A60000}"/>
    <cellStyle name="Normal 5 3 2 2 2 4" xfId="7974" xr:uid="{00000000-0005-0000-0000-0000A6A60000}"/>
    <cellStyle name="Normal 5 3 2 2 2 4 2" xfId="19275" xr:uid="{00000000-0005-0000-0000-0000A7A60000}"/>
    <cellStyle name="Normal 5 3 2 2 2 4 2 2" xfId="41877" xr:uid="{00000000-0005-0000-0000-0000A8A60000}"/>
    <cellStyle name="Normal 5 3 2 2 2 4 3" xfId="30576" xr:uid="{00000000-0005-0000-0000-0000A9A60000}"/>
    <cellStyle name="Normal 5 3 2 2 2 5" xfId="13625" xr:uid="{00000000-0005-0000-0000-0000AAA60000}"/>
    <cellStyle name="Normal 5 3 2 2 2 5 2" xfId="36227" xr:uid="{00000000-0005-0000-0000-0000ABA60000}"/>
    <cellStyle name="Normal 5 3 2 2 2 6" xfId="24926" xr:uid="{00000000-0005-0000-0000-0000ACA60000}"/>
    <cellStyle name="Normal 5 3 2 2 3" xfId="2675" xr:uid="{00000000-0005-0000-0000-0000ADA60000}"/>
    <cellStyle name="Normal 5 3 2 2 3 2" xfId="5694" xr:uid="{00000000-0005-0000-0000-0000AEA60000}"/>
    <cellStyle name="Normal 5 3 2 2 3 2 2" xfId="11344" xr:uid="{00000000-0005-0000-0000-0000AFA60000}"/>
    <cellStyle name="Normal 5 3 2 2 3 2 2 2" xfId="22645" xr:uid="{00000000-0005-0000-0000-0000B0A60000}"/>
    <cellStyle name="Normal 5 3 2 2 3 2 2 2 2" xfId="45247" xr:uid="{00000000-0005-0000-0000-0000B1A60000}"/>
    <cellStyle name="Normal 5 3 2 2 3 2 2 3" xfId="33946" xr:uid="{00000000-0005-0000-0000-0000B2A60000}"/>
    <cellStyle name="Normal 5 3 2 2 3 2 3" xfId="16995" xr:uid="{00000000-0005-0000-0000-0000B3A60000}"/>
    <cellStyle name="Normal 5 3 2 2 3 2 3 2" xfId="39597" xr:uid="{00000000-0005-0000-0000-0000B4A60000}"/>
    <cellStyle name="Normal 5 3 2 2 3 2 4" xfId="28296" xr:uid="{00000000-0005-0000-0000-0000B5A60000}"/>
    <cellStyle name="Normal 5 3 2 2 3 3" xfId="8511" xr:uid="{00000000-0005-0000-0000-0000B6A60000}"/>
    <cellStyle name="Normal 5 3 2 2 3 3 2" xfId="19812" xr:uid="{00000000-0005-0000-0000-0000B7A60000}"/>
    <cellStyle name="Normal 5 3 2 2 3 3 2 2" xfId="42414" xr:uid="{00000000-0005-0000-0000-0000B8A60000}"/>
    <cellStyle name="Normal 5 3 2 2 3 3 3" xfId="31113" xr:uid="{00000000-0005-0000-0000-0000B9A60000}"/>
    <cellStyle name="Normal 5 3 2 2 3 4" xfId="14162" xr:uid="{00000000-0005-0000-0000-0000BAA60000}"/>
    <cellStyle name="Normal 5 3 2 2 3 4 2" xfId="36764" xr:uid="{00000000-0005-0000-0000-0000BBA60000}"/>
    <cellStyle name="Normal 5 3 2 2 3 5" xfId="25463" xr:uid="{00000000-0005-0000-0000-0000BCA60000}"/>
    <cellStyle name="Normal 5 3 2 2 4" xfId="4460" xr:uid="{00000000-0005-0000-0000-0000BDA60000}"/>
    <cellStyle name="Normal 5 3 2 2 4 2" xfId="10110" xr:uid="{00000000-0005-0000-0000-0000BEA60000}"/>
    <cellStyle name="Normal 5 3 2 2 4 2 2" xfId="21411" xr:uid="{00000000-0005-0000-0000-0000BFA60000}"/>
    <cellStyle name="Normal 5 3 2 2 4 2 2 2" xfId="44013" xr:uid="{00000000-0005-0000-0000-0000C0A60000}"/>
    <cellStyle name="Normal 5 3 2 2 4 2 3" xfId="32712" xr:uid="{00000000-0005-0000-0000-0000C1A60000}"/>
    <cellStyle name="Normal 5 3 2 2 4 3" xfId="15761" xr:uid="{00000000-0005-0000-0000-0000C2A60000}"/>
    <cellStyle name="Normal 5 3 2 2 4 3 2" xfId="38363" xr:uid="{00000000-0005-0000-0000-0000C3A60000}"/>
    <cellStyle name="Normal 5 3 2 2 4 4" xfId="27062" xr:uid="{00000000-0005-0000-0000-0000C4A60000}"/>
    <cellStyle name="Normal 5 3 2 2 5" xfId="7256" xr:uid="{00000000-0005-0000-0000-0000C5A60000}"/>
    <cellStyle name="Normal 5 3 2 2 5 2" xfId="18557" xr:uid="{00000000-0005-0000-0000-0000C6A60000}"/>
    <cellStyle name="Normal 5 3 2 2 5 2 2" xfId="41159" xr:uid="{00000000-0005-0000-0000-0000C7A60000}"/>
    <cellStyle name="Normal 5 3 2 2 5 3" xfId="29858" xr:uid="{00000000-0005-0000-0000-0000C8A60000}"/>
    <cellStyle name="Normal 5 3 2 2 6" xfId="12907" xr:uid="{00000000-0005-0000-0000-0000C9A60000}"/>
    <cellStyle name="Normal 5 3 2 2 6 2" xfId="35509" xr:uid="{00000000-0005-0000-0000-0000CAA60000}"/>
    <cellStyle name="Normal 5 3 2 2 7" xfId="24208" xr:uid="{00000000-0005-0000-0000-0000CBA60000}"/>
    <cellStyle name="Normal 5 3 2 3" xfId="975" xr:uid="{00000000-0005-0000-0000-0000CCA60000}"/>
    <cellStyle name="Normal 5 3 2 3 2" xfId="3038" xr:uid="{00000000-0005-0000-0000-0000CDA60000}"/>
    <cellStyle name="Normal 5 3 2 3 2 2" xfId="6010" xr:uid="{00000000-0005-0000-0000-0000CEA60000}"/>
    <cellStyle name="Normal 5 3 2 3 2 2 2" xfId="11660" xr:uid="{00000000-0005-0000-0000-0000CFA60000}"/>
    <cellStyle name="Normal 5 3 2 3 2 2 2 2" xfId="22961" xr:uid="{00000000-0005-0000-0000-0000D0A60000}"/>
    <cellStyle name="Normal 5 3 2 3 2 2 2 2 2" xfId="45563" xr:uid="{00000000-0005-0000-0000-0000D1A60000}"/>
    <cellStyle name="Normal 5 3 2 3 2 2 2 3" xfId="34262" xr:uid="{00000000-0005-0000-0000-0000D2A60000}"/>
    <cellStyle name="Normal 5 3 2 3 2 2 3" xfId="17311" xr:uid="{00000000-0005-0000-0000-0000D3A60000}"/>
    <cellStyle name="Normal 5 3 2 3 2 2 3 2" xfId="39913" xr:uid="{00000000-0005-0000-0000-0000D4A60000}"/>
    <cellStyle name="Normal 5 3 2 3 2 2 4" xfId="28612" xr:uid="{00000000-0005-0000-0000-0000D5A60000}"/>
    <cellStyle name="Normal 5 3 2 3 2 3" xfId="8828" xr:uid="{00000000-0005-0000-0000-0000D6A60000}"/>
    <cellStyle name="Normal 5 3 2 3 2 3 2" xfId="20129" xr:uid="{00000000-0005-0000-0000-0000D7A60000}"/>
    <cellStyle name="Normal 5 3 2 3 2 3 2 2" xfId="42731" xr:uid="{00000000-0005-0000-0000-0000D8A60000}"/>
    <cellStyle name="Normal 5 3 2 3 2 3 3" xfId="31430" xr:uid="{00000000-0005-0000-0000-0000D9A60000}"/>
    <cellStyle name="Normal 5 3 2 3 2 4" xfId="14479" xr:uid="{00000000-0005-0000-0000-0000DAA60000}"/>
    <cellStyle name="Normal 5 3 2 3 2 4 2" xfId="37081" xr:uid="{00000000-0005-0000-0000-0000DBA60000}"/>
    <cellStyle name="Normal 5 3 2 3 2 5" xfId="25780" xr:uid="{00000000-0005-0000-0000-0000DCA60000}"/>
    <cellStyle name="Normal 5 3 2 3 3" xfId="4776" xr:uid="{00000000-0005-0000-0000-0000DDA60000}"/>
    <cellStyle name="Normal 5 3 2 3 3 2" xfId="10426" xr:uid="{00000000-0005-0000-0000-0000DEA60000}"/>
    <cellStyle name="Normal 5 3 2 3 3 2 2" xfId="21727" xr:uid="{00000000-0005-0000-0000-0000DFA60000}"/>
    <cellStyle name="Normal 5 3 2 3 3 2 2 2" xfId="44329" xr:uid="{00000000-0005-0000-0000-0000E0A60000}"/>
    <cellStyle name="Normal 5 3 2 3 3 2 3" xfId="33028" xr:uid="{00000000-0005-0000-0000-0000E1A60000}"/>
    <cellStyle name="Normal 5 3 2 3 3 3" xfId="16077" xr:uid="{00000000-0005-0000-0000-0000E2A60000}"/>
    <cellStyle name="Normal 5 3 2 3 3 3 2" xfId="38679" xr:uid="{00000000-0005-0000-0000-0000E3A60000}"/>
    <cellStyle name="Normal 5 3 2 3 3 4" xfId="27378" xr:uid="{00000000-0005-0000-0000-0000E4A60000}"/>
    <cellStyle name="Normal 5 3 2 3 4" xfId="6963" xr:uid="{00000000-0005-0000-0000-0000E5A60000}"/>
    <cellStyle name="Normal 5 3 2 3 4 2" xfId="18264" xr:uid="{00000000-0005-0000-0000-0000E6A60000}"/>
    <cellStyle name="Normal 5 3 2 3 4 2 2" xfId="40866" xr:uid="{00000000-0005-0000-0000-0000E7A60000}"/>
    <cellStyle name="Normal 5 3 2 3 4 3" xfId="29565" xr:uid="{00000000-0005-0000-0000-0000E8A60000}"/>
    <cellStyle name="Normal 5 3 2 3 5" xfId="12614" xr:uid="{00000000-0005-0000-0000-0000E9A60000}"/>
    <cellStyle name="Normal 5 3 2 3 5 2" xfId="35216" xr:uid="{00000000-0005-0000-0000-0000EAA60000}"/>
    <cellStyle name="Normal 5 3 2 3 6" xfId="23915" xr:uid="{00000000-0005-0000-0000-0000EBA60000}"/>
    <cellStyle name="Normal 5 3 2 4" xfId="2117" xr:uid="{00000000-0005-0000-0000-0000ECA60000}"/>
    <cellStyle name="Normal 5 3 2 4 2" xfId="3865" xr:uid="{00000000-0005-0000-0000-0000EDA60000}"/>
    <cellStyle name="Normal 5 3 2 4 2 2" xfId="9573" xr:uid="{00000000-0005-0000-0000-0000EEA60000}"/>
    <cellStyle name="Normal 5 3 2 4 2 2 2" xfId="20874" xr:uid="{00000000-0005-0000-0000-0000EFA60000}"/>
    <cellStyle name="Normal 5 3 2 4 2 2 2 2" xfId="43476" xr:uid="{00000000-0005-0000-0000-0000F0A60000}"/>
    <cellStyle name="Normal 5 3 2 4 2 2 3" xfId="32175" xr:uid="{00000000-0005-0000-0000-0000F1A60000}"/>
    <cellStyle name="Normal 5 3 2 4 2 3" xfId="15224" xr:uid="{00000000-0005-0000-0000-0000F2A60000}"/>
    <cellStyle name="Normal 5 3 2 4 2 3 2" xfId="37826" xr:uid="{00000000-0005-0000-0000-0000F3A60000}"/>
    <cellStyle name="Normal 5 3 2 4 2 4" xfId="26525" xr:uid="{00000000-0005-0000-0000-0000F4A60000}"/>
    <cellStyle name="Normal 5 3 2 4 3" xfId="5386" xr:uid="{00000000-0005-0000-0000-0000F5A60000}"/>
    <cellStyle name="Normal 5 3 2 4 3 2" xfId="11036" xr:uid="{00000000-0005-0000-0000-0000F6A60000}"/>
    <cellStyle name="Normal 5 3 2 4 3 2 2" xfId="22337" xr:uid="{00000000-0005-0000-0000-0000F7A60000}"/>
    <cellStyle name="Normal 5 3 2 4 3 2 2 2" xfId="44939" xr:uid="{00000000-0005-0000-0000-0000F8A60000}"/>
    <cellStyle name="Normal 5 3 2 4 3 2 3" xfId="33638" xr:uid="{00000000-0005-0000-0000-0000F9A60000}"/>
    <cellStyle name="Normal 5 3 2 4 3 3" xfId="16687" xr:uid="{00000000-0005-0000-0000-0000FAA60000}"/>
    <cellStyle name="Normal 5 3 2 4 3 3 2" xfId="39289" xr:uid="{00000000-0005-0000-0000-0000FBA60000}"/>
    <cellStyle name="Normal 5 3 2 4 3 4" xfId="27988" xr:uid="{00000000-0005-0000-0000-0000FCA60000}"/>
    <cellStyle name="Normal 5 3 2 4 4" xfId="7973" xr:uid="{00000000-0005-0000-0000-0000FDA60000}"/>
    <cellStyle name="Normal 5 3 2 4 4 2" xfId="19274" xr:uid="{00000000-0005-0000-0000-0000FEA60000}"/>
    <cellStyle name="Normal 5 3 2 4 4 2 2" xfId="41876" xr:uid="{00000000-0005-0000-0000-0000FFA60000}"/>
    <cellStyle name="Normal 5 3 2 4 4 3" xfId="30575" xr:uid="{00000000-0005-0000-0000-000000A70000}"/>
    <cellStyle name="Normal 5 3 2 4 5" xfId="13624" xr:uid="{00000000-0005-0000-0000-000001A70000}"/>
    <cellStyle name="Normal 5 3 2 4 5 2" xfId="36226" xr:uid="{00000000-0005-0000-0000-000002A70000}"/>
    <cellStyle name="Normal 5 3 2 4 6" xfId="24925" xr:uid="{00000000-0005-0000-0000-000003A70000}"/>
    <cellStyle name="Normal 5 3 2 5" xfId="2367" xr:uid="{00000000-0005-0000-0000-000004A70000}"/>
    <cellStyle name="Normal 5 3 2 5 2" xfId="8203" xr:uid="{00000000-0005-0000-0000-000005A70000}"/>
    <cellStyle name="Normal 5 3 2 5 2 2" xfId="19504" xr:uid="{00000000-0005-0000-0000-000006A70000}"/>
    <cellStyle name="Normal 5 3 2 5 2 2 2" xfId="42106" xr:uid="{00000000-0005-0000-0000-000007A70000}"/>
    <cellStyle name="Normal 5 3 2 5 2 3" xfId="30805" xr:uid="{00000000-0005-0000-0000-000008A70000}"/>
    <cellStyle name="Normal 5 3 2 5 3" xfId="13854" xr:uid="{00000000-0005-0000-0000-000009A70000}"/>
    <cellStyle name="Normal 5 3 2 5 3 2" xfId="36456" xr:uid="{00000000-0005-0000-0000-00000AA70000}"/>
    <cellStyle name="Normal 5 3 2 5 4" xfId="25155" xr:uid="{00000000-0005-0000-0000-00000BA70000}"/>
    <cellStyle name="Normal 5 3 2 6" xfId="4152" xr:uid="{00000000-0005-0000-0000-00000CA70000}"/>
    <cellStyle name="Normal 5 3 2 6 2" xfId="9802" xr:uid="{00000000-0005-0000-0000-00000DA70000}"/>
    <cellStyle name="Normal 5 3 2 6 2 2" xfId="21103" xr:uid="{00000000-0005-0000-0000-00000EA70000}"/>
    <cellStyle name="Normal 5 3 2 6 2 2 2" xfId="43705" xr:uid="{00000000-0005-0000-0000-00000FA70000}"/>
    <cellStyle name="Normal 5 3 2 6 2 3" xfId="32404" xr:uid="{00000000-0005-0000-0000-000010A70000}"/>
    <cellStyle name="Normal 5 3 2 6 3" xfId="15453" xr:uid="{00000000-0005-0000-0000-000011A70000}"/>
    <cellStyle name="Normal 5 3 2 6 3 2" xfId="38055" xr:uid="{00000000-0005-0000-0000-000012A70000}"/>
    <cellStyle name="Normal 5 3 2 6 4" xfId="26754" xr:uid="{00000000-0005-0000-0000-000013A70000}"/>
    <cellStyle name="Normal 5 3 2 7" xfId="6755" xr:uid="{00000000-0005-0000-0000-000014A70000}"/>
    <cellStyle name="Normal 5 3 2 7 2" xfId="18056" xr:uid="{00000000-0005-0000-0000-000015A70000}"/>
    <cellStyle name="Normal 5 3 2 7 2 2" xfId="40658" xr:uid="{00000000-0005-0000-0000-000016A70000}"/>
    <cellStyle name="Normal 5 3 2 7 3" xfId="29357" xr:uid="{00000000-0005-0000-0000-000017A70000}"/>
    <cellStyle name="Normal 5 3 2 8" xfId="12406" xr:uid="{00000000-0005-0000-0000-000018A70000}"/>
    <cellStyle name="Normal 5 3 2 8 2" xfId="35008" xr:uid="{00000000-0005-0000-0000-000019A70000}"/>
    <cellStyle name="Normal 5 3 2 9" xfId="23707" xr:uid="{00000000-0005-0000-0000-00001AA70000}"/>
    <cellStyle name="Normal 5 3 3" xfId="1110" xr:uid="{00000000-0005-0000-0000-00001BA70000}"/>
    <cellStyle name="Normal 5 3 3 2" xfId="2119" xr:uid="{00000000-0005-0000-0000-00001CA70000}"/>
    <cellStyle name="Normal 5 3 3 2 2" xfId="3177" xr:uid="{00000000-0005-0000-0000-00001DA70000}"/>
    <cellStyle name="Normal 5 3 3 2 2 2" xfId="6149" xr:uid="{00000000-0005-0000-0000-00001EA70000}"/>
    <cellStyle name="Normal 5 3 3 2 2 2 2" xfId="11799" xr:uid="{00000000-0005-0000-0000-00001FA70000}"/>
    <cellStyle name="Normal 5 3 3 2 2 2 2 2" xfId="23100" xr:uid="{00000000-0005-0000-0000-000020A70000}"/>
    <cellStyle name="Normal 5 3 3 2 2 2 2 2 2" xfId="45702" xr:uid="{00000000-0005-0000-0000-000021A70000}"/>
    <cellStyle name="Normal 5 3 3 2 2 2 2 3" xfId="34401" xr:uid="{00000000-0005-0000-0000-000022A70000}"/>
    <cellStyle name="Normal 5 3 3 2 2 2 3" xfId="17450" xr:uid="{00000000-0005-0000-0000-000023A70000}"/>
    <cellStyle name="Normal 5 3 3 2 2 2 3 2" xfId="40052" xr:uid="{00000000-0005-0000-0000-000024A70000}"/>
    <cellStyle name="Normal 5 3 3 2 2 2 4" xfId="28751" xr:uid="{00000000-0005-0000-0000-000025A70000}"/>
    <cellStyle name="Normal 5 3 3 2 2 3" xfId="8967" xr:uid="{00000000-0005-0000-0000-000026A70000}"/>
    <cellStyle name="Normal 5 3 3 2 2 3 2" xfId="20268" xr:uid="{00000000-0005-0000-0000-000027A70000}"/>
    <cellStyle name="Normal 5 3 3 2 2 3 2 2" xfId="42870" xr:uid="{00000000-0005-0000-0000-000028A70000}"/>
    <cellStyle name="Normal 5 3 3 2 2 3 3" xfId="31569" xr:uid="{00000000-0005-0000-0000-000029A70000}"/>
    <cellStyle name="Normal 5 3 3 2 2 4" xfId="14618" xr:uid="{00000000-0005-0000-0000-00002AA70000}"/>
    <cellStyle name="Normal 5 3 3 2 2 4 2" xfId="37220" xr:uid="{00000000-0005-0000-0000-00002BA70000}"/>
    <cellStyle name="Normal 5 3 3 2 2 5" xfId="25919" xr:uid="{00000000-0005-0000-0000-00002CA70000}"/>
    <cellStyle name="Normal 5 3 3 2 3" xfId="4915" xr:uid="{00000000-0005-0000-0000-00002DA70000}"/>
    <cellStyle name="Normal 5 3 3 2 3 2" xfId="10565" xr:uid="{00000000-0005-0000-0000-00002EA70000}"/>
    <cellStyle name="Normal 5 3 3 2 3 2 2" xfId="21866" xr:uid="{00000000-0005-0000-0000-00002FA70000}"/>
    <cellStyle name="Normal 5 3 3 2 3 2 2 2" xfId="44468" xr:uid="{00000000-0005-0000-0000-000030A70000}"/>
    <cellStyle name="Normal 5 3 3 2 3 2 3" xfId="33167" xr:uid="{00000000-0005-0000-0000-000031A70000}"/>
    <cellStyle name="Normal 5 3 3 2 3 3" xfId="16216" xr:uid="{00000000-0005-0000-0000-000032A70000}"/>
    <cellStyle name="Normal 5 3 3 2 3 3 2" xfId="38818" xr:uid="{00000000-0005-0000-0000-000033A70000}"/>
    <cellStyle name="Normal 5 3 3 2 3 4" xfId="27517" xr:uid="{00000000-0005-0000-0000-000034A70000}"/>
    <cellStyle name="Normal 5 3 3 2 4" xfId="7975" xr:uid="{00000000-0005-0000-0000-000035A70000}"/>
    <cellStyle name="Normal 5 3 3 2 4 2" xfId="19276" xr:uid="{00000000-0005-0000-0000-000036A70000}"/>
    <cellStyle name="Normal 5 3 3 2 4 2 2" xfId="41878" xr:uid="{00000000-0005-0000-0000-000037A70000}"/>
    <cellStyle name="Normal 5 3 3 2 4 3" xfId="30577" xr:uid="{00000000-0005-0000-0000-000038A70000}"/>
    <cellStyle name="Normal 5 3 3 2 5" xfId="13626" xr:uid="{00000000-0005-0000-0000-000039A70000}"/>
    <cellStyle name="Normal 5 3 3 2 5 2" xfId="36228" xr:uid="{00000000-0005-0000-0000-00003AA70000}"/>
    <cellStyle name="Normal 5 3 3 2 6" xfId="24927" xr:uid="{00000000-0005-0000-0000-00003BA70000}"/>
    <cellStyle name="Normal 5 3 3 3" xfId="2506" xr:uid="{00000000-0005-0000-0000-00003CA70000}"/>
    <cellStyle name="Normal 5 3 3 3 2" xfId="5525" xr:uid="{00000000-0005-0000-0000-00003DA70000}"/>
    <cellStyle name="Normal 5 3 3 3 2 2" xfId="11175" xr:uid="{00000000-0005-0000-0000-00003EA70000}"/>
    <cellStyle name="Normal 5 3 3 3 2 2 2" xfId="22476" xr:uid="{00000000-0005-0000-0000-00003FA70000}"/>
    <cellStyle name="Normal 5 3 3 3 2 2 2 2" xfId="45078" xr:uid="{00000000-0005-0000-0000-000040A70000}"/>
    <cellStyle name="Normal 5 3 3 3 2 2 3" xfId="33777" xr:uid="{00000000-0005-0000-0000-000041A70000}"/>
    <cellStyle name="Normal 5 3 3 3 2 3" xfId="16826" xr:uid="{00000000-0005-0000-0000-000042A70000}"/>
    <cellStyle name="Normal 5 3 3 3 2 3 2" xfId="39428" xr:uid="{00000000-0005-0000-0000-000043A70000}"/>
    <cellStyle name="Normal 5 3 3 3 2 4" xfId="28127" xr:uid="{00000000-0005-0000-0000-000044A70000}"/>
    <cellStyle name="Normal 5 3 3 3 3" xfId="8342" xr:uid="{00000000-0005-0000-0000-000045A70000}"/>
    <cellStyle name="Normal 5 3 3 3 3 2" xfId="19643" xr:uid="{00000000-0005-0000-0000-000046A70000}"/>
    <cellStyle name="Normal 5 3 3 3 3 2 2" xfId="42245" xr:uid="{00000000-0005-0000-0000-000047A70000}"/>
    <cellStyle name="Normal 5 3 3 3 3 3" xfId="30944" xr:uid="{00000000-0005-0000-0000-000048A70000}"/>
    <cellStyle name="Normal 5 3 3 3 4" xfId="13993" xr:uid="{00000000-0005-0000-0000-000049A70000}"/>
    <cellStyle name="Normal 5 3 3 3 4 2" xfId="36595" xr:uid="{00000000-0005-0000-0000-00004AA70000}"/>
    <cellStyle name="Normal 5 3 3 3 5" xfId="25294" xr:uid="{00000000-0005-0000-0000-00004BA70000}"/>
    <cellStyle name="Normal 5 3 3 4" xfId="4291" xr:uid="{00000000-0005-0000-0000-00004CA70000}"/>
    <cellStyle name="Normal 5 3 3 4 2" xfId="9941" xr:uid="{00000000-0005-0000-0000-00004DA70000}"/>
    <cellStyle name="Normal 5 3 3 4 2 2" xfId="21242" xr:uid="{00000000-0005-0000-0000-00004EA70000}"/>
    <cellStyle name="Normal 5 3 3 4 2 2 2" xfId="43844" xr:uid="{00000000-0005-0000-0000-00004FA70000}"/>
    <cellStyle name="Normal 5 3 3 4 2 3" xfId="32543" xr:uid="{00000000-0005-0000-0000-000050A70000}"/>
    <cellStyle name="Normal 5 3 3 4 3" xfId="15592" xr:uid="{00000000-0005-0000-0000-000051A70000}"/>
    <cellStyle name="Normal 5 3 3 4 3 2" xfId="38194" xr:uid="{00000000-0005-0000-0000-000052A70000}"/>
    <cellStyle name="Normal 5 3 3 4 4" xfId="26893" xr:uid="{00000000-0005-0000-0000-000053A70000}"/>
    <cellStyle name="Normal 5 3 3 5" xfId="7089" xr:uid="{00000000-0005-0000-0000-000054A70000}"/>
    <cellStyle name="Normal 5 3 3 5 2" xfId="18390" xr:uid="{00000000-0005-0000-0000-000055A70000}"/>
    <cellStyle name="Normal 5 3 3 5 2 2" xfId="40992" xr:uid="{00000000-0005-0000-0000-000056A70000}"/>
    <cellStyle name="Normal 5 3 3 5 3" xfId="29691" xr:uid="{00000000-0005-0000-0000-000057A70000}"/>
    <cellStyle name="Normal 5 3 3 6" xfId="12740" xr:uid="{00000000-0005-0000-0000-000058A70000}"/>
    <cellStyle name="Normal 5 3 3 6 2" xfId="35342" xr:uid="{00000000-0005-0000-0000-000059A70000}"/>
    <cellStyle name="Normal 5 3 3 7" xfId="24041" xr:uid="{00000000-0005-0000-0000-00005AA70000}"/>
    <cellStyle name="Normal 5 3 4" xfId="774" xr:uid="{00000000-0005-0000-0000-00005BA70000}"/>
    <cellStyle name="Normal 5 3 4 2" xfId="2871" xr:uid="{00000000-0005-0000-0000-00005CA70000}"/>
    <cellStyle name="Normal 5 3 4 2 2" xfId="5843" xr:uid="{00000000-0005-0000-0000-00005DA70000}"/>
    <cellStyle name="Normal 5 3 4 2 2 2" xfId="11493" xr:uid="{00000000-0005-0000-0000-00005EA70000}"/>
    <cellStyle name="Normal 5 3 4 2 2 2 2" xfId="22794" xr:uid="{00000000-0005-0000-0000-00005FA70000}"/>
    <cellStyle name="Normal 5 3 4 2 2 2 2 2" xfId="45396" xr:uid="{00000000-0005-0000-0000-000060A70000}"/>
    <cellStyle name="Normal 5 3 4 2 2 2 3" xfId="34095" xr:uid="{00000000-0005-0000-0000-000061A70000}"/>
    <cellStyle name="Normal 5 3 4 2 2 3" xfId="17144" xr:uid="{00000000-0005-0000-0000-000062A70000}"/>
    <cellStyle name="Normal 5 3 4 2 2 3 2" xfId="39746" xr:uid="{00000000-0005-0000-0000-000063A70000}"/>
    <cellStyle name="Normal 5 3 4 2 2 4" xfId="28445" xr:uid="{00000000-0005-0000-0000-000064A70000}"/>
    <cellStyle name="Normal 5 3 4 2 3" xfId="8661" xr:uid="{00000000-0005-0000-0000-000065A70000}"/>
    <cellStyle name="Normal 5 3 4 2 3 2" xfId="19962" xr:uid="{00000000-0005-0000-0000-000066A70000}"/>
    <cellStyle name="Normal 5 3 4 2 3 2 2" xfId="42564" xr:uid="{00000000-0005-0000-0000-000067A70000}"/>
    <cellStyle name="Normal 5 3 4 2 3 3" xfId="31263" xr:uid="{00000000-0005-0000-0000-000068A70000}"/>
    <cellStyle name="Normal 5 3 4 2 4" xfId="14312" xr:uid="{00000000-0005-0000-0000-000069A70000}"/>
    <cellStyle name="Normal 5 3 4 2 4 2" xfId="36914" xr:uid="{00000000-0005-0000-0000-00006AA70000}"/>
    <cellStyle name="Normal 5 3 4 2 5" xfId="25613" xr:uid="{00000000-0005-0000-0000-00006BA70000}"/>
    <cellStyle name="Normal 5 3 4 3" xfId="4609" xr:uid="{00000000-0005-0000-0000-00006CA70000}"/>
    <cellStyle name="Normal 5 3 4 3 2" xfId="10259" xr:uid="{00000000-0005-0000-0000-00006DA70000}"/>
    <cellStyle name="Normal 5 3 4 3 2 2" xfId="21560" xr:uid="{00000000-0005-0000-0000-00006EA70000}"/>
    <cellStyle name="Normal 5 3 4 3 2 2 2" xfId="44162" xr:uid="{00000000-0005-0000-0000-00006FA70000}"/>
    <cellStyle name="Normal 5 3 4 3 2 3" xfId="32861" xr:uid="{00000000-0005-0000-0000-000070A70000}"/>
    <cellStyle name="Normal 5 3 4 3 3" xfId="15910" xr:uid="{00000000-0005-0000-0000-000071A70000}"/>
    <cellStyle name="Normal 5 3 4 3 3 2" xfId="38512" xr:uid="{00000000-0005-0000-0000-000072A70000}"/>
    <cellStyle name="Normal 5 3 4 3 4" xfId="27211" xr:uid="{00000000-0005-0000-0000-000073A70000}"/>
    <cellStyle name="Normal 5 3 4 4" xfId="6791" xr:uid="{00000000-0005-0000-0000-000074A70000}"/>
    <cellStyle name="Normal 5 3 4 4 2" xfId="18092" xr:uid="{00000000-0005-0000-0000-000075A70000}"/>
    <cellStyle name="Normal 5 3 4 4 2 2" xfId="40694" xr:uid="{00000000-0005-0000-0000-000076A70000}"/>
    <cellStyle name="Normal 5 3 4 4 3" xfId="29393" xr:uid="{00000000-0005-0000-0000-000077A70000}"/>
    <cellStyle name="Normal 5 3 4 5" xfId="12442" xr:uid="{00000000-0005-0000-0000-000078A70000}"/>
    <cellStyle name="Normal 5 3 4 5 2" xfId="35044" xr:uid="{00000000-0005-0000-0000-000079A70000}"/>
    <cellStyle name="Normal 5 3 4 6" xfId="23743" xr:uid="{00000000-0005-0000-0000-00007AA70000}"/>
    <cellStyle name="Normal 5 3 5" xfId="2116" xr:uid="{00000000-0005-0000-0000-00007BA70000}"/>
    <cellStyle name="Normal 5 3 5 2" xfId="3864" xr:uid="{00000000-0005-0000-0000-00007CA70000}"/>
    <cellStyle name="Normal 5 3 5 2 2" xfId="9572" xr:uid="{00000000-0005-0000-0000-00007DA70000}"/>
    <cellStyle name="Normal 5 3 5 2 2 2" xfId="20873" xr:uid="{00000000-0005-0000-0000-00007EA70000}"/>
    <cellStyle name="Normal 5 3 5 2 2 2 2" xfId="43475" xr:uid="{00000000-0005-0000-0000-00007FA70000}"/>
    <cellStyle name="Normal 5 3 5 2 2 3" xfId="32174" xr:uid="{00000000-0005-0000-0000-000080A70000}"/>
    <cellStyle name="Normal 5 3 5 2 3" xfId="15223" xr:uid="{00000000-0005-0000-0000-000081A70000}"/>
    <cellStyle name="Normal 5 3 5 2 3 2" xfId="37825" xr:uid="{00000000-0005-0000-0000-000082A70000}"/>
    <cellStyle name="Normal 5 3 5 2 4" xfId="26524" xr:uid="{00000000-0005-0000-0000-000083A70000}"/>
    <cellStyle name="Normal 5 3 5 3" xfId="5219" xr:uid="{00000000-0005-0000-0000-000084A70000}"/>
    <cellStyle name="Normal 5 3 5 3 2" xfId="10869" xr:uid="{00000000-0005-0000-0000-000085A70000}"/>
    <cellStyle name="Normal 5 3 5 3 2 2" xfId="22170" xr:uid="{00000000-0005-0000-0000-000086A70000}"/>
    <cellStyle name="Normal 5 3 5 3 2 2 2" xfId="44772" xr:uid="{00000000-0005-0000-0000-000087A70000}"/>
    <cellStyle name="Normal 5 3 5 3 2 3" xfId="33471" xr:uid="{00000000-0005-0000-0000-000088A70000}"/>
    <cellStyle name="Normal 5 3 5 3 3" xfId="16520" xr:uid="{00000000-0005-0000-0000-000089A70000}"/>
    <cellStyle name="Normal 5 3 5 3 3 2" xfId="39122" xr:uid="{00000000-0005-0000-0000-00008AA70000}"/>
    <cellStyle name="Normal 5 3 5 3 4" xfId="27821" xr:uid="{00000000-0005-0000-0000-00008BA70000}"/>
    <cellStyle name="Normal 5 3 5 4" xfId="7972" xr:uid="{00000000-0005-0000-0000-00008CA70000}"/>
    <cellStyle name="Normal 5 3 5 4 2" xfId="19273" xr:uid="{00000000-0005-0000-0000-00008DA70000}"/>
    <cellStyle name="Normal 5 3 5 4 2 2" xfId="41875" xr:uid="{00000000-0005-0000-0000-00008EA70000}"/>
    <cellStyle name="Normal 5 3 5 4 3" xfId="30574" xr:uid="{00000000-0005-0000-0000-00008FA70000}"/>
    <cellStyle name="Normal 5 3 5 5" xfId="13623" xr:uid="{00000000-0005-0000-0000-000090A70000}"/>
    <cellStyle name="Normal 5 3 5 5 2" xfId="36225" xr:uid="{00000000-0005-0000-0000-000091A70000}"/>
    <cellStyle name="Normal 5 3 5 6" xfId="24924" xr:uid="{00000000-0005-0000-0000-000092A70000}"/>
    <cellStyle name="Normal 5 3 6" xfId="2190" xr:uid="{00000000-0005-0000-0000-000093A70000}"/>
    <cellStyle name="Normal 5 3 6 2" xfId="8033" xr:uid="{00000000-0005-0000-0000-000094A70000}"/>
    <cellStyle name="Normal 5 3 6 2 2" xfId="19334" xr:uid="{00000000-0005-0000-0000-000095A70000}"/>
    <cellStyle name="Normal 5 3 6 2 2 2" xfId="41936" xr:uid="{00000000-0005-0000-0000-000096A70000}"/>
    <cellStyle name="Normal 5 3 6 2 3" xfId="30635" xr:uid="{00000000-0005-0000-0000-000097A70000}"/>
    <cellStyle name="Normal 5 3 6 3" xfId="13684" xr:uid="{00000000-0005-0000-0000-000098A70000}"/>
    <cellStyle name="Normal 5 3 6 3 2" xfId="36286" xr:uid="{00000000-0005-0000-0000-000099A70000}"/>
    <cellStyle name="Normal 5 3 6 4" xfId="24985" xr:uid="{00000000-0005-0000-0000-00009AA70000}"/>
    <cellStyle name="Normal 5 3 7" xfId="3985" xr:uid="{00000000-0005-0000-0000-00009BA70000}"/>
    <cellStyle name="Normal 5 3 7 2" xfId="9635" xr:uid="{00000000-0005-0000-0000-00009CA70000}"/>
    <cellStyle name="Normal 5 3 7 2 2" xfId="20936" xr:uid="{00000000-0005-0000-0000-00009DA70000}"/>
    <cellStyle name="Normal 5 3 7 2 2 2" xfId="43538" xr:uid="{00000000-0005-0000-0000-00009EA70000}"/>
    <cellStyle name="Normal 5 3 7 2 3" xfId="32237" xr:uid="{00000000-0005-0000-0000-00009FA70000}"/>
    <cellStyle name="Normal 5 3 7 3" xfId="15286" xr:uid="{00000000-0005-0000-0000-0000A0A70000}"/>
    <cellStyle name="Normal 5 3 7 3 2" xfId="37888" xr:uid="{00000000-0005-0000-0000-0000A1A70000}"/>
    <cellStyle name="Normal 5 3 7 4" xfId="26587" xr:uid="{00000000-0005-0000-0000-0000A2A70000}"/>
    <cellStyle name="Normal 5 3 8" xfId="6603" xr:uid="{00000000-0005-0000-0000-0000A3A70000}"/>
    <cellStyle name="Normal 5 3 8 2" xfId="17904" xr:uid="{00000000-0005-0000-0000-0000A4A70000}"/>
    <cellStyle name="Normal 5 3 8 2 2" xfId="40506" xr:uid="{00000000-0005-0000-0000-0000A5A70000}"/>
    <cellStyle name="Normal 5 3 8 3" xfId="29205" xr:uid="{00000000-0005-0000-0000-0000A6A70000}"/>
    <cellStyle name="Normal 5 3 9" xfId="12254" xr:uid="{00000000-0005-0000-0000-0000A7A70000}"/>
    <cellStyle name="Normal 5 3 9 2" xfId="34856" xr:uid="{00000000-0005-0000-0000-0000A8A70000}"/>
    <cellStyle name="Normal 5 4" xfId="577" xr:uid="{00000000-0005-0000-0000-0000A9A70000}"/>
    <cellStyle name="Normal 5 5" xfId="489" xr:uid="{00000000-0005-0000-0000-0000AAA70000}"/>
    <cellStyle name="Normal 5 5 2" xfId="1261" xr:uid="{00000000-0005-0000-0000-0000ABA70000}"/>
    <cellStyle name="Normal 5 5 2 2" xfId="2121" xr:uid="{00000000-0005-0000-0000-0000ACA70000}"/>
    <cellStyle name="Normal 5 5 2 2 2" xfId="3330" xr:uid="{00000000-0005-0000-0000-0000ADA70000}"/>
    <cellStyle name="Normal 5 5 2 2 2 2" xfId="6302" xr:uid="{00000000-0005-0000-0000-0000AEA70000}"/>
    <cellStyle name="Normal 5 5 2 2 2 2 2" xfId="11952" xr:uid="{00000000-0005-0000-0000-0000AFA70000}"/>
    <cellStyle name="Normal 5 5 2 2 2 2 2 2" xfId="23253" xr:uid="{00000000-0005-0000-0000-0000B0A70000}"/>
    <cellStyle name="Normal 5 5 2 2 2 2 2 2 2" xfId="45855" xr:uid="{00000000-0005-0000-0000-0000B1A70000}"/>
    <cellStyle name="Normal 5 5 2 2 2 2 2 3" xfId="34554" xr:uid="{00000000-0005-0000-0000-0000B2A70000}"/>
    <cellStyle name="Normal 5 5 2 2 2 2 3" xfId="17603" xr:uid="{00000000-0005-0000-0000-0000B3A70000}"/>
    <cellStyle name="Normal 5 5 2 2 2 2 3 2" xfId="40205" xr:uid="{00000000-0005-0000-0000-0000B4A70000}"/>
    <cellStyle name="Normal 5 5 2 2 2 2 4" xfId="28904" xr:uid="{00000000-0005-0000-0000-0000B5A70000}"/>
    <cellStyle name="Normal 5 5 2 2 2 3" xfId="9120" xr:uid="{00000000-0005-0000-0000-0000B6A70000}"/>
    <cellStyle name="Normal 5 5 2 2 2 3 2" xfId="20421" xr:uid="{00000000-0005-0000-0000-0000B7A70000}"/>
    <cellStyle name="Normal 5 5 2 2 2 3 2 2" xfId="43023" xr:uid="{00000000-0005-0000-0000-0000B8A70000}"/>
    <cellStyle name="Normal 5 5 2 2 2 3 3" xfId="31722" xr:uid="{00000000-0005-0000-0000-0000B9A70000}"/>
    <cellStyle name="Normal 5 5 2 2 2 4" xfId="14771" xr:uid="{00000000-0005-0000-0000-0000BAA70000}"/>
    <cellStyle name="Normal 5 5 2 2 2 4 2" xfId="37373" xr:uid="{00000000-0005-0000-0000-0000BBA70000}"/>
    <cellStyle name="Normal 5 5 2 2 2 5" xfId="26072" xr:uid="{00000000-0005-0000-0000-0000BCA70000}"/>
    <cellStyle name="Normal 5 5 2 2 3" xfId="5068" xr:uid="{00000000-0005-0000-0000-0000BDA70000}"/>
    <cellStyle name="Normal 5 5 2 2 3 2" xfId="10718" xr:uid="{00000000-0005-0000-0000-0000BEA70000}"/>
    <cellStyle name="Normal 5 5 2 2 3 2 2" xfId="22019" xr:uid="{00000000-0005-0000-0000-0000BFA70000}"/>
    <cellStyle name="Normal 5 5 2 2 3 2 2 2" xfId="44621" xr:uid="{00000000-0005-0000-0000-0000C0A70000}"/>
    <cellStyle name="Normal 5 5 2 2 3 2 3" xfId="33320" xr:uid="{00000000-0005-0000-0000-0000C1A70000}"/>
    <cellStyle name="Normal 5 5 2 2 3 3" xfId="16369" xr:uid="{00000000-0005-0000-0000-0000C2A70000}"/>
    <cellStyle name="Normal 5 5 2 2 3 3 2" xfId="38971" xr:uid="{00000000-0005-0000-0000-0000C3A70000}"/>
    <cellStyle name="Normal 5 5 2 2 3 4" xfId="27670" xr:uid="{00000000-0005-0000-0000-0000C4A70000}"/>
    <cellStyle name="Normal 5 5 2 2 4" xfId="7977" xr:uid="{00000000-0005-0000-0000-0000C5A70000}"/>
    <cellStyle name="Normal 5 5 2 2 4 2" xfId="19278" xr:uid="{00000000-0005-0000-0000-0000C6A70000}"/>
    <cellStyle name="Normal 5 5 2 2 4 2 2" xfId="41880" xr:uid="{00000000-0005-0000-0000-0000C7A70000}"/>
    <cellStyle name="Normal 5 5 2 2 4 3" xfId="30579" xr:uid="{00000000-0005-0000-0000-0000C8A70000}"/>
    <cellStyle name="Normal 5 5 2 2 5" xfId="13628" xr:uid="{00000000-0005-0000-0000-0000C9A70000}"/>
    <cellStyle name="Normal 5 5 2 2 5 2" xfId="36230" xr:uid="{00000000-0005-0000-0000-0000CAA70000}"/>
    <cellStyle name="Normal 5 5 2 2 6" xfId="24929" xr:uid="{00000000-0005-0000-0000-0000CBA70000}"/>
    <cellStyle name="Normal 5 5 2 3" xfId="2659" xr:uid="{00000000-0005-0000-0000-0000CCA70000}"/>
    <cellStyle name="Normal 5 5 2 3 2" xfId="5678" xr:uid="{00000000-0005-0000-0000-0000CDA70000}"/>
    <cellStyle name="Normal 5 5 2 3 2 2" xfId="11328" xr:uid="{00000000-0005-0000-0000-0000CEA70000}"/>
    <cellStyle name="Normal 5 5 2 3 2 2 2" xfId="22629" xr:uid="{00000000-0005-0000-0000-0000CFA70000}"/>
    <cellStyle name="Normal 5 5 2 3 2 2 2 2" xfId="45231" xr:uid="{00000000-0005-0000-0000-0000D0A70000}"/>
    <cellStyle name="Normal 5 5 2 3 2 2 3" xfId="33930" xr:uid="{00000000-0005-0000-0000-0000D1A70000}"/>
    <cellStyle name="Normal 5 5 2 3 2 3" xfId="16979" xr:uid="{00000000-0005-0000-0000-0000D2A70000}"/>
    <cellStyle name="Normal 5 5 2 3 2 3 2" xfId="39581" xr:uid="{00000000-0005-0000-0000-0000D3A70000}"/>
    <cellStyle name="Normal 5 5 2 3 2 4" xfId="28280" xr:uid="{00000000-0005-0000-0000-0000D4A70000}"/>
    <cellStyle name="Normal 5 5 2 3 3" xfId="8495" xr:uid="{00000000-0005-0000-0000-0000D5A70000}"/>
    <cellStyle name="Normal 5 5 2 3 3 2" xfId="19796" xr:uid="{00000000-0005-0000-0000-0000D6A70000}"/>
    <cellStyle name="Normal 5 5 2 3 3 2 2" xfId="42398" xr:uid="{00000000-0005-0000-0000-0000D7A70000}"/>
    <cellStyle name="Normal 5 5 2 3 3 3" xfId="31097" xr:uid="{00000000-0005-0000-0000-0000D8A70000}"/>
    <cellStyle name="Normal 5 5 2 3 4" xfId="14146" xr:uid="{00000000-0005-0000-0000-0000D9A70000}"/>
    <cellStyle name="Normal 5 5 2 3 4 2" xfId="36748" xr:uid="{00000000-0005-0000-0000-0000DAA70000}"/>
    <cellStyle name="Normal 5 5 2 3 5" xfId="25447" xr:uid="{00000000-0005-0000-0000-0000DBA70000}"/>
    <cellStyle name="Normal 5 5 2 4" xfId="4444" xr:uid="{00000000-0005-0000-0000-0000DCA70000}"/>
    <cellStyle name="Normal 5 5 2 4 2" xfId="10094" xr:uid="{00000000-0005-0000-0000-0000DDA70000}"/>
    <cellStyle name="Normal 5 5 2 4 2 2" xfId="21395" xr:uid="{00000000-0005-0000-0000-0000DEA70000}"/>
    <cellStyle name="Normal 5 5 2 4 2 2 2" xfId="43997" xr:uid="{00000000-0005-0000-0000-0000DFA70000}"/>
    <cellStyle name="Normal 5 5 2 4 2 3" xfId="32696" xr:uid="{00000000-0005-0000-0000-0000E0A70000}"/>
    <cellStyle name="Normal 5 5 2 4 3" xfId="15745" xr:uid="{00000000-0005-0000-0000-0000E1A70000}"/>
    <cellStyle name="Normal 5 5 2 4 3 2" xfId="38347" xr:uid="{00000000-0005-0000-0000-0000E2A70000}"/>
    <cellStyle name="Normal 5 5 2 4 4" xfId="27046" xr:uid="{00000000-0005-0000-0000-0000E3A70000}"/>
    <cellStyle name="Normal 5 5 2 5" xfId="7240" xr:uid="{00000000-0005-0000-0000-0000E4A70000}"/>
    <cellStyle name="Normal 5 5 2 5 2" xfId="18541" xr:uid="{00000000-0005-0000-0000-0000E5A70000}"/>
    <cellStyle name="Normal 5 5 2 5 2 2" xfId="41143" xr:uid="{00000000-0005-0000-0000-0000E6A70000}"/>
    <cellStyle name="Normal 5 5 2 5 3" xfId="29842" xr:uid="{00000000-0005-0000-0000-0000E7A70000}"/>
    <cellStyle name="Normal 5 5 2 6" xfId="12891" xr:uid="{00000000-0005-0000-0000-0000E8A70000}"/>
    <cellStyle name="Normal 5 5 2 6 2" xfId="35493" xr:uid="{00000000-0005-0000-0000-0000E9A70000}"/>
    <cellStyle name="Normal 5 5 2 7" xfId="24192" xr:uid="{00000000-0005-0000-0000-0000EAA70000}"/>
    <cellStyle name="Normal 5 5 3" xfId="958" xr:uid="{00000000-0005-0000-0000-0000EBA70000}"/>
    <cellStyle name="Normal 5 5 3 2" xfId="3022" xr:uid="{00000000-0005-0000-0000-0000ECA70000}"/>
    <cellStyle name="Normal 5 5 3 2 2" xfId="5994" xr:uid="{00000000-0005-0000-0000-0000EDA70000}"/>
    <cellStyle name="Normal 5 5 3 2 2 2" xfId="11644" xr:uid="{00000000-0005-0000-0000-0000EEA70000}"/>
    <cellStyle name="Normal 5 5 3 2 2 2 2" xfId="22945" xr:uid="{00000000-0005-0000-0000-0000EFA70000}"/>
    <cellStyle name="Normal 5 5 3 2 2 2 2 2" xfId="45547" xr:uid="{00000000-0005-0000-0000-0000F0A70000}"/>
    <cellStyle name="Normal 5 5 3 2 2 2 3" xfId="34246" xr:uid="{00000000-0005-0000-0000-0000F1A70000}"/>
    <cellStyle name="Normal 5 5 3 2 2 3" xfId="17295" xr:uid="{00000000-0005-0000-0000-0000F2A70000}"/>
    <cellStyle name="Normal 5 5 3 2 2 3 2" xfId="39897" xr:uid="{00000000-0005-0000-0000-0000F3A70000}"/>
    <cellStyle name="Normal 5 5 3 2 2 4" xfId="28596" xr:uid="{00000000-0005-0000-0000-0000F4A70000}"/>
    <cellStyle name="Normal 5 5 3 2 3" xfId="8812" xr:uid="{00000000-0005-0000-0000-0000F5A70000}"/>
    <cellStyle name="Normal 5 5 3 2 3 2" xfId="20113" xr:uid="{00000000-0005-0000-0000-0000F6A70000}"/>
    <cellStyle name="Normal 5 5 3 2 3 2 2" xfId="42715" xr:uid="{00000000-0005-0000-0000-0000F7A70000}"/>
    <cellStyle name="Normal 5 5 3 2 3 3" xfId="31414" xr:uid="{00000000-0005-0000-0000-0000F8A70000}"/>
    <cellStyle name="Normal 5 5 3 2 4" xfId="14463" xr:uid="{00000000-0005-0000-0000-0000F9A70000}"/>
    <cellStyle name="Normal 5 5 3 2 4 2" xfId="37065" xr:uid="{00000000-0005-0000-0000-0000FAA70000}"/>
    <cellStyle name="Normal 5 5 3 2 5" xfId="25764" xr:uid="{00000000-0005-0000-0000-0000FBA70000}"/>
    <cellStyle name="Normal 5 5 3 3" xfId="4760" xr:uid="{00000000-0005-0000-0000-0000FCA70000}"/>
    <cellStyle name="Normal 5 5 3 3 2" xfId="10410" xr:uid="{00000000-0005-0000-0000-0000FDA70000}"/>
    <cellStyle name="Normal 5 5 3 3 2 2" xfId="21711" xr:uid="{00000000-0005-0000-0000-0000FEA70000}"/>
    <cellStyle name="Normal 5 5 3 3 2 2 2" xfId="44313" xr:uid="{00000000-0005-0000-0000-0000FFA70000}"/>
    <cellStyle name="Normal 5 5 3 3 2 3" xfId="33012" xr:uid="{00000000-0005-0000-0000-000000A80000}"/>
    <cellStyle name="Normal 5 5 3 3 3" xfId="16061" xr:uid="{00000000-0005-0000-0000-000001A80000}"/>
    <cellStyle name="Normal 5 5 3 3 3 2" xfId="38663" xr:uid="{00000000-0005-0000-0000-000002A80000}"/>
    <cellStyle name="Normal 5 5 3 3 4" xfId="27362" xr:uid="{00000000-0005-0000-0000-000003A80000}"/>
    <cellStyle name="Normal 5 5 3 4" xfId="6947" xr:uid="{00000000-0005-0000-0000-000004A80000}"/>
    <cellStyle name="Normal 5 5 3 4 2" xfId="18248" xr:uid="{00000000-0005-0000-0000-000005A80000}"/>
    <cellStyle name="Normal 5 5 3 4 2 2" xfId="40850" xr:uid="{00000000-0005-0000-0000-000006A80000}"/>
    <cellStyle name="Normal 5 5 3 4 3" xfId="29549" xr:uid="{00000000-0005-0000-0000-000007A80000}"/>
    <cellStyle name="Normal 5 5 3 5" xfId="12598" xr:uid="{00000000-0005-0000-0000-000008A80000}"/>
    <cellStyle name="Normal 5 5 3 5 2" xfId="35200" xr:uid="{00000000-0005-0000-0000-000009A80000}"/>
    <cellStyle name="Normal 5 5 3 6" xfId="23899" xr:uid="{00000000-0005-0000-0000-00000AA80000}"/>
    <cellStyle name="Normal 5 5 4" xfId="2120" xr:uid="{00000000-0005-0000-0000-00000BA80000}"/>
    <cellStyle name="Normal 5 5 4 2" xfId="3866" xr:uid="{00000000-0005-0000-0000-00000CA80000}"/>
    <cellStyle name="Normal 5 5 4 2 2" xfId="9574" xr:uid="{00000000-0005-0000-0000-00000DA80000}"/>
    <cellStyle name="Normal 5 5 4 2 2 2" xfId="20875" xr:uid="{00000000-0005-0000-0000-00000EA80000}"/>
    <cellStyle name="Normal 5 5 4 2 2 2 2" xfId="43477" xr:uid="{00000000-0005-0000-0000-00000FA80000}"/>
    <cellStyle name="Normal 5 5 4 2 2 3" xfId="32176" xr:uid="{00000000-0005-0000-0000-000010A80000}"/>
    <cellStyle name="Normal 5 5 4 2 3" xfId="15225" xr:uid="{00000000-0005-0000-0000-000011A80000}"/>
    <cellStyle name="Normal 5 5 4 2 3 2" xfId="37827" xr:uid="{00000000-0005-0000-0000-000012A80000}"/>
    <cellStyle name="Normal 5 5 4 2 4" xfId="26526" xr:uid="{00000000-0005-0000-0000-000013A80000}"/>
    <cellStyle name="Normal 5 5 4 3" xfId="5370" xr:uid="{00000000-0005-0000-0000-000014A80000}"/>
    <cellStyle name="Normal 5 5 4 3 2" xfId="11020" xr:uid="{00000000-0005-0000-0000-000015A80000}"/>
    <cellStyle name="Normal 5 5 4 3 2 2" xfId="22321" xr:uid="{00000000-0005-0000-0000-000016A80000}"/>
    <cellStyle name="Normal 5 5 4 3 2 2 2" xfId="44923" xr:uid="{00000000-0005-0000-0000-000017A80000}"/>
    <cellStyle name="Normal 5 5 4 3 2 3" xfId="33622" xr:uid="{00000000-0005-0000-0000-000018A80000}"/>
    <cellStyle name="Normal 5 5 4 3 3" xfId="16671" xr:uid="{00000000-0005-0000-0000-000019A80000}"/>
    <cellStyle name="Normal 5 5 4 3 3 2" xfId="39273" xr:uid="{00000000-0005-0000-0000-00001AA80000}"/>
    <cellStyle name="Normal 5 5 4 3 4" xfId="27972" xr:uid="{00000000-0005-0000-0000-00001BA80000}"/>
    <cellStyle name="Normal 5 5 4 4" xfId="7976" xr:uid="{00000000-0005-0000-0000-00001CA80000}"/>
    <cellStyle name="Normal 5 5 4 4 2" xfId="19277" xr:uid="{00000000-0005-0000-0000-00001DA80000}"/>
    <cellStyle name="Normal 5 5 4 4 2 2" xfId="41879" xr:uid="{00000000-0005-0000-0000-00001EA80000}"/>
    <cellStyle name="Normal 5 5 4 4 3" xfId="30578" xr:uid="{00000000-0005-0000-0000-00001FA80000}"/>
    <cellStyle name="Normal 5 5 4 5" xfId="13627" xr:uid="{00000000-0005-0000-0000-000020A80000}"/>
    <cellStyle name="Normal 5 5 4 5 2" xfId="36229" xr:uid="{00000000-0005-0000-0000-000021A80000}"/>
    <cellStyle name="Normal 5 5 4 6" xfId="24928" xr:uid="{00000000-0005-0000-0000-000022A80000}"/>
    <cellStyle name="Normal 5 5 5" xfId="2351" xr:uid="{00000000-0005-0000-0000-000023A80000}"/>
    <cellStyle name="Normal 5 5 5 2" xfId="8187" xr:uid="{00000000-0005-0000-0000-000024A80000}"/>
    <cellStyle name="Normal 5 5 5 2 2" xfId="19488" xr:uid="{00000000-0005-0000-0000-000025A80000}"/>
    <cellStyle name="Normal 5 5 5 2 2 2" xfId="42090" xr:uid="{00000000-0005-0000-0000-000026A80000}"/>
    <cellStyle name="Normal 5 5 5 2 3" xfId="30789" xr:uid="{00000000-0005-0000-0000-000027A80000}"/>
    <cellStyle name="Normal 5 5 5 3" xfId="13838" xr:uid="{00000000-0005-0000-0000-000028A80000}"/>
    <cellStyle name="Normal 5 5 5 3 2" xfId="36440" xr:uid="{00000000-0005-0000-0000-000029A80000}"/>
    <cellStyle name="Normal 5 5 5 4" xfId="25139" xr:uid="{00000000-0005-0000-0000-00002AA80000}"/>
    <cellStyle name="Normal 5 5 6" xfId="4136" xr:uid="{00000000-0005-0000-0000-00002BA80000}"/>
    <cellStyle name="Normal 5 5 6 2" xfId="9786" xr:uid="{00000000-0005-0000-0000-00002CA80000}"/>
    <cellStyle name="Normal 5 5 6 2 2" xfId="21087" xr:uid="{00000000-0005-0000-0000-00002DA80000}"/>
    <cellStyle name="Normal 5 5 6 2 2 2" xfId="43689" xr:uid="{00000000-0005-0000-0000-00002EA80000}"/>
    <cellStyle name="Normal 5 5 6 2 3" xfId="32388" xr:uid="{00000000-0005-0000-0000-00002FA80000}"/>
    <cellStyle name="Normal 5 5 6 3" xfId="15437" xr:uid="{00000000-0005-0000-0000-000030A80000}"/>
    <cellStyle name="Normal 5 5 6 3 2" xfId="38039" xr:uid="{00000000-0005-0000-0000-000031A80000}"/>
    <cellStyle name="Normal 5 5 6 4" xfId="26738" xr:uid="{00000000-0005-0000-0000-000032A80000}"/>
    <cellStyle name="Normal 5 5 7" xfId="6587" xr:uid="{00000000-0005-0000-0000-000033A80000}"/>
    <cellStyle name="Normal 5 5 7 2" xfId="17888" xr:uid="{00000000-0005-0000-0000-000034A80000}"/>
    <cellStyle name="Normal 5 5 7 2 2" xfId="40490" xr:uid="{00000000-0005-0000-0000-000035A80000}"/>
    <cellStyle name="Normal 5 5 7 3" xfId="29189" xr:uid="{00000000-0005-0000-0000-000036A80000}"/>
    <cellStyle name="Normal 5 5 8" xfId="12238" xr:uid="{00000000-0005-0000-0000-000037A80000}"/>
    <cellStyle name="Normal 5 5 8 2" xfId="34840" xr:uid="{00000000-0005-0000-0000-000038A80000}"/>
    <cellStyle name="Normal 5 5 9" xfId="23539" xr:uid="{00000000-0005-0000-0000-000039A80000}"/>
    <cellStyle name="Normal 5 6" xfId="1107" xr:uid="{00000000-0005-0000-0000-00003AA80000}"/>
    <cellStyle name="Normal 5 6 2" xfId="2122" xr:uid="{00000000-0005-0000-0000-00003BA80000}"/>
    <cellStyle name="Normal 5 6 2 2" xfId="3162" xr:uid="{00000000-0005-0000-0000-00003CA80000}"/>
    <cellStyle name="Normal 5 6 2 2 2" xfId="6134" xr:uid="{00000000-0005-0000-0000-00003DA80000}"/>
    <cellStyle name="Normal 5 6 2 2 2 2" xfId="11784" xr:uid="{00000000-0005-0000-0000-00003EA80000}"/>
    <cellStyle name="Normal 5 6 2 2 2 2 2" xfId="23085" xr:uid="{00000000-0005-0000-0000-00003FA80000}"/>
    <cellStyle name="Normal 5 6 2 2 2 2 2 2" xfId="45687" xr:uid="{00000000-0005-0000-0000-000040A80000}"/>
    <cellStyle name="Normal 5 6 2 2 2 2 3" xfId="34386" xr:uid="{00000000-0005-0000-0000-000041A80000}"/>
    <cellStyle name="Normal 5 6 2 2 2 3" xfId="17435" xr:uid="{00000000-0005-0000-0000-000042A80000}"/>
    <cellStyle name="Normal 5 6 2 2 2 3 2" xfId="40037" xr:uid="{00000000-0005-0000-0000-000043A80000}"/>
    <cellStyle name="Normal 5 6 2 2 2 4" xfId="28736" xr:uid="{00000000-0005-0000-0000-000044A80000}"/>
    <cellStyle name="Normal 5 6 2 2 3" xfId="8952" xr:uid="{00000000-0005-0000-0000-000045A80000}"/>
    <cellStyle name="Normal 5 6 2 2 3 2" xfId="20253" xr:uid="{00000000-0005-0000-0000-000046A80000}"/>
    <cellStyle name="Normal 5 6 2 2 3 2 2" xfId="42855" xr:uid="{00000000-0005-0000-0000-000047A80000}"/>
    <cellStyle name="Normal 5 6 2 2 3 3" xfId="31554" xr:uid="{00000000-0005-0000-0000-000048A80000}"/>
    <cellStyle name="Normal 5 6 2 2 4" xfId="14603" xr:uid="{00000000-0005-0000-0000-000049A80000}"/>
    <cellStyle name="Normal 5 6 2 2 4 2" xfId="37205" xr:uid="{00000000-0005-0000-0000-00004AA80000}"/>
    <cellStyle name="Normal 5 6 2 2 5" xfId="25904" xr:uid="{00000000-0005-0000-0000-00004BA80000}"/>
    <cellStyle name="Normal 5 6 2 3" xfId="4900" xr:uid="{00000000-0005-0000-0000-00004CA80000}"/>
    <cellStyle name="Normal 5 6 2 3 2" xfId="10550" xr:uid="{00000000-0005-0000-0000-00004DA80000}"/>
    <cellStyle name="Normal 5 6 2 3 2 2" xfId="21851" xr:uid="{00000000-0005-0000-0000-00004EA80000}"/>
    <cellStyle name="Normal 5 6 2 3 2 2 2" xfId="44453" xr:uid="{00000000-0005-0000-0000-00004FA80000}"/>
    <cellStyle name="Normal 5 6 2 3 2 3" xfId="33152" xr:uid="{00000000-0005-0000-0000-000050A80000}"/>
    <cellStyle name="Normal 5 6 2 3 3" xfId="16201" xr:uid="{00000000-0005-0000-0000-000051A80000}"/>
    <cellStyle name="Normal 5 6 2 3 3 2" xfId="38803" xr:uid="{00000000-0005-0000-0000-000052A80000}"/>
    <cellStyle name="Normal 5 6 2 3 4" xfId="27502" xr:uid="{00000000-0005-0000-0000-000053A80000}"/>
    <cellStyle name="Normal 5 6 2 4" xfId="7978" xr:uid="{00000000-0005-0000-0000-000054A80000}"/>
    <cellStyle name="Normal 5 6 2 4 2" xfId="19279" xr:uid="{00000000-0005-0000-0000-000055A80000}"/>
    <cellStyle name="Normal 5 6 2 4 2 2" xfId="41881" xr:uid="{00000000-0005-0000-0000-000056A80000}"/>
    <cellStyle name="Normal 5 6 2 4 3" xfId="30580" xr:uid="{00000000-0005-0000-0000-000057A80000}"/>
    <cellStyle name="Normal 5 6 2 5" xfId="13629" xr:uid="{00000000-0005-0000-0000-000058A80000}"/>
    <cellStyle name="Normal 5 6 2 5 2" xfId="36231" xr:uid="{00000000-0005-0000-0000-000059A80000}"/>
    <cellStyle name="Normal 5 6 2 6" xfId="24930" xr:uid="{00000000-0005-0000-0000-00005AA80000}"/>
    <cellStyle name="Normal 5 6 3" xfId="2491" xr:uid="{00000000-0005-0000-0000-00005BA80000}"/>
    <cellStyle name="Normal 5 6 3 2" xfId="5510" xr:uid="{00000000-0005-0000-0000-00005CA80000}"/>
    <cellStyle name="Normal 5 6 3 2 2" xfId="11160" xr:uid="{00000000-0005-0000-0000-00005DA80000}"/>
    <cellStyle name="Normal 5 6 3 2 2 2" xfId="22461" xr:uid="{00000000-0005-0000-0000-00005EA80000}"/>
    <cellStyle name="Normal 5 6 3 2 2 2 2" xfId="45063" xr:uid="{00000000-0005-0000-0000-00005FA80000}"/>
    <cellStyle name="Normal 5 6 3 2 2 3" xfId="33762" xr:uid="{00000000-0005-0000-0000-000060A80000}"/>
    <cellStyle name="Normal 5 6 3 2 3" xfId="16811" xr:uid="{00000000-0005-0000-0000-000061A80000}"/>
    <cellStyle name="Normal 5 6 3 2 3 2" xfId="39413" xr:uid="{00000000-0005-0000-0000-000062A80000}"/>
    <cellStyle name="Normal 5 6 3 2 4" xfId="28112" xr:uid="{00000000-0005-0000-0000-000063A80000}"/>
    <cellStyle name="Normal 5 6 3 3" xfId="8327" xr:uid="{00000000-0005-0000-0000-000064A80000}"/>
    <cellStyle name="Normal 5 6 3 3 2" xfId="19628" xr:uid="{00000000-0005-0000-0000-000065A80000}"/>
    <cellStyle name="Normal 5 6 3 3 2 2" xfId="42230" xr:uid="{00000000-0005-0000-0000-000066A80000}"/>
    <cellStyle name="Normal 5 6 3 3 3" xfId="30929" xr:uid="{00000000-0005-0000-0000-000067A80000}"/>
    <cellStyle name="Normal 5 6 3 4" xfId="13978" xr:uid="{00000000-0005-0000-0000-000068A80000}"/>
    <cellStyle name="Normal 5 6 3 4 2" xfId="36580" xr:uid="{00000000-0005-0000-0000-000069A80000}"/>
    <cellStyle name="Normal 5 6 3 5" xfId="25279" xr:uid="{00000000-0005-0000-0000-00006AA80000}"/>
    <cellStyle name="Normal 5 6 4" xfId="4276" xr:uid="{00000000-0005-0000-0000-00006BA80000}"/>
    <cellStyle name="Normal 5 6 4 2" xfId="9926" xr:uid="{00000000-0005-0000-0000-00006CA80000}"/>
    <cellStyle name="Normal 5 6 4 2 2" xfId="21227" xr:uid="{00000000-0005-0000-0000-00006DA80000}"/>
    <cellStyle name="Normal 5 6 4 2 2 2" xfId="43829" xr:uid="{00000000-0005-0000-0000-00006EA80000}"/>
    <cellStyle name="Normal 5 6 4 2 3" xfId="32528" xr:uid="{00000000-0005-0000-0000-00006FA80000}"/>
    <cellStyle name="Normal 5 6 4 3" xfId="15577" xr:uid="{00000000-0005-0000-0000-000070A80000}"/>
    <cellStyle name="Normal 5 6 4 3 2" xfId="38179" xr:uid="{00000000-0005-0000-0000-000071A80000}"/>
    <cellStyle name="Normal 5 6 4 4" xfId="26878" xr:uid="{00000000-0005-0000-0000-000072A80000}"/>
    <cellStyle name="Normal 5 6 5" xfId="7086" xr:uid="{00000000-0005-0000-0000-000073A80000}"/>
    <cellStyle name="Normal 5 6 5 2" xfId="18387" xr:uid="{00000000-0005-0000-0000-000074A80000}"/>
    <cellStyle name="Normal 5 6 5 2 2" xfId="40989" xr:uid="{00000000-0005-0000-0000-000075A80000}"/>
    <cellStyle name="Normal 5 6 5 3" xfId="29688" xr:uid="{00000000-0005-0000-0000-000076A80000}"/>
    <cellStyle name="Normal 5 6 6" xfId="12737" xr:uid="{00000000-0005-0000-0000-000077A80000}"/>
    <cellStyle name="Normal 5 6 6 2" xfId="35339" xr:uid="{00000000-0005-0000-0000-000078A80000}"/>
    <cellStyle name="Normal 5 6 7" xfId="24038" xr:uid="{00000000-0005-0000-0000-000079A80000}"/>
    <cellStyle name="Normal 5 7" xfId="730" xr:uid="{00000000-0005-0000-0000-00007AA80000}"/>
    <cellStyle name="Normal 5 7 2" xfId="2867" xr:uid="{00000000-0005-0000-0000-00007BA80000}"/>
    <cellStyle name="Normal 5 7 2 2" xfId="5839" xr:uid="{00000000-0005-0000-0000-00007CA80000}"/>
    <cellStyle name="Normal 5 7 2 2 2" xfId="11489" xr:uid="{00000000-0005-0000-0000-00007DA80000}"/>
    <cellStyle name="Normal 5 7 2 2 2 2" xfId="22790" xr:uid="{00000000-0005-0000-0000-00007EA80000}"/>
    <cellStyle name="Normal 5 7 2 2 2 2 2" xfId="45392" xr:uid="{00000000-0005-0000-0000-00007FA80000}"/>
    <cellStyle name="Normal 5 7 2 2 2 3" xfId="34091" xr:uid="{00000000-0005-0000-0000-000080A80000}"/>
    <cellStyle name="Normal 5 7 2 2 3" xfId="17140" xr:uid="{00000000-0005-0000-0000-000081A80000}"/>
    <cellStyle name="Normal 5 7 2 2 3 2" xfId="39742" xr:uid="{00000000-0005-0000-0000-000082A80000}"/>
    <cellStyle name="Normal 5 7 2 2 4" xfId="28441" xr:uid="{00000000-0005-0000-0000-000083A80000}"/>
    <cellStyle name="Normal 5 7 2 3" xfId="8657" xr:uid="{00000000-0005-0000-0000-000084A80000}"/>
    <cellStyle name="Normal 5 7 2 3 2" xfId="19958" xr:uid="{00000000-0005-0000-0000-000085A80000}"/>
    <cellStyle name="Normal 5 7 2 3 2 2" xfId="42560" xr:uid="{00000000-0005-0000-0000-000086A80000}"/>
    <cellStyle name="Normal 5 7 2 3 3" xfId="31259" xr:uid="{00000000-0005-0000-0000-000087A80000}"/>
    <cellStyle name="Normal 5 7 2 4" xfId="14308" xr:uid="{00000000-0005-0000-0000-000088A80000}"/>
    <cellStyle name="Normal 5 7 2 4 2" xfId="36910" xr:uid="{00000000-0005-0000-0000-000089A80000}"/>
    <cellStyle name="Normal 5 7 2 5" xfId="25609" xr:uid="{00000000-0005-0000-0000-00008AA80000}"/>
    <cellStyle name="Normal 5 7 3" xfId="4605" xr:uid="{00000000-0005-0000-0000-00008BA80000}"/>
    <cellStyle name="Normal 5 7 3 2" xfId="10255" xr:uid="{00000000-0005-0000-0000-00008CA80000}"/>
    <cellStyle name="Normal 5 7 3 2 2" xfId="21556" xr:uid="{00000000-0005-0000-0000-00008DA80000}"/>
    <cellStyle name="Normal 5 7 3 2 2 2" xfId="44158" xr:uid="{00000000-0005-0000-0000-00008EA80000}"/>
    <cellStyle name="Normal 5 7 3 2 3" xfId="32857" xr:uid="{00000000-0005-0000-0000-00008FA80000}"/>
    <cellStyle name="Normal 5 7 3 3" xfId="15906" xr:uid="{00000000-0005-0000-0000-000090A80000}"/>
    <cellStyle name="Normal 5 7 3 3 2" xfId="38508" xr:uid="{00000000-0005-0000-0000-000091A80000}"/>
    <cellStyle name="Normal 5 7 3 4" xfId="27207" xr:uid="{00000000-0005-0000-0000-000092A80000}"/>
    <cellStyle name="Normal 5 7 4" xfId="6776" xr:uid="{00000000-0005-0000-0000-000093A80000}"/>
    <cellStyle name="Normal 5 7 4 2" xfId="18077" xr:uid="{00000000-0005-0000-0000-000094A80000}"/>
    <cellStyle name="Normal 5 7 4 2 2" xfId="40679" xr:uid="{00000000-0005-0000-0000-000095A80000}"/>
    <cellStyle name="Normal 5 7 4 3" xfId="29378" xr:uid="{00000000-0005-0000-0000-000096A80000}"/>
    <cellStyle name="Normal 5 7 5" xfId="12427" xr:uid="{00000000-0005-0000-0000-000097A80000}"/>
    <cellStyle name="Normal 5 7 5 2" xfId="35029" xr:uid="{00000000-0005-0000-0000-000098A80000}"/>
    <cellStyle name="Normal 5 7 6" xfId="23728" xr:uid="{00000000-0005-0000-0000-000099A80000}"/>
    <cellStyle name="Normal 5 8" xfId="2111" xr:uid="{00000000-0005-0000-0000-00009AA80000}"/>
    <cellStyle name="Normal 5 8 2" xfId="3861" xr:uid="{00000000-0005-0000-0000-00009BA80000}"/>
    <cellStyle name="Normal 5 8 2 2" xfId="9569" xr:uid="{00000000-0005-0000-0000-00009CA80000}"/>
    <cellStyle name="Normal 5 8 2 2 2" xfId="20870" xr:uid="{00000000-0005-0000-0000-00009DA80000}"/>
    <cellStyle name="Normal 5 8 2 2 2 2" xfId="43472" xr:uid="{00000000-0005-0000-0000-00009EA80000}"/>
    <cellStyle name="Normal 5 8 2 2 3" xfId="32171" xr:uid="{00000000-0005-0000-0000-00009FA80000}"/>
    <cellStyle name="Normal 5 8 2 3" xfId="15220" xr:uid="{00000000-0005-0000-0000-0000A0A80000}"/>
    <cellStyle name="Normal 5 8 2 3 2" xfId="37822" xr:uid="{00000000-0005-0000-0000-0000A1A80000}"/>
    <cellStyle name="Normal 5 8 2 4" xfId="26521" xr:uid="{00000000-0005-0000-0000-0000A2A80000}"/>
    <cellStyle name="Normal 5 8 3" xfId="5215" xr:uid="{00000000-0005-0000-0000-0000A3A80000}"/>
    <cellStyle name="Normal 5 8 3 2" xfId="10865" xr:uid="{00000000-0005-0000-0000-0000A4A80000}"/>
    <cellStyle name="Normal 5 8 3 2 2" xfId="22166" xr:uid="{00000000-0005-0000-0000-0000A5A80000}"/>
    <cellStyle name="Normal 5 8 3 2 2 2" xfId="44768" xr:uid="{00000000-0005-0000-0000-0000A6A80000}"/>
    <cellStyle name="Normal 5 8 3 2 3" xfId="33467" xr:uid="{00000000-0005-0000-0000-0000A7A80000}"/>
    <cellStyle name="Normal 5 8 3 3" xfId="16516" xr:uid="{00000000-0005-0000-0000-0000A8A80000}"/>
    <cellStyle name="Normal 5 8 3 3 2" xfId="39118" xr:uid="{00000000-0005-0000-0000-0000A9A80000}"/>
    <cellStyle name="Normal 5 8 3 4" xfId="27817" xr:uid="{00000000-0005-0000-0000-0000AAA80000}"/>
    <cellStyle name="Normal 5 8 4" xfId="7967" xr:uid="{00000000-0005-0000-0000-0000ABA80000}"/>
    <cellStyle name="Normal 5 8 4 2" xfId="19268" xr:uid="{00000000-0005-0000-0000-0000ACA80000}"/>
    <cellStyle name="Normal 5 8 4 2 2" xfId="41870" xr:uid="{00000000-0005-0000-0000-0000ADA80000}"/>
    <cellStyle name="Normal 5 8 4 3" xfId="30569" xr:uid="{00000000-0005-0000-0000-0000AEA80000}"/>
    <cellStyle name="Normal 5 8 5" xfId="13618" xr:uid="{00000000-0005-0000-0000-0000AFA80000}"/>
    <cellStyle name="Normal 5 8 5 2" xfId="36220" xr:uid="{00000000-0005-0000-0000-0000B0A80000}"/>
    <cellStyle name="Normal 5 8 6" xfId="24919" xr:uid="{00000000-0005-0000-0000-0000B1A80000}"/>
    <cellStyle name="Normal 5 9" xfId="2168" xr:uid="{00000000-0005-0000-0000-0000B2A80000}"/>
    <cellStyle name="Normal 5 9 2" xfId="8015" xr:uid="{00000000-0005-0000-0000-0000B3A80000}"/>
    <cellStyle name="Normal 5 9 2 2" xfId="19316" xr:uid="{00000000-0005-0000-0000-0000B4A80000}"/>
    <cellStyle name="Normal 5 9 2 2 2" xfId="41918" xr:uid="{00000000-0005-0000-0000-0000B5A80000}"/>
    <cellStyle name="Normal 5 9 2 3" xfId="30617" xr:uid="{00000000-0005-0000-0000-0000B6A80000}"/>
    <cellStyle name="Normal 5 9 3" xfId="13666" xr:uid="{00000000-0005-0000-0000-0000B7A80000}"/>
    <cellStyle name="Normal 5 9 3 2" xfId="36268" xr:uid="{00000000-0005-0000-0000-0000B8A80000}"/>
    <cellStyle name="Normal 5 9 4" xfId="24967" xr:uid="{00000000-0005-0000-0000-0000B9A80000}"/>
    <cellStyle name="Normal 6" xfId="98" xr:uid="{00000000-0005-0000-0000-0000BAA80000}"/>
    <cellStyle name="Normal 6 2" xfId="260" xr:uid="{00000000-0005-0000-0000-0000BBA80000}"/>
    <cellStyle name="Normal 7" xfId="99" xr:uid="{00000000-0005-0000-0000-0000BCA80000}"/>
    <cellStyle name="Normal 7 2" xfId="261" xr:uid="{00000000-0005-0000-0000-0000BDA80000}"/>
    <cellStyle name="Normal 8" xfId="95" xr:uid="{00000000-0005-0000-0000-0000BEA80000}"/>
    <cellStyle name="Normal 9" xfId="100" xr:uid="{00000000-0005-0000-0000-0000BFA80000}"/>
    <cellStyle name="Normal 9 2" xfId="245" xr:uid="{00000000-0005-0000-0000-0000C0A80000}"/>
    <cellStyle name="Normal 9 3" xfId="12099" xr:uid="{00000000-0005-0000-0000-0000C1A80000}"/>
    <cellStyle name="Normal 9 3 2" xfId="34701" xr:uid="{00000000-0005-0000-0000-0000C2A80000}"/>
    <cellStyle name="Normal 9 4" xfId="23400" xr:uid="{00000000-0005-0000-0000-0000C3A80000}"/>
    <cellStyle name="Note" xfId="15" builtinId="10" customBuiltin="1"/>
    <cellStyle name="Note 2" xfId="45" xr:uid="{00000000-0005-0000-0000-0000C5A80000}"/>
    <cellStyle name="Note 2 2" xfId="278" xr:uid="{00000000-0005-0000-0000-0000C6A80000}"/>
    <cellStyle name="Note 2 2 10" xfId="6491" xr:uid="{00000000-0005-0000-0000-0000C7A80000}"/>
    <cellStyle name="Note 2 2 10 2" xfId="17792" xr:uid="{00000000-0005-0000-0000-0000C8A80000}"/>
    <cellStyle name="Note 2 2 10 2 2" xfId="40394" xr:uid="{00000000-0005-0000-0000-0000C9A80000}"/>
    <cellStyle name="Note 2 2 10 3" xfId="29093" xr:uid="{00000000-0005-0000-0000-0000CAA80000}"/>
    <cellStyle name="Note 2 2 11" xfId="12142" xr:uid="{00000000-0005-0000-0000-0000CBA80000}"/>
    <cellStyle name="Note 2 2 11 2" xfId="34744" xr:uid="{00000000-0005-0000-0000-0000CCA80000}"/>
    <cellStyle name="Note 2 2 12" xfId="23443" xr:uid="{00000000-0005-0000-0000-0000CDA80000}"/>
    <cellStyle name="Note 2 2 2" xfId="443" xr:uid="{00000000-0005-0000-0000-0000CEA80000}"/>
    <cellStyle name="Note 2 2 2 10" xfId="23538" xr:uid="{00000000-0005-0000-0000-0000CFA80000}"/>
    <cellStyle name="Note 2 2 2 2" xfId="688" xr:uid="{00000000-0005-0000-0000-0000D0A80000}"/>
    <cellStyle name="Note 2 2 2 2 2" xfId="1398" xr:uid="{00000000-0005-0000-0000-0000D1A80000}"/>
    <cellStyle name="Note 2 2 2 2 2 2" xfId="2126" xr:uid="{00000000-0005-0000-0000-0000D2A80000}"/>
    <cellStyle name="Note 2 2 2 2 2 2 2" xfId="3467" xr:uid="{00000000-0005-0000-0000-0000D3A80000}"/>
    <cellStyle name="Note 2 2 2 2 2 2 2 2" xfId="6439" xr:uid="{00000000-0005-0000-0000-0000D4A80000}"/>
    <cellStyle name="Note 2 2 2 2 2 2 2 2 2" xfId="12089" xr:uid="{00000000-0005-0000-0000-0000D5A80000}"/>
    <cellStyle name="Note 2 2 2 2 2 2 2 2 2 2" xfId="23390" xr:uid="{00000000-0005-0000-0000-0000D6A80000}"/>
    <cellStyle name="Note 2 2 2 2 2 2 2 2 2 2 2" xfId="45992" xr:uid="{00000000-0005-0000-0000-0000D7A80000}"/>
    <cellStyle name="Note 2 2 2 2 2 2 2 2 2 3" xfId="34691" xr:uid="{00000000-0005-0000-0000-0000D8A80000}"/>
    <cellStyle name="Note 2 2 2 2 2 2 2 2 3" xfId="17740" xr:uid="{00000000-0005-0000-0000-0000D9A80000}"/>
    <cellStyle name="Note 2 2 2 2 2 2 2 2 3 2" xfId="40342" xr:uid="{00000000-0005-0000-0000-0000DAA80000}"/>
    <cellStyle name="Note 2 2 2 2 2 2 2 2 4" xfId="29041" xr:uid="{00000000-0005-0000-0000-0000DBA80000}"/>
    <cellStyle name="Note 2 2 2 2 2 2 2 3" xfId="9257" xr:uid="{00000000-0005-0000-0000-0000DCA80000}"/>
    <cellStyle name="Note 2 2 2 2 2 2 2 3 2" xfId="20558" xr:uid="{00000000-0005-0000-0000-0000DDA80000}"/>
    <cellStyle name="Note 2 2 2 2 2 2 2 3 2 2" xfId="43160" xr:uid="{00000000-0005-0000-0000-0000DEA80000}"/>
    <cellStyle name="Note 2 2 2 2 2 2 2 3 3" xfId="31859" xr:uid="{00000000-0005-0000-0000-0000DFA80000}"/>
    <cellStyle name="Note 2 2 2 2 2 2 2 4" xfId="14908" xr:uid="{00000000-0005-0000-0000-0000E0A80000}"/>
    <cellStyle name="Note 2 2 2 2 2 2 2 4 2" xfId="37510" xr:uid="{00000000-0005-0000-0000-0000E1A80000}"/>
    <cellStyle name="Note 2 2 2 2 2 2 2 5" xfId="26209" xr:uid="{00000000-0005-0000-0000-0000E2A80000}"/>
    <cellStyle name="Note 2 2 2 2 2 2 3" xfId="5205" xr:uid="{00000000-0005-0000-0000-0000E3A80000}"/>
    <cellStyle name="Note 2 2 2 2 2 2 3 2" xfId="10855" xr:uid="{00000000-0005-0000-0000-0000E4A80000}"/>
    <cellStyle name="Note 2 2 2 2 2 2 3 2 2" xfId="22156" xr:uid="{00000000-0005-0000-0000-0000E5A80000}"/>
    <cellStyle name="Note 2 2 2 2 2 2 3 2 2 2" xfId="44758" xr:uid="{00000000-0005-0000-0000-0000E6A80000}"/>
    <cellStyle name="Note 2 2 2 2 2 2 3 2 3" xfId="33457" xr:uid="{00000000-0005-0000-0000-0000E7A80000}"/>
    <cellStyle name="Note 2 2 2 2 2 2 3 3" xfId="16506" xr:uid="{00000000-0005-0000-0000-0000E8A80000}"/>
    <cellStyle name="Note 2 2 2 2 2 2 3 3 2" xfId="39108" xr:uid="{00000000-0005-0000-0000-0000E9A80000}"/>
    <cellStyle name="Note 2 2 2 2 2 2 3 4" xfId="27807" xr:uid="{00000000-0005-0000-0000-0000EAA80000}"/>
    <cellStyle name="Note 2 2 2 2 2 2 4" xfId="7982" xr:uid="{00000000-0005-0000-0000-0000EBA80000}"/>
    <cellStyle name="Note 2 2 2 2 2 2 4 2" xfId="19283" xr:uid="{00000000-0005-0000-0000-0000ECA80000}"/>
    <cellStyle name="Note 2 2 2 2 2 2 4 2 2" xfId="41885" xr:uid="{00000000-0005-0000-0000-0000EDA80000}"/>
    <cellStyle name="Note 2 2 2 2 2 2 4 3" xfId="30584" xr:uid="{00000000-0005-0000-0000-0000EEA80000}"/>
    <cellStyle name="Note 2 2 2 2 2 2 5" xfId="13633" xr:uid="{00000000-0005-0000-0000-0000EFA80000}"/>
    <cellStyle name="Note 2 2 2 2 2 2 5 2" xfId="36235" xr:uid="{00000000-0005-0000-0000-0000F0A80000}"/>
    <cellStyle name="Note 2 2 2 2 2 2 6" xfId="24934" xr:uid="{00000000-0005-0000-0000-0000F1A80000}"/>
    <cellStyle name="Note 2 2 2 2 2 3" xfId="2796" xr:uid="{00000000-0005-0000-0000-0000F2A80000}"/>
    <cellStyle name="Note 2 2 2 2 2 3 2" xfId="5815" xr:uid="{00000000-0005-0000-0000-0000F3A80000}"/>
    <cellStyle name="Note 2 2 2 2 2 3 2 2" xfId="11465" xr:uid="{00000000-0005-0000-0000-0000F4A80000}"/>
    <cellStyle name="Note 2 2 2 2 2 3 2 2 2" xfId="22766" xr:uid="{00000000-0005-0000-0000-0000F5A80000}"/>
    <cellStyle name="Note 2 2 2 2 2 3 2 2 2 2" xfId="45368" xr:uid="{00000000-0005-0000-0000-0000F6A80000}"/>
    <cellStyle name="Note 2 2 2 2 2 3 2 2 3" xfId="34067" xr:uid="{00000000-0005-0000-0000-0000F7A80000}"/>
    <cellStyle name="Note 2 2 2 2 2 3 2 3" xfId="17116" xr:uid="{00000000-0005-0000-0000-0000F8A80000}"/>
    <cellStyle name="Note 2 2 2 2 2 3 2 3 2" xfId="39718" xr:uid="{00000000-0005-0000-0000-0000F9A80000}"/>
    <cellStyle name="Note 2 2 2 2 2 3 2 4" xfId="28417" xr:uid="{00000000-0005-0000-0000-0000FAA80000}"/>
    <cellStyle name="Note 2 2 2 2 2 3 3" xfId="8632" xr:uid="{00000000-0005-0000-0000-0000FBA80000}"/>
    <cellStyle name="Note 2 2 2 2 2 3 3 2" xfId="19933" xr:uid="{00000000-0005-0000-0000-0000FCA80000}"/>
    <cellStyle name="Note 2 2 2 2 2 3 3 2 2" xfId="42535" xr:uid="{00000000-0005-0000-0000-0000FDA80000}"/>
    <cellStyle name="Note 2 2 2 2 2 3 3 3" xfId="31234" xr:uid="{00000000-0005-0000-0000-0000FEA80000}"/>
    <cellStyle name="Note 2 2 2 2 2 3 4" xfId="14283" xr:uid="{00000000-0005-0000-0000-0000FFA80000}"/>
    <cellStyle name="Note 2 2 2 2 2 3 4 2" xfId="36885" xr:uid="{00000000-0005-0000-0000-000000A90000}"/>
    <cellStyle name="Note 2 2 2 2 2 3 5" xfId="25584" xr:uid="{00000000-0005-0000-0000-000001A90000}"/>
    <cellStyle name="Note 2 2 2 2 2 4" xfId="4581" xr:uid="{00000000-0005-0000-0000-000002A90000}"/>
    <cellStyle name="Note 2 2 2 2 2 4 2" xfId="10231" xr:uid="{00000000-0005-0000-0000-000003A90000}"/>
    <cellStyle name="Note 2 2 2 2 2 4 2 2" xfId="21532" xr:uid="{00000000-0005-0000-0000-000004A90000}"/>
    <cellStyle name="Note 2 2 2 2 2 4 2 2 2" xfId="44134" xr:uid="{00000000-0005-0000-0000-000005A90000}"/>
    <cellStyle name="Note 2 2 2 2 2 4 2 3" xfId="32833" xr:uid="{00000000-0005-0000-0000-000006A90000}"/>
    <cellStyle name="Note 2 2 2 2 2 4 3" xfId="15882" xr:uid="{00000000-0005-0000-0000-000007A90000}"/>
    <cellStyle name="Note 2 2 2 2 2 4 3 2" xfId="38484" xr:uid="{00000000-0005-0000-0000-000008A90000}"/>
    <cellStyle name="Note 2 2 2 2 2 4 4" xfId="27183" xr:uid="{00000000-0005-0000-0000-000009A90000}"/>
    <cellStyle name="Note 2 2 2 2 2 5" xfId="7377" xr:uid="{00000000-0005-0000-0000-00000AA90000}"/>
    <cellStyle name="Note 2 2 2 2 2 5 2" xfId="18678" xr:uid="{00000000-0005-0000-0000-00000BA90000}"/>
    <cellStyle name="Note 2 2 2 2 2 5 2 2" xfId="41280" xr:uid="{00000000-0005-0000-0000-00000CA90000}"/>
    <cellStyle name="Note 2 2 2 2 2 5 3" xfId="29979" xr:uid="{00000000-0005-0000-0000-00000DA90000}"/>
    <cellStyle name="Note 2 2 2 2 2 6" xfId="13028" xr:uid="{00000000-0005-0000-0000-00000EA90000}"/>
    <cellStyle name="Note 2 2 2 2 2 6 2" xfId="35630" xr:uid="{00000000-0005-0000-0000-00000FA90000}"/>
    <cellStyle name="Note 2 2 2 2 2 7" xfId="24329" xr:uid="{00000000-0005-0000-0000-000010A90000}"/>
    <cellStyle name="Note 2 2 2 2 3" xfId="1096" xr:uid="{00000000-0005-0000-0000-000011A90000}"/>
    <cellStyle name="Note 2 2 2 2 3 2" xfId="3159" xr:uid="{00000000-0005-0000-0000-000012A90000}"/>
    <cellStyle name="Note 2 2 2 2 3 2 2" xfId="6131" xr:uid="{00000000-0005-0000-0000-000013A90000}"/>
    <cellStyle name="Note 2 2 2 2 3 2 2 2" xfId="11781" xr:uid="{00000000-0005-0000-0000-000014A90000}"/>
    <cellStyle name="Note 2 2 2 2 3 2 2 2 2" xfId="23082" xr:uid="{00000000-0005-0000-0000-000015A90000}"/>
    <cellStyle name="Note 2 2 2 2 3 2 2 2 2 2" xfId="45684" xr:uid="{00000000-0005-0000-0000-000016A90000}"/>
    <cellStyle name="Note 2 2 2 2 3 2 2 2 3" xfId="34383" xr:uid="{00000000-0005-0000-0000-000017A90000}"/>
    <cellStyle name="Note 2 2 2 2 3 2 2 3" xfId="17432" xr:uid="{00000000-0005-0000-0000-000018A90000}"/>
    <cellStyle name="Note 2 2 2 2 3 2 2 3 2" xfId="40034" xr:uid="{00000000-0005-0000-0000-000019A90000}"/>
    <cellStyle name="Note 2 2 2 2 3 2 2 4" xfId="28733" xr:uid="{00000000-0005-0000-0000-00001AA90000}"/>
    <cellStyle name="Note 2 2 2 2 3 2 3" xfId="8949" xr:uid="{00000000-0005-0000-0000-00001BA90000}"/>
    <cellStyle name="Note 2 2 2 2 3 2 3 2" xfId="20250" xr:uid="{00000000-0005-0000-0000-00001CA90000}"/>
    <cellStyle name="Note 2 2 2 2 3 2 3 2 2" xfId="42852" xr:uid="{00000000-0005-0000-0000-00001DA90000}"/>
    <cellStyle name="Note 2 2 2 2 3 2 3 3" xfId="31551" xr:uid="{00000000-0005-0000-0000-00001EA90000}"/>
    <cellStyle name="Note 2 2 2 2 3 2 4" xfId="14600" xr:uid="{00000000-0005-0000-0000-00001FA90000}"/>
    <cellStyle name="Note 2 2 2 2 3 2 4 2" xfId="37202" xr:uid="{00000000-0005-0000-0000-000020A90000}"/>
    <cellStyle name="Note 2 2 2 2 3 2 5" xfId="25901" xr:uid="{00000000-0005-0000-0000-000021A90000}"/>
    <cellStyle name="Note 2 2 2 2 3 3" xfId="4897" xr:uid="{00000000-0005-0000-0000-000022A90000}"/>
    <cellStyle name="Note 2 2 2 2 3 3 2" xfId="10547" xr:uid="{00000000-0005-0000-0000-000023A90000}"/>
    <cellStyle name="Note 2 2 2 2 3 3 2 2" xfId="21848" xr:uid="{00000000-0005-0000-0000-000024A90000}"/>
    <cellStyle name="Note 2 2 2 2 3 3 2 2 2" xfId="44450" xr:uid="{00000000-0005-0000-0000-000025A90000}"/>
    <cellStyle name="Note 2 2 2 2 3 3 2 3" xfId="33149" xr:uid="{00000000-0005-0000-0000-000026A90000}"/>
    <cellStyle name="Note 2 2 2 2 3 3 3" xfId="16198" xr:uid="{00000000-0005-0000-0000-000027A90000}"/>
    <cellStyle name="Note 2 2 2 2 3 3 3 2" xfId="38800" xr:uid="{00000000-0005-0000-0000-000028A90000}"/>
    <cellStyle name="Note 2 2 2 2 3 3 4" xfId="27499" xr:uid="{00000000-0005-0000-0000-000029A90000}"/>
    <cellStyle name="Note 2 2 2 2 3 4" xfId="7084" xr:uid="{00000000-0005-0000-0000-00002AA90000}"/>
    <cellStyle name="Note 2 2 2 2 3 4 2" xfId="18385" xr:uid="{00000000-0005-0000-0000-00002BA90000}"/>
    <cellStyle name="Note 2 2 2 2 3 4 2 2" xfId="40987" xr:uid="{00000000-0005-0000-0000-00002CA90000}"/>
    <cellStyle name="Note 2 2 2 2 3 4 3" xfId="29686" xr:uid="{00000000-0005-0000-0000-00002DA90000}"/>
    <cellStyle name="Note 2 2 2 2 3 5" xfId="12735" xr:uid="{00000000-0005-0000-0000-00002EA90000}"/>
    <cellStyle name="Note 2 2 2 2 3 5 2" xfId="35337" xr:uid="{00000000-0005-0000-0000-00002FA90000}"/>
    <cellStyle name="Note 2 2 2 2 3 6" xfId="24036" xr:uid="{00000000-0005-0000-0000-000030A90000}"/>
    <cellStyle name="Note 2 2 2 2 4" xfId="2125" xr:uid="{00000000-0005-0000-0000-000031A90000}"/>
    <cellStyle name="Note 2 2 2 2 4 2" xfId="3869" xr:uid="{00000000-0005-0000-0000-000032A90000}"/>
    <cellStyle name="Note 2 2 2 2 4 2 2" xfId="9577" xr:uid="{00000000-0005-0000-0000-000033A90000}"/>
    <cellStyle name="Note 2 2 2 2 4 2 2 2" xfId="20878" xr:uid="{00000000-0005-0000-0000-000034A90000}"/>
    <cellStyle name="Note 2 2 2 2 4 2 2 2 2" xfId="43480" xr:uid="{00000000-0005-0000-0000-000035A90000}"/>
    <cellStyle name="Note 2 2 2 2 4 2 2 3" xfId="32179" xr:uid="{00000000-0005-0000-0000-000036A90000}"/>
    <cellStyle name="Note 2 2 2 2 4 2 3" xfId="15228" xr:uid="{00000000-0005-0000-0000-000037A90000}"/>
    <cellStyle name="Note 2 2 2 2 4 2 3 2" xfId="37830" xr:uid="{00000000-0005-0000-0000-000038A90000}"/>
    <cellStyle name="Note 2 2 2 2 4 2 4" xfId="26529" xr:uid="{00000000-0005-0000-0000-000039A90000}"/>
    <cellStyle name="Note 2 2 2 2 4 3" xfId="5507" xr:uid="{00000000-0005-0000-0000-00003AA90000}"/>
    <cellStyle name="Note 2 2 2 2 4 3 2" xfId="11157" xr:uid="{00000000-0005-0000-0000-00003BA90000}"/>
    <cellStyle name="Note 2 2 2 2 4 3 2 2" xfId="22458" xr:uid="{00000000-0005-0000-0000-00003CA90000}"/>
    <cellStyle name="Note 2 2 2 2 4 3 2 2 2" xfId="45060" xr:uid="{00000000-0005-0000-0000-00003DA90000}"/>
    <cellStyle name="Note 2 2 2 2 4 3 2 3" xfId="33759" xr:uid="{00000000-0005-0000-0000-00003EA90000}"/>
    <cellStyle name="Note 2 2 2 2 4 3 3" xfId="16808" xr:uid="{00000000-0005-0000-0000-00003FA90000}"/>
    <cellStyle name="Note 2 2 2 2 4 3 3 2" xfId="39410" xr:uid="{00000000-0005-0000-0000-000040A90000}"/>
    <cellStyle name="Note 2 2 2 2 4 3 4" xfId="28109" xr:uid="{00000000-0005-0000-0000-000041A90000}"/>
    <cellStyle name="Note 2 2 2 2 4 4" xfId="7981" xr:uid="{00000000-0005-0000-0000-000042A90000}"/>
    <cellStyle name="Note 2 2 2 2 4 4 2" xfId="19282" xr:uid="{00000000-0005-0000-0000-000043A90000}"/>
    <cellStyle name="Note 2 2 2 2 4 4 2 2" xfId="41884" xr:uid="{00000000-0005-0000-0000-000044A90000}"/>
    <cellStyle name="Note 2 2 2 2 4 4 3" xfId="30583" xr:uid="{00000000-0005-0000-0000-000045A90000}"/>
    <cellStyle name="Note 2 2 2 2 4 5" xfId="13632" xr:uid="{00000000-0005-0000-0000-000046A90000}"/>
    <cellStyle name="Note 2 2 2 2 4 5 2" xfId="36234" xr:uid="{00000000-0005-0000-0000-000047A90000}"/>
    <cellStyle name="Note 2 2 2 2 4 6" xfId="24933" xr:uid="{00000000-0005-0000-0000-000048A90000}"/>
    <cellStyle name="Note 2 2 2 2 5" xfId="2488" xr:uid="{00000000-0005-0000-0000-000049A90000}"/>
    <cellStyle name="Note 2 2 2 2 5 2" xfId="8324" xr:uid="{00000000-0005-0000-0000-00004AA90000}"/>
    <cellStyle name="Note 2 2 2 2 5 2 2" xfId="19625" xr:uid="{00000000-0005-0000-0000-00004BA90000}"/>
    <cellStyle name="Note 2 2 2 2 5 2 2 2" xfId="42227" xr:uid="{00000000-0005-0000-0000-00004CA90000}"/>
    <cellStyle name="Note 2 2 2 2 5 2 3" xfId="30926" xr:uid="{00000000-0005-0000-0000-00004DA90000}"/>
    <cellStyle name="Note 2 2 2 2 5 3" xfId="13975" xr:uid="{00000000-0005-0000-0000-00004EA90000}"/>
    <cellStyle name="Note 2 2 2 2 5 3 2" xfId="36577" xr:uid="{00000000-0005-0000-0000-00004FA90000}"/>
    <cellStyle name="Note 2 2 2 2 5 4" xfId="25276" xr:uid="{00000000-0005-0000-0000-000050A90000}"/>
    <cellStyle name="Note 2 2 2 2 6" xfId="4273" xr:uid="{00000000-0005-0000-0000-000051A90000}"/>
    <cellStyle name="Note 2 2 2 2 6 2" xfId="9923" xr:uid="{00000000-0005-0000-0000-000052A90000}"/>
    <cellStyle name="Note 2 2 2 2 6 2 2" xfId="21224" xr:uid="{00000000-0005-0000-0000-000053A90000}"/>
    <cellStyle name="Note 2 2 2 2 6 2 2 2" xfId="43826" xr:uid="{00000000-0005-0000-0000-000054A90000}"/>
    <cellStyle name="Note 2 2 2 2 6 2 3" xfId="32525" xr:uid="{00000000-0005-0000-0000-000055A90000}"/>
    <cellStyle name="Note 2 2 2 2 6 3" xfId="15574" xr:uid="{00000000-0005-0000-0000-000056A90000}"/>
    <cellStyle name="Note 2 2 2 2 6 3 2" xfId="38176" xr:uid="{00000000-0005-0000-0000-000057A90000}"/>
    <cellStyle name="Note 2 2 2 2 6 4" xfId="26875" xr:uid="{00000000-0005-0000-0000-000058A90000}"/>
    <cellStyle name="Note 2 2 2 2 7" xfId="6753" xr:uid="{00000000-0005-0000-0000-000059A90000}"/>
    <cellStyle name="Note 2 2 2 2 7 2" xfId="18054" xr:uid="{00000000-0005-0000-0000-00005AA90000}"/>
    <cellStyle name="Note 2 2 2 2 7 2 2" xfId="40656" xr:uid="{00000000-0005-0000-0000-00005BA90000}"/>
    <cellStyle name="Note 2 2 2 2 7 3" xfId="29355" xr:uid="{00000000-0005-0000-0000-00005CA90000}"/>
    <cellStyle name="Note 2 2 2 2 8" xfId="12404" xr:uid="{00000000-0005-0000-0000-00005DA90000}"/>
    <cellStyle name="Note 2 2 2 2 8 2" xfId="35006" xr:uid="{00000000-0005-0000-0000-00005EA90000}"/>
    <cellStyle name="Note 2 2 2 2 9" xfId="23705" xr:uid="{00000000-0005-0000-0000-00005FA90000}"/>
    <cellStyle name="Note 2 2 2 3" xfId="1260" xr:uid="{00000000-0005-0000-0000-000060A90000}"/>
    <cellStyle name="Note 2 2 2 3 2" xfId="2127" xr:uid="{00000000-0005-0000-0000-000061A90000}"/>
    <cellStyle name="Note 2 2 2 3 2 2" xfId="3328" xr:uid="{00000000-0005-0000-0000-000062A90000}"/>
    <cellStyle name="Note 2 2 2 3 2 2 2" xfId="6300" xr:uid="{00000000-0005-0000-0000-000063A90000}"/>
    <cellStyle name="Note 2 2 2 3 2 2 2 2" xfId="11950" xr:uid="{00000000-0005-0000-0000-000064A90000}"/>
    <cellStyle name="Note 2 2 2 3 2 2 2 2 2" xfId="23251" xr:uid="{00000000-0005-0000-0000-000065A90000}"/>
    <cellStyle name="Note 2 2 2 3 2 2 2 2 2 2" xfId="45853" xr:uid="{00000000-0005-0000-0000-000066A90000}"/>
    <cellStyle name="Note 2 2 2 3 2 2 2 2 3" xfId="34552" xr:uid="{00000000-0005-0000-0000-000067A90000}"/>
    <cellStyle name="Note 2 2 2 3 2 2 2 3" xfId="17601" xr:uid="{00000000-0005-0000-0000-000068A90000}"/>
    <cellStyle name="Note 2 2 2 3 2 2 2 3 2" xfId="40203" xr:uid="{00000000-0005-0000-0000-000069A90000}"/>
    <cellStyle name="Note 2 2 2 3 2 2 2 4" xfId="28902" xr:uid="{00000000-0005-0000-0000-00006AA90000}"/>
    <cellStyle name="Note 2 2 2 3 2 2 3" xfId="9118" xr:uid="{00000000-0005-0000-0000-00006BA90000}"/>
    <cellStyle name="Note 2 2 2 3 2 2 3 2" xfId="20419" xr:uid="{00000000-0005-0000-0000-00006CA90000}"/>
    <cellStyle name="Note 2 2 2 3 2 2 3 2 2" xfId="43021" xr:uid="{00000000-0005-0000-0000-00006DA90000}"/>
    <cellStyle name="Note 2 2 2 3 2 2 3 3" xfId="31720" xr:uid="{00000000-0005-0000-0000-00006EA90000}"/>
    <cellStyle name="Note 2 2 2 3 2 2 4" xfId="14769" xr:uid="{00000000-0005-0000-0000-00006FA90000}"/>
    <cellStyle name="Note 2 2 2 3 2 2 4 2" xfId="37371" xr:uid="{00000000-0005-0000-0000-000070A90000}"/>
    <cellStyle name="Note 2 2 2 3 2 2 5" xfId="26070" xr:uid="{00000000-0005-0000-0000-000071A90000}"/>
    <cellStyle name="Note 2 2 2 3 2 3" xfId="5066" xr:uid="{00000000-0005-0000-0000-000072A90000}"/>
    <cellStyle name="Note 2 2 2 3 2 3 2" xfId="10716" xr:uid="{00000000-0005-0000-0000-000073A90000}"/>
    <cellStyle name="Note 2 2 2 3 2 3 2 2" xfId="22017" xr:uid="{00000000-0005-0000-0000-000074A90000}"/>
    <cellStyle name="Note 2 2 2 3 2 3 2 2 2" xfId="44619" xr:uid="{00000000-0005-0000-0000-000075A90000}"/>
    <cellStyle name="Note 2 2 2 3 2 3 2 3" xfId="33318" xr:uid="{00000000-0005-0000-0000-000076A90000}"/>
    <cellStyle name="Note 2 2 2 3 2 3 3" xfId="16367" xr:uid="{00000000-0005-0000-0000-000077A90000}"/>
    <cellStyle name="Note 2 2 2 3 2 3 3 2" xfId="38969" xr:uid="{00000000-0005-0000-0000-000078A90000}"/>
    <cellStyle name="Note 2 2 2 3 2 3 4" xfId="27668" xr:uid="{00000000-0005-0000-0000-000079A90000}"/>
    <cellStyle name="Note 2 2 2 3 2 4" xfId="7983" xr:uid="{00000000-0005-0000-0000-00007AA90000}"/>
    <cellStyle name="Note 2 2 2 3 2 4 2" xfId="19284" xr:uid="{00000000-0005-0000-0000-00007BA90000}"/>
    <cellStyle name="Note 2 2 2 3 2 4 2 2" xfId="41886" xr:uid="{00000000-0005-0000-0000-00007CA90000}"/>
    <cellStyle name="Note 2 2 2 3 2 4 3" xfId="30585" xr:uid="{00000000-0005-0000-0000-00007DA90000}"/>
    <cellStyle name="Note 2 2 2 3 2 5" xfId="13634" xr:uid="{00000000-0005-0000-0000-00007EA90000}"/>
    <cellStyle name="Note 2 2 2 3 2 5 2" xfId="36236" xr:uid="{00000000-0005-0000-0000-00007FA90000}"/>
    <cellStyle name="Note 2 2 2 3 2 6" xfId="24935" xr:uid="{00000000-0005-0000-0000-000080A90000}"/>
    <cellStyle name="Note 2 2 2 3 3" xfId="2657" xr:uid="{00000000-0005-0000-0000-000081A90000}"/>
    <cellStyle name="Note 2 2 2 3 3 2" xfId="5676" xr:uid="{00000000-0005-0000-0000-000082A90000}"/>
    <cellStyle name="Note 2 2 2 3 3 2 2" xfId="11326" xr:uid="{00000000-0005-0000-0000-000083A90000}"/>
    <cellStyle name="Note 2 2 2 3 3 2 2 2" xfId="22627" xr:uid="{00000000-0005-0000-0000-000084A90000}"/>
    <cellStyle name="Note 2 2 2 3 3 2 2 2 2" xfId="45229" xr:uid="{00000000-0005-0000-0000-000085A90000}"/>
    <cellStyle name="Note 2 2 2 3 3 2 2 3" xfId="33928" xr:uid="{00000000-0005-0000-0000-000086A90000}"/>
    <cellStyle name="Note 2 2 2 3 3 2 3" xfId="16977" xr:uid="{00000000-0005-0000-0000-000087A90000}"/>
    <cellStyle name="Note 2 2 2 3 3 2 3 2" xfId="39579" xr:uid="{00000000-0005-0000-0000-000088A90000}"/>
    <cellStyle name="Note 2 2 2 3 3 2 4" xfId="28278" xr:uid="{00000000-0005-0000-0000-000089A90000}"/>
    <cellStyle name="Note 2 2 2 3 3 3" xfId="8493" xr:uid="{00000000-0005-0000-0000-00008AA90000}"/>
    <cellStyle name="Note 2 2 2 3 3 3 2" xfId="19794" xr:uid="{00000000-0005-0000-0000-00008BA90000}"/>
    <cellStyle name="Note 2 2 2 3 3 3 2 2" xfId="42396" xr:uid="{00000000-0005-0000-0000-00008CA90000}"/>
    <cellStyle name="Note 2 2 2 3 3 3 3" xfId="31095" xr:uid="{00000000-0005-0000-0000-00008DA90000}"/>
    <cellStyle name="Note 2 2 2 3 3 4" xfId="14144" xr:uid="{00000000-0005-0000-0000-00008EA90000}"/>
    <cellStyle name="Note 2 2 2 3 3 4 2" xfId="36746" xr:uid="{00000000-0005-0000-0000-00008FA90000}"/>
    <cellStyle name="Note 2 2 2 3 3 5" xfId="25445" xr:uid="{00000000-0005-0000-0000-000090A90000}"/>
    <cellStyle name="Note 2 2 2 3 4" xfId="4442" xr:uid="{00000000-0005-0000-0000-000091A90000}"/>
    <cellStyle name="Note 2 2 2 3 4 2" xfId="10092" xr:uid="{00000000-0005-0000-0000-000092A90000}"/>
    <cellStyle name="Note 2 2 2 3 4 2 2" xfId="21393" xr:uid="{00000000-0005-0000-0000-000093A90000}"/>
    <cellStyle name="Note 2 2 2 3 4 2 2 2" xfId="43995" xr:uid="{00000000-0005-0000-0000-000094A90000}"/>
    <cellStyle name="Note 2 2 2 3 4 2 3" xfId="32694" xr:uid="{00000000-0005-0000-0000-000095A90000}"/>
    <cellStyle name="Note 2 2 2 3 4 3" xfId="15743" xr:uid="{00000000-0005-0000-0000-000096A90000}"/>
    <cellStyle name="Note 2 2 2 3 4 3 2" xfId="38345" xr:uid="{00000000-0005-0000-0000-000097A90000}"/>
    <cellStyle name="Note 2 2 2 3 4 4" xfId="27044" xr:uid="{00000000-0005-0000-0000-000098A90000}"/>
    <cellStyle name="Note 2 2 2 3 5" xfId="7239" xr:uid="{00000000-0005-0000-0000-000099A90000}"/>
    <cellStyle name="Note 2 2 2 3 5 2" xfId="18540" xr:uid="{00000000-0005-0000-0000-00009AA90000}"/>
    <cellStyle name="Note 2 2 2 3 5 2 2" xfId="41142" xr:uid="{00000000-0005-0000-0000-00009BA90000}"/>
    <cellStyle name="Note 2 2 2 3 5 3" xfId="29841" xr:uid="{00000000-0005-0000-0000-00009CA90000}"/>
    <cellStyle name="Note 2 2 2 3 6" xfId="12890" xr:uid="{00000000-0005-0000-0000-00009DA90000}"/>
    <cellStyle name="Note 2 2 2 3 6 2" xfId="35492" xr:uid="{00000000-0005-0000-0000-00009EA90000}"/>
    <cellStyle name="Note 2 2 2 3 7" xfId="24191" xr:uid="{00000000-0005-0000-0000-00009FA90000}"/>
    <cellStyle name="Note 2 2 2 4" xfId="951" xr:uid="{00000000-0005-0000-0000-0000A0A90000}"/>
    <cellStyle name="Note 2 2 2 4 2" xfId="3021" xr:uid="{00000000-0005-0000-0000-0000A1A90000}"/>
    <cellStyle name="Note 2 2 2 4 2 2" xfId="5993" xr:uid="{00000000-0005-0000-0000-0000A2A90000}"/>
    <cellStyle name="Note 2 2 2 4 2 2 2" xfId="11643" xr:uid="{00000000-0005-0000-0000-0000A3A90000}"/>
    <cellStyle name="Note 2 2 2 4 2 2 2 2" xfId="22944" xr:uid="{00000000-0005-0000-0000-0000A4A90000}"/>
    <cellStyle name="Note 2 2 2 4 2 2 2 2 2" xfId="45546" xr:uid="{00000000-0005-0000-0000-0000A5A90000}"/>
    <cellStyle name="Note 2 2 2 4 2 2 2 3" xfId="34245" xr:uid="{00000000-0005-0000-0000-0000A6A90000}"/>
    <cellStyle name="Note 2 2 2 4 2 2 3" xfId="17294" xr:uid="{00000000-0005-0000-0000-0000A7A90000}"/>
    <cellStyle name="Note 2 2 2 4 2 2 3 2" xfId="39896" xr:uid="{00000000-0005-0000-0000-0000A8A90000}"/>
    <cellStyle name="Note 2 2 2 4 2 2 4" xfId="28595" xr:uid="{00000000-0005-0000-0000-0000A9A90000}"/>
    <cellStyle name="Note 2 2 2 4 2 3" xfId="8811" xr:uid="{00000000-0005-0000-0000-0000AAA90000}"/>
    <cellStyle name="Note 2 2 2 4 2 3 2" xfId="20112" xr:uid="{00000000-0005-0000-0000-0000ABA90000}"/>
    <cellStyle name="Note 2 2 2 4 2 3 2 2" xfId="42714" xr:uid="{00000000-0005-0000-0000-0000ACA90000}"/>
    <cellStyle name="Note 2 2 2 4 2 3 3" xfId="31413" xr:uid="{00000000-0005-0000-0000-0000ADA90000}"/>
    <cellStyle name="Note 2 2 2 4 2 4" xfId="14462" xr:uid="{00000000-0005-0000-0000-0000AEA90000}"/>
    <cellStyle name="Note 2 2 2 4 2 4 2" xfId="37064" xr:uid="{00000000-0005-0000-0000-0000AFA90000}"/>
    <cellStyle name="Note 2 2 2 4 2 5" xfId="25763" xr:uid="{00000000-0005-0000-0000-0000B0A90000}"/>
    <cellStyle name="Note 2 2 2 4 3" xfId="4759" xr:uid="{00000000-0005-0000-0000-0000B1A90000}"/>
    <cellStyle name="Note 2 2 2 4 3 2" xfId="10409" xr:uid="{00000000-0005-0000-0000-0000B2A90000}"/>
    <cellStyle name="Note 2 2 2 4 3 2 2" xfId="21710" xr:uid="{00000000-0005-0000-0000-0000B3A90000}"/>
    <cellStyle name="Note 2 2 2 4 3 2 2 2" xfId="44312" xr:uid="{00000000-0005-0000-0000-0000B4A90000}"/>
    <cellStyle name="Note 2 2 2 4 3 2 3" xfId="33011" xr:uid="{00000000-0005-0000-0000-0000B5A90000}"/>
    <cellStyle name="Note 2 2 2 4 3 3" xfId="16060" xr:uid="{00000000-0005-0000-0000-0000B6A90000}"/>
    <cellStyle name="Note 2 2 2 4 3 3 2" xfId="38662" xr:uid="{00000000-0005-0000-0000-0000B7A90000}"/>
    <cellStyle name="Note 2 2 2 4 3 4" xfId="27361" xr:uid="{00000000-0005-0000-0000-0000B8A90000}"/>
    <cellStyle name="Note 2 2 2 4 4" xfId="6946" xr:uid="{00000000-0005-0000-0000-0000B9A90000}"/>
    <cellStyle name="Note 2 2 2 4 4 2" xfId="18247" xr:uid="{00000000-0005-0000-0000-0000BAA90000}"/>
    <cellStyle name="Note 2 2 2 4 4 2 2" xfId="40849" xr:uid="{00000000-0005-0000-0000-0000BBA90000}"/>
    <cellStyle name="Note 2 2 2 4 4 3" xfId="29548" xr:uid="{00000000-0005-0000-0000-0000BCA90000}"/>
    <cellStyle name="Note 2 2 2 4 5" xfId="12597" xr:uid="{00000000-0005-0000-0000-0000BDA90000}"/>
    <cellStyle name="Note 2 2 2 4 5 2" xfId="35199" xr:uid="{00000000-0005-0000-0000-0000BEA90000}"/>
    <cellStyle name="Note 2 2 2 4 6" xfId="23898" xr:uid="{00000000-0005-0000-0000-0000BFA90000}"/>
    <cellStyle name="Note 2 2 2 5" xfId="2124" xr:uid="{00000000-0005-0000-0000-0000C0A90000}"/>
    <cellStyle name="Note 2 2 2 5 2" xfId="3868" xr:uid="{00000000-0005-0000-0000-0000C1A90000}"/>
    <cellStyle name="Note 2 2 2 5 2 2" xfId="9576" xr:uid="{00000000-0005-0000-0000-0000C2A90000}"/>
    <cellStyle name="Note 2 2 2 5 2 2 2" xfId="20877" xr:uid="{00000000-0005-0000-0000-0000C3A90000}"/>
    <cellStyle name="Note 2 2 2 5 2 2 2 2" xfId="43479" xr:uid="{00000000-0005-0000-0000-0000C4A90000}"/>
    <cellStyle name="Note 2 2 2 5 2 2 3" xfId="32178" xr:uid="{00000000-0005-0000-0000-0000C5A90000}"/>
    <cellStyle name="Note 2 2 2 5 2 3" xfId="15227" xr:uid="{00000000-0005-0000-0000-0000C6A90000}"/>
    <cellStyle name="Note 2 2 2 5 2 3 2" xfId="37829" xr:uid="{00000000-0005-0000-0000-0000C7A90000}"/>
    <cellStyle name="Note 2 2 2 5 2 4" xfId="26528" xr:uid="{00000000-0005-0000-0000-0000C8A90000}"/>
    <cellStyle name="Note 2 2 2 5 3" xfId="5369" xr:uid="{00000000-0005-0000-0000-0000C9A90000}"/>
    <cellStyle name="Note 2 2 2 5 3 2" xfId="11019" xr:uid="{00000000-0005-0000-0000-0000CAA90000}"/>
    <cellStyle name="Note 2 2 2 5 3 2 2" xfId="22320" xr:uid="{00000000-0005-0000-0000-0000CBA90000}"/>
    <cellStyle name="Note 2 2 2 5 3 2 2 2" xfId="44922" xr:uid="{00000000-0005-0000-0000-0000CCA90000}"/>
    <cellStyle name="Note 2 2 2 5 3 2 3" xfId="33621" xr:uid="{00000000-0005-0000-0000-0000CDA90000}"/>
    <cellStyle name="Note 2 2 2 5 3 3" xfId="16670" xr:uid="{00000000-0005-0000-0000-0000CEA90000}"/>
    <cellStyle name="Note 2 2 2 5 3 3 2" xfId="39272" xr:uid="{00000000-0005-0000-0000-0000CFA90000}"/>
    <cellStyle name="Note 2 2 2 5 3 4" xfId="27971" xr:uid="{00000000-0005-0000-0000-0000D0A90000}"/>
    <cellStyle name="Note 2 2 2 5 4" xfId="7980" xr:uid="{00000000-0005-0000-0000-0000D1A90000}"/>
    <cellStyle name="Note 2 2 2 5 4 2" xfId="19281" xr:uid="{00000000-0005-0000-0000-0000D2A90000}"/>
    <cellStyle name="Note 2 2 2 5 4 2 2" xfId="41883" xr:uid="{00000000-0005-0000-0000-0000D3A90000}"/>
    <cellStyle name="Note 2 2 2 5 4 3" xfId="30582" xr:uid="{00000000-0005-0000-0000-0000D4A90000}"/>
    <cellStyle name="Note 2 2 2 5 5" xfId="13631" xr:uid="{00000000-0005-0000-0000-0000D5A90000}"/>
    <cellStyle name="Note 2 2 2 5 5 2" xfId="36233" xr:uid="{00000000-0005-0000-0000-0000D6A90000}"/>
    <cellStyle name="Note 2 2 2 5 6" xfId="24932" xr:uid="{00000000-0005-0000-0000-0000D7A90000}"/>
    <cellStyle name="Note 2 2 2 6" xfId="2348" xr:uid="{00000000-0005-0000-0000-0000D8A90000}"/>
    <cellStyle name="Note 2 2 2 6 2" xfId="8184" xr:uid="{00000000-0005-0000-0000-0000D9A90000}"/>
    <cellStyle name="Note 2 2 2 6 2 2" xfId="19485" xr:uid="{00000000-0005-0000-0000-0000DAA90000}"/>
    <cellStyle name="Note 2 2 2 6 2 2 2" xfId="42087" xr:uid="{00000000-0005-0000-0000-0000DBA90000}"/>
    <cellStyle name="Note 2 2 2 6 2 3" xfId="30786" xr:uid="{00000000-0005-0000-0000-0000DCA90000}"/>
    <cellStyle name="Note 2 2 2 6 3" xfId="13835" xr:uid="{00000000-0005-0000-0000-0000DDA90000}"/>
    <cellStyle name="Note 2 2 2 6 3 2" xfId="36437" xr:uid="{00000000-0005-0000-0000-0000DEA90000}"/>
    <cellStyle name="Note 2 2 2 6 4" xfId="25136" xr:uid="{00000000-0005-0000-0000-0000DFA90000}"/>
    <cellStyle name="Note 2 2 2 7" xfId="4135" xr:uid="{00000000-0005-0000-0000-0000E0A90000}"/>
    <cellStyle name="Note 2 2 2 7 2" xfId="9785" xr:uid="{00000000-0005-0000-0000-0000E1A90000}"/>
    <cellStyle name="Note 2 2 2 7 2 2" xfId="21086" xr:uid="{00000000-0005-0000-0000-0000E2A90000}"/>
    <cellStyle name="Note 2 2 2 7 2 2 2" xfId="43688" xr:uid="{00000000-0005-0000-0000-0000E3A90000}"/>
    <cellStyle name="Note 2 2 2 7 2 3" xfId="32387" xr:uid="{00000000-0005-0000-0000-0000E4A90000}"/>
    <cellStyle name="Note 2 2 2 7 3" xfId="15436" xr:uid="{00000000-0005-0000-0000-0000E5A90000}"/>
    <cellStyle name="Note 2 2 2 7 3 2" xfId="38038" xr:uid="{00000000-0005-0000-0000-0000E6A90000}"/>
    <cellStyle name="Note 2 2 2 7 4" xfId="26737" xr:uid="{00000000-0005-0000-0000-0000E7A90000}"/>
    <cellStyle name="Note 2 2 2 8" xfId="6586" xr:uid="{00000000-0005-0000-0000-0000E8A90000}"/>
    <cellStyle name="Note 2 2 2 8 2" xfId="17887" xr:uid="{00000000-0005-0000-0000-0000E9A90000}"/>
    <cellStyle name="Note 2 2 2 8 2 2" xfId="40489" xr:uid="{00000000-0005-0000-0000-0000EAA90000}"/>
    <cellStyle name="Note 2 2 2 8 3" xfId="29188" xr:uid="{00000000-0005-0000-0000-0000EBA90000}"/>
    <cellStyle name="Note 2 2 2 9" xfId="12237" xr:uid="{00000000-0005-0000-0000-0000ECA90000}"/>
    <cellStyle name="Note 2 2 2 9 2" xfId="34839" xr:uid="{00000000-0005-0000-0000-0000EDA90000}"/>
    <cellStyle name="Note 2 2 3" xfId="592" xr:uid="{00000000-0005-0000-0000-0000EEA90000}"/>
    <cellStyle name="Note 2 2 3 2" xfId="1165" xr:uid="{00000000-0005-0000-0000-0000EFA90000}"/>
    <cellStyle name="Note 2 2 3 2 2" xfId="2129" xr:uid="{00000000-0005-0000-0000-0000F0A90000}"/>
    <cellStyle name="Note 2 2 3 2 2 2" xfId="3233" xr:uid="{00000000-0005-0000-0000-0000F1A90000}"/>
    <cellStyle name="Note 2 2 3 2 2 2 2" xfId="6205" xr:uid="{00000000-0005-0000-0000-0000F2A90000}"/>
    <cellStyle name="Note 2 2 3 2 2 2 2 2" xfId="11855" xr:uid="{00000000-0005-0000-0000-0000F3A90000}"/>
    <cellStyle name="Note 2 2 3 2 2 2 2 2 2" xfId="23156" xr:uid="{00000000-0005-0000-0000-0000F4A90000}"/>
    <cellStyle name="Note 2 2 3 2 2 2 2 2 2 2" xfId="45758" xr:uid="{00000000-0005-0000-0000-0000F5A90000}"/>
    <cellStyle name="Note 2 2 3 2 2 2 2 2 3" xfId="34457" xr:uid="{00000000-0005-0000-0000-0000F6A90000}"/>
    <cellStyle name="Note 2 2 3 2 2 2 2 3" xfId="17506" xr:uid="{00000000-0005-0000-0000-0000F7A90000}"/>
    <cellStyle name="Note 2 2 3 2 2 2 2 3 2" xfId="40108" xr:uid="{00000000-0005-0000-0000-0000F8A90000}"/>
    <cellStyle name="Note 2 2 3 2 2 2 2 4" xfId="28807" xr:uid="{00000000-0005-0000-0000-0000F9A90000}"/>
    <cellStyle name="Note 2 2 3 2 2 2 3" xfId="9023" xr:uid="{00000000-0005-0000-0000-0000FAA90000}"/>
    <cellStyle name="Note 2 2 3 2 2 2 3 2" xfId="20324" xr:uid="{00000000-0005-0000-0000-0000FBA90000}"/>
    <cellStyle name="Note 2 2 3 2 2 2 3 2 2" xfId="42926" xr:uid="{00000000-0005-0000-0000-0000FCA90000}"/>
    <cellStyle name="Note 2 2 3 2 2 2 3 3" xfId="31625" xr:uid="{00000000-0005-0000-0000-0000FDA90000}"/>
    <cellStyle name="Note 2 2 3 2 2 2 4" xfId="14674" xr:uid="{00000000-0005-0000-0000-0000FEA90000}"/>
    <cellStyle name="Note 2 2 3 2 2 2 4 2" xfId="37276" xr:uid="{00000000-0005-0000-0000-0000FFA90000}"/>
    <cellStyle name="Note 2 2 3 2 2 2 5" xfId="25975" xr:uid="{00000000-0005-0000-0000-000000AA0000}"/>
    <cellStyle name="Note 2 2 3 2 2 3" xfId="4971" xr:uid="{00000000-0005-0000-0000-000001AA0000}"/>
    <cellStyle name="Note 2 2 3 2 2 3 2" xfId="10621" xr:uid="{00000000-0005-0000-0000-000002AA0000}"/>
    <cellStyle name="Note 2 2 3 2 2 3 2 2" xfId="21922" xr:uid="{00000000-0005-0000-0000-000003AA0000}"/>
    <cellStyle name="Note 2 2 3 2 2 3 2 2 2" xfId="44524" xr:uid="{00000000-0005-0000-0000-000004AA0000}"/>
    <cellStyle name="Note 2 2 3 2 2 3 2 3" xfId="33223" xr:uid="{00000000-0005-0000-0000-000005AA0000}"/>
    <cellStyle name="Note 2 2 3 2 2 3 3" xfId="16272" xr:uid="{00000000-0005-0000-0000-000006AA0000}"/>
    <cellStyle name="Note 2 2 3 2 2 3 3 2" xfId="38874" xr:uid="{00000000-0005-0000-0000-000007AA0000}"/>
    <cellStyle name="Note 2 2 3 2 2 3 4" xfId="27573" xr:uid="{00000000-0005-0000-0000-000008AA0000}"/>
    <cellStyle name="Note 2 2 3 2 2 4" xfId="7985" xr:uid="{00000000-0005-0000-0000-000009AA0000}"/>
    <cellStyle name="Note 2 2 3 2 2 4 2" xfId="19286" xr:uid="{00000000-0005-0000-0000-00000AAA0000}"/>
    <cellStyle name="Note 2 2 3 2 2 4 2 2" xfId="41888" xr:uid="{00000000-0005-0000-0000-00000BAA0000}"/>
    <cellStyle name="Note 2 2 3 2 2 4 3" xfId="30587" xr:uid="{00000000-0005-0000-0000-00000CAA0000}"/>
    <cellStyle name="Note 2 2 3 2 2 5" xfId="13636" xr:uid="{00000000-0005-0000-0000-00000DAA0000}"/>
    <cellStyle name="Note 2 2 3 2 2 5 2" xfId="36238" xr:uid="{00000000-0005-0000-0000-00000EAA0000}"/>
    <cellStyle name="Note 2 2 3 2 2 6" xfId="24937" xr:uid="{00000000-0005-0000-0000-00000FAA0000}"/>
    <cellStyle name="Note 2 2 3 2 3" xfId="2562" xr:uid="{00000000-0005-0000-0000-000010AA0000}"/>
    <cellStyle name="Note 2 2 3 2 3 2" xfId="5581" xr:uid="{00000000-0005-0000-0000-000011AA0000}"/>
    <cellStyle name="Note 2 2 3 2 3 2 2" xfId="11231" xr:uid="{00000000-0005-0000-0000-000012AA0000}"/>
    <cellStyle name="Note 2 2 3 2 3 2 2 2" xfId="22532" xr:uid="{00000000-0005-0000-0000-000013AA0000}"/>
    <cellStyle name="Note 2 2 3 2 3 2 2 2 2" xfId="45134" xr:uid="{00000000-0005-0000-0000-000014AA0000}"/>
    <cellStyle name="Note 2 2 3 2 3 2 2 3" xfId="33833" xr:uid="{00000000-0005-0000-0000-000015AA0000}"/>
    <cellStyle name="Note 2 2 3 2 3 2 3" xfId="16882" xr:uid="{00000000-0005-0000-0000-000016AA0000}"/>
    <cellStyle name="Note 2 2 3 2 3 2 3 2" xfId="39484" xr:uid="{00000000-0005-0000-0000-000017AA0000}"/>
    <cellStyle name="Note 2 2 3 2 3 2 4" xfId="28183" xr:uid="{00000000-0005-0000-0000-000018AA0000}"/>
    <cellStyle name="Note 2 2 3 2 3 3" xfId="8398" xr:uid="{00000000-0005-0000-0000-000019AA0000}"/>
    <cellStyle name="Note 2 2 3 2 3 3 2" xfId="19699" xr:uid="{00000000-0005-0000-0000-00001AAA0000}"/>
    <cellStyle name="Note 2 2 3 2 3 3 2 2" xfId="42301" xr:uid="{00000000-0005-0000-0000-00001BAA0000}"/>
    <cellStyle name="Note 2 2 3 2 3 3 3" xfId="31000" xr:uid="{00000000-0005-0000-0000-00001CAA0000}"/>
    <cellStyle name="Note 2 2 3 2 3 4" xfId="14049" xr:uid="{00000000-0005-0000-0000-00001DAA0000}"/>
    <cellStyle name="Note 2 2 3 2 3 4 2" xfId="36651" xr:uid="{00000000-0005-0000-0000-00001EAA0000}"/>
    <cellStyle name="Note 2 2 3 2 3 5" xfId="25350" xr:uid="{00000000-0005-0000-0000-00001FAA0000}"/>
    <cellStyle name="Note 2 2 3 2 4" xfId="4347" xr:uid="{00000000-0005-0000-0000-000020AA0000}"/>
    <cellStyle name="Note 2 2 3 2 4 2" xfId="9997" xr:uid="{00000000-0005-0000-0000-000021AA0000}"/>
    <cellStyle name="Note 2 2 3 2 4 2 2" xfId="21298" xr:uid="{00000000-0005-0000-0000-000022AA0000}"/>
    <cellStyle name="Note 2 2 3 2 4 2 2 2" xfId="43900" xr:uid="{00000000-0005-0000-0000-000023AA0000}"/>
    <cellStyle name="Note 2 2 3 2 4 2 3" xfId="32599" xr:uid="{00000000-0005-0000-0000-000024AA0000}"/>
    <cellStyle name="Note 2 2 3 2 4 3" xfId="15648" xr:uid="{00000000-0005-0000-0000-000025AA0000}"/>
    <cellStyle name="Note 2 2 3 2 4 3 2" xfId="38250" xr:uid="{00000000-0005-0000-0000-000026AA0000}"/>
    <cellStyle name="Note 2 2 3 2 4 4" xfId="26949" xr:uid="{00000000-0005-0000-0000-000027AA0000}"/>
    <cellStyle name="Note 2 2 3 2 5" xfId="7144" xr:uid="{00000000-0005-0000-0000-000028AA0000}"/>
    <cellStyle name="Note 2 2 3 2 5 2" xfId="18445" xr:uid="{00000000-0005-0000-0000-000029AA0000}"/>
    <cellStyle name="Note 2 2 3 2 5 2 2" xfId="41047" xr:uid="{00000000-0005-0000-0000-00002AAA0000}"/>
    <cellStyle name="Note 2 2 3 2 5 3" xfId="29746" xr:uid="{00000000-0005-0000-0000-00002BAA0000}"/>
    <cellStyle name="Note 2 2 3 2 6" xfId="12795" xr:uid="{00000000-0005-0000-0000-00002CAA0000}"/>
    <cellStyle name="Note 2 2 3 2 6 2" xfId="35397" xr:uid="{00000000-0005-0000-0000-00002DAA0000}"/>
    <cellStyle name="Note 2 2 3 2 7" xfId="24096" xr:uid="{00000000-0005-0000-0000-00002EAA0000}"/>
    <cellStyle name="Note 2 2 3 3" xfId="845" xr:uid="{00000000-0005-0000-0000-00002FAA0000}"/>
    <cellStyle name="Note 2 2 3 3 2" xfId="2926" xr:uid="{00000000-0005-0000-0000-000030AA0000}"/>
    <cellStyle name="Note 2 2 3 3 2 2" xfId="5898" xr:uid="{00000000-0005-0000-0000-000031AA0000}"/>
    <cellStyle name="Note 2 2 3 3 2 2 2" xfId="11548" xr:uid="{00000000-0005-0000-0000-000032AA0000}"/>
    <cellStyle name="Note 2 2 3 3 2 2 2 2" xfId="22849" xr:uid="{00000000-0005-0000-0000-000033AA0000}"/>
    <cellStyle name="Note 2 2 3 3 2 2 2 2 2" xfId="45451" xr:uid="{00000000-0005-0000-0000-000034AA0000}"/>
    <cellStyle name="Note 2 2 3 3 2 2 2 3" xfId="34150" xr:uid="{00000000-0005-0000-0000-000035AA0000}"/>
    <cellStyle name="Note 2 2 3 3 2 2 3" xfId="17199" xr:uid="{00000000-0005-0000-0000-000036AA0000}"/>
    <cellStyle name="Note 2 2 3 3 2 2 3 2" xfId="39801" xr:uid="{00000000-0005-0000-0000-000037AA0000}"/>
    <cellStyle name="Note 2 2 3 3 2 2 4" xfId="28500" xr:uid="{00000000-0005-0000-0000-000038AA0000}"/>
    <cellStyle name="Note 2 2 3 3 2 3" xfId="8716" xr:uid="{00000000-0005-0000-0000-000039AA0000}"/>
    <cellStyle name="Note 2 2 3 3 2 3 2" xfId="20017" xr:uid="{00000000-0005-0000-0000-00003AAA0000}"/>
    <cellStyle name="Note 2 2 3 3 2 3 2 2" xfId="42619" xr:uid="{00000000-0005-0000-0000-00003BAA0000}"/>
    <cellStyle name="Note 2 2 3 3 2 3 3" xfId="31318" xr:uid="{00000000-0005-0000-0000-00003CAA0000}"/>
    <cellStyle name="Note 2 2 3 3 2 4" xfId="14367" xr:uid="{00000000-0005-0000-0000-00003DAA0000}"/>
    <cellStyle name="Note 2 2 3 3 2 4 2" xfId="36969" xr:uid="{00000000-0005-0000-0000-00003EAA0000}"/>
    <cellStyle name="Note 2 2 3 3 2 5" xfId="25668" xr:uid="{00000000-0005-0000-0000-00003FAA0000}"/>
    <cellStyle name="Note 2 2 3 3 3" xfId="4664" xr:uid="{00000000-0005-0000-0000-000040AA0000}"/>
    <cellStyle name="Note 2 2 3 3 3 2" xfId="10314" xr:uid="{00000000-0005-0000-0000-000041AA0000}"/>
    <cellStyle name="Note 2 2 3 3 3 2 2" xfId="21615" xr:uid="{00000000-0005-0000-0000-000042AA0000}"/>
    <cellStyle name="Note 2 2 3 3 3 2 2 2" xfId="44217" xr:uid="{00000000-0005-0000-0000-000043AA0000}"/>
    <cellStyle name="Note 2 2 3 3 3 2 3" xfId="32916" xr:uid="{00000000-0005-0000-0000-000044AA0000}"/>
    <cellStyle name="Note 2 2 3 3 3 3" xfId="15965" xr:uid="{00000000-0005-0000-0000-000045AA0000}"/>
    <cellStyle name="Note 2 2 3 3 3 3 2" xfId="38567" xr:uid="{00000000-0005-0000-0000-000046AA0000}"/>
    <cellStyle name="Note 2 2 3 3 3 4" xfId="27266" xr:uid="{00000000-0005-0000-0000-000047AA0000}"/>
    <cellStyle name="Note 2 2 3 3 4" xfId="6850" xr:uid="{00000000-0005-0000-0000-000048AA0000}"/>
    <cellStyle name="Note 2 2 3 3 4 2" xfId="18151" xr:uid="{00000000-0005-0000-0000-000049AA0000}"/>
    <cellStyle name="Note 2 2 3 3 4 2 2" xfId="40753" xr:uid="{00000000-0005-0000-0000-00004AAA0000}"/>
    <cellStyle name="Note 2 2 3 3 4 3" xfId="29452" xr:uid="{00000000-0005-0000-0000-00004BAA0000}"/>
    <cellStyle name="Note 2 2 3 3 5" xfId="12501" xr:uid="{00000000-0005-0000-0000-00004CAA0000}"/>
    <cellStyle name="Note 2 2 3 3 5 2" xfId="35103" xr:uid="{00000000-0005-0000-0000-00004DAA0000}"/>
    <cellStyle name="Note 2 2 3 3 6" xfId="23802" xr:uid="{00000000-0005-0000-0000-00004EAA0000}"/>
    <cellStyle name="Note 2 2 3 4" xfId="2128" xr:uid="{00000000-0005-0000-0000-00004FAA0000}"/>
    <cellStyle name="Note 2 2 3 4 2" xfId="3870" xr:uid="{00000000-0005-0000-0000-000050AA0000}"/>
    <cellStyle name="Note 2 2 3 4 2 2" xfId="9578" xr:uid="{00000000-0005-0000-0000-000051AA0000}"/>
    <cellStyle name="Note 2 2 3 4 2 2 2" xfId="20879" xr:uid="{00000000-0005-0000-0000-000052AA0000}"/>
    <cellStyle name="Note 2 2 3 4 2 2 2 2" xfId="43481" xr:uid="{00000000-0005-0000-0000-000053AA0000}"/>
    <cellStyle name="Note 2 2 3 4 2 2 3" xfId="32180" xr:uid="{00000000-0005-0000-0000-000054AA0000}"/>
    <cellStyle name="Note 2 2 3 4 2 3" xfId="15229" xr:uid="{00000000-0005-0000-0000-000055AA0000}"/>
    <cellStyle name="Note 2 2 3 4 2 3 2" xfId="37831" xr:uid="{00000000-0005-0000-0000-000056AA0000}"/>
    <cellStyle name="Note 2 2 3 4 2 4" xfId="26530" xr:uid="{00000000-0005-0000-0000-000057AA0000}"/>
    <cellStyle name="Note 2 2 3 4 3" xfId="5274" xr:uid="{00000000-0005-0000-0000-000058AA0000}"/>
    <cellStyle name="Note 2 2 3 4 3 2" xfId="10924" xr:uid="{00000000-0005-0000-0000-000059AA0000}"/>
    <cellStyle name="Note 2 2 3 4 3 2 2" xfId="22225" xr:uid="{00000000-0005-0000-0000-00005AAA0000}"/>
    <cellStyle name="Note 2 2 3 4 3 2 2 2" xfId="44827" xr:uid="{00000000-0005-0000-0000-00005BAA0000}"/>
    <cellStyle name="Note 2 2 3 4 3 2 3" xfId="33526" xr:uid="{00000000-0005-0000-0000-00005CAA0000}"/>
    <cellStyle name="Note 2 2 3 4 3 3" xfId="16575" xr:uid="{00000000-0005-0000-0000-00005DAA0000}"/>
    <cellStyle name="Note 2 2 3 4 3 3 2" xfId="39177" xr:uid="{00000000-0005-0000-0000-00005EAA0000}"/>
    <cellStyle name="Note 2 2 3 4 3 4" xfId="27876" xr:uid="{00000000-0005-0000-0000-00005FAA0000}"/>
    <cellStyle name="Note 2 2 3 4 4" xfId="7984" xr:uid="{00000000-0005-0000-0000-000060AA0000}"/>
    <cellStyle name="Note 2 2 3 4 4 2" xfId="19285" xr:uid="{00000000-0005-0000-0000-000061AA0000}"/>
    <cellStyle name="Note 2 2 3 4 4 2 2" xfId="41887" xr:uid="{00000000-0005-0000-0000-000062AA0000}"/>
    <cellStyle name="Note 2 2 3 4 4 3" xfId="30586" xr:uid="{00000000-0005-0000-0000-000063AA0000}"/>
    <cellStyle name="Note 2 2 3 4 5" xfId="13635" xr:uid="{00000000-0005-0000-0000-000064AA0000}"/>
    <cellStyle name="Note 2 2 3 4 5 2" xfId="36237" xr:uid="{00000000-0005-0000-0000-000065AA0000}"/>
    <cellStyle name="Note 2 2 3 4 6" xfId="24936" xr:uid="{00000000-0005-0000-0000-000066AA0000}"/>
    <cellStyle name="Note 2 2 3 5" xfId="2247" xr:uid="{00000000-0005-0000-0000-000067AA0000}"/>
    <cellStyle name="Note 2 2 3 5 2" xfId="8088" xr:uid="{00000000-0005-0000-0000-000068AA0000}"/>
    <cellStyle name="Note 2 2 3 5 2 2" xfId="19389" xr:uid="{00000000-0005-0000-0000-000069AA0000}"/>
    <cellStyle name="Note 2 2 3 5 2 2 2" xfId="41991" xr:uid="{00000000-0005-0000-0000-00006AAA0000}"/>
    <cellStyle name="Note 2 2 3 5 2 3" xfId="30690" xr:uid="{00000000-0005-0000-0000-00006BAA0000}"/>
    <cellStyle name="Note 2 2 3 5 3" xfId="13739" xr:uid="{00000000-0005-0000-0000-00006CAA0000}"/>
    <cellStyle name="Note 2 2 3 5 3 2" xfId="36341" xr:uid="{00000000-0005-0000-0000-00006DAA0000}"/>
    <cellStyle name="Note 2 2 3 5 4" xfId="25040" xr:uid="{00000000-0005-0000-0000-00006EAA0000}"/>
    <cellStyle name="Note 2 2 3 6" xfId="4040" xr:uid="{00000000-0005-0000-0000-00006FAA0000}"/>
    <cellStyle name="Note 2 2 3 6 2" xfId="9690" xr:uid="{00000000-0005-0000-0000-000070AA0000}"/>
    <cellStyle name="Note 2 2 3 6 2 2" xfId="20991" xr:uid="{00000000-0005-0000-0000-000071AA0000}"/>
    <cellStyle name="Note 2 2 3 6 2 2 2" xfId="43593" xr:uid="{00000000-0005-0000-0000-000072AA0000}"/>
    <cellStyle name="Note 2 2 3 6 2 3" xfId="32292" xr:uid="{00000000-0005-0000-0000-000073AA0000}"/>
    <cellStyle name="Note 2 2 3 6 3" xfId="15341" xr:uid="{00000000-0005-0000-0000-000074AA0000}"/>
    <cellStyle name="Note 2 2 3 6 3 2" xfId="37943" xr:uid="{00000000-0005-0000-0000-000075AA0000}"/>
    <cellStyle name="Note 2 2 3 6 4" xfId="26642" xr:uid="{00000000-0005-0000-0000-000076AA0000}"/>
    <cellStyle name="Note 2 2 3 7" xfId="6658" xr:uid="{00000000-0005-0000-0000-000077AA0000}"/>
    <cellStyle name="Note 2 2 3 7 2" xfId="17959" xr:uid="{00000000-0005-0000-0000-000078AA0000}"/>
    <cellStyle name="Note 2 2 3 7 2 2" xfId="40561" xr:uid="{00000000-0005-0000-0000-000079AA0000}"/>
    <cellStyle name="Note 2 2 3 7 3" xfId="29260" xr:uid="{00000000-0005-0000-0000-00007AAA0000}"/>
    <cellStyle name="Note 2 2 3 8" xfId="12309" xr:uid="{00000000-0005-0000-0000-00007BAA0000}"/>
    <cellStyle name="Note 2 2 3 8 2" xfId="34911" xr:uid="{00000000-0005-0000-0000-00007CAA0000}"/>
    <cellStyle name="Note 2 2 3 9" xfId="23610" xr:uid="{00000000-0005-0000-0000-00007DAA0000}"/>
    <cellStyle name="Note 2 2 4" xfId="505" xr:uid="{00000000-0005-0000-0000-00007EAA0000}"/>
    <cellStyle name="Note 2 2 4 2" xfId="1276" xr:uid="{00000000-0005-0000-0000-00007FAA0000}"/>
    <cellStyle name="Note 2 2 4 2 2" xfId="2131" xr:uid="{00000000-0005-0000-0000-000080AA0000}"/>
    <cellStyle name="Note 2 2 4 2 2 2" xfId="3345" xr:uid="{00000000-0005-0000-0000-000081AA0000}"/>
    <cellStyle name="Note 2 2 4 2 2 2 2" xfId="6317" xr:uid="{00000000-0005-0000-0000-000082AA0000}"/>
    <cellStyle name="Note 2 2 4 2 2 2 2 2" xfId="11967" xr:uid="{00000000-0005-0000-0000-000083AA0000}"/>
    <cellStyle name="Note 2 2 4 2 2 2 2 2 2" xfId="23268" xr:uid="{00000000-0005-0000-0000-000084AA0000}"/>
    <cellStyle name="Note 2 2 4 2 2 2 2 2 2 2" xfId="45870" xr:uid="{00000000-0005-0000-0000-000085AA0000}"/>
    <cellStyle name="Note 2 2 4 2 2 2 2 2 3" xfId="34569" xr:uid="{00000000-0005-0000-0000-000086AA0000}"/>
    <cellStyle name="Note 2 2 4 2 2 2 2 3" xfId="17618" xr:uid="{00000000-0005-0000-0000-000087AA0000}"/>
    <cellStyle name="Note 2 2 4 2 2 2 2 3 2" xfId="40220" xr:uid="{00000000-0005-0000-0000-000088AA0000}"/>
    <cellStyle name="Note 2 2 4 2 2 2 2 4" xfId="28919" xr:uid="{00000000-0005-0000-0000-000089AA0000}"/>
    <cellStyle name="Note 2 2 4 2 2 2 3" xfId="9135" xr:uid="{00000000-0005-0000-0000-00008AAA0000}"/>
    <cellStyle name="Note 2 2 4 2 2 2 3 2" xfId="20436" xr:uid="{00000000-0005-0000-0000-00008BAA0000}"/>
    <cellStyle name="Note 2 2 4 2 2 2 3 2 2" xfId="43038" xr:uid="{00000000-0005-0000-0000-00008CAA0000}"/>
    <cellStyle name="Note 2 2 4 2 2 2 3 3" xfId="31737" xr:uid="{00000000-0005-0000-0000-00008DAA0000}"/>
    <cellStyle name="Note 2 2 4 2 2 2 4" xfId="14786" xr:uid="{00000000-0005-0000-0000-00008EAA0000}"/>
    <cellStyle name="Note 2 2 4 2 2 2 4 2" xfId="37388" xr:uid="{00000000-0005-0000-0000-00008FAA0000}"/>
    <cellStyle name="Note 2 2 4 2 2 2 5" xfId="26087" xr:uid="{00000000-0005-0000-0000-000090AA0000}"/>
    <cellStyle name="Note 2 2 4 2 2 3" xfId="5083" xr:uid="{00000000-0005-0000-0000-000091AA0000}"/>
    <cellStyle name="Note 2 2 4 2 2 3 2" xfId="10733" xr:uid="{00000000-0005-0000-0000-000092AA0000}"/>
    <cellStyle name="Note 2 2 4 2 2 3 2 2" xfId="22034" xr:uid="{00000000-0005-0000-0000-000093AA0000}"/>
    <cellStyle name="Note 2 2 4 2 2 3 2 2 2" xfId="44636" xr:uid="{00000000-0005-0000-0000-000094AA0000}"/>
    <cellStyle name="Note 2 2 4 2 2 3 2 3" xfId="33335" xr:uid="{00000000-0005-0000-0000-000095AA0000}"/>
    <cellStyle name="Note 2 2 4 2 2 3 3" xfId="16384" xr:uid="{00000000-0005-0000-0000-000096AA0000}"/>
    <cellStyle name="Note 2 2 4 2 2 3 3 2" xfId="38986" xr:uid="{00000000-0005-0000-0000-000097AA0000}"/>
    <cellStyle name="Note 2 2 4 2 2 3 4" xfId="27685" xr:uid="{00000000-0005-0000-0000-000098AA0000}"/>
    <cellStyle name="Note 2 2 4 2 2 4" xfId="7987" xr:uid="{00000000-0005-0000-0000-000099AA0000}"/>
    <cellStyle name="Note 2 2 4 2 2 4 2" xfId="19288" xr:uid="{00000000-0005-0000-0000-00009AAA0000}"/>
    <cellStyle name="Note 2 2 4 2 2 4 2 2" xfId="41890" xr:uid="{00000000-0005-0000-0000-00009BAA0000}"/>
    <cellStyle name="Note 2 2 4 2 2 4 3" xfId="30589" xr:uid="{00000000-0005-0000-0000-00009CAA0000}"/>
    <cellStyle name="Note 2 2 4 2 2 5" xfId="13638" xr:uid="{00000000-0005-0000-0000-00009DAA0000}"/>
    <cellStyle name="Note 2 2 4 2 2 5 2" xfId="36240" xr:uid="{00000000-0005-0000-0000-00009EAA0000}"/>
    <cellStyle name="Note 2 2 4 2 2 6" xfId="24939" xr:uid="{00000000-0005-0000-0000-00009FAA0000}"/>
    <cellStyle name="Note 2 2 4 2 3" xfId="2674" xr:uid="{00000000-0005-0000-0000-0000A0AA0000}"/>
    <cellStyle name="Note 2 2 4 2 3 2" xfId="5693" xr:uid="{00000000-0005-0000-0000-0000A1AA0000}"/>
    <cellStyle name="Note 2 2 4 2 3 2 2" xfId="11343" xr:uid="{00000000-0005-0000-0000-0000A2AA0000}"/>
    <cellStyle name="Note 2 2 4 2 3 2 2 2" xfId="22644" xr:uid="{00000000-0005-0000-0000-0000A3AA0000}"/>
    <cellStyle name="Note 2 2 4 2 3 2 2 2 2" xfId="45246" xr:uid="{00000000-0005-0000-0000-0000A4AA0000}"/>
    <cellStyle name="Note 2 2 4 2 3 2 2 3" xfId="33945" xr:uid="{00000000-0005-0000-0000-0000A5AA0000}"/>
    <cellStyle name="Note 2 2 4 2 3 2 3" xfId="16994" xr:uid="{00000000-0005-0000-0000-0000A6AA0000}"/>
    <cellStyle name="Note 2 2 4 2 3 2 3 2" xfId="39596" xr:uid="{00000000-0005-0000-0000-0000A7AA0000}"/>
    <cellStyle name="Note 2 2 4 2 3 2 4" xfId="28295" xr:uid="{00000000-0005-0000-0000-0000A8AA0000}"/>
    <cellStyle name="Note 2 2 4 2 3 3" xfId="8510" xr:uid="{00000000-0005-0000-0000-0000A9AA0000}"/>
    <cellStyle name="Note 2 2 4 2 3 3 2" xfId="19811" xr:uid="{00000000-0005-0000-0000-0000AAAA0000}"/>
    <cellStyle name="Note 2 2 4 2 3 3 2 2" xfId="42413" xr:uid="{00000000-0005-0000-0000-0000ABAA0000}"/>
    <cellStyle name="Note 2 2 4 2 3 3 3" xfId="31112" xr:uid="{00000000-0005-0000-0000-0000ACAA0000}"/>
    <cellStyle name="Note 2 2 4 2 3 4" xfId="14161" xr:uid="{00000000-0005-0000-0000-0000ADAA0000}"/>
    <cellStyle name="Note 2 2 4 2 3 4 2" xfId="36763" xr:uid="{00000000-0005-0000-0000-0000AEAA0000}"/>
    <cellStyle name="Note 2 2 4 2 3 5" xfId="25462" xr:uid="{00000000-0005-0000-0000-0000AFAA0000}"/>
    <cellStyle name="Note 2 2 4 2 4" xfId="4459" xr:uid="{00000000-0005-0000-0000-0000B0AA0000}"/>
    <cellStyle name="Note 2 2 4 2 4 2" xfId="10109" xr:uid="{00000000-0005-0000-0000-0000B1AA0000}"/>
    <cellStyle name="Note 2 2 4 2 4 2 2" xfId="21410" xr:uid="{00000000-0005-0000-0000-0000B2AA0000}"/>
    <cellStyle name="Note 2 2 4 2 4 2 2 2" xfId="44012" xr:uid="{00000000-0005-0000-0000-0000B3AA0000}"/>
    <cellStyle name="Note 2 2 4 2 4 2 3" xfId="32711" xr:uid="{00000000-0005-0000-0000-0000B4AA0000}"/>
    <cellStyle name="Note 2 2 4 2 4 3" xfId="15760" xr:uid="{00000000-0005-0000-0000-0000B5AA0000}"/>
    <cellStyle name="Note 2 2 4 2 4 3 2" xfId="38362" xr:uid="{00000000-0005-0000-0000-0000B6AA0000}"/>
    <cellStyle name="Note 2 2 4 2 4 4" xfId="27061" xr:uid="{00000000-0005-0000-0000-0000B7AA0000}"/>
    <cellStyle name="Note 2 2 4 2 5" xfId="7255" xr:uid="{00000000-0005-0000-0000-0000B8AA0000}"/>
    <cellStyle name="Note 2 2 4 2 5 2" xfId="18556" xr:uid="{00000000-0005-0000-0000-0000B9AA0000}"/>
    <cellStyle name="Note 2 2 4 2 5 2 2" xfId="41158" xr:uid="{00000000-0005-0000-0000-0000BAAA0000}"/>
    <cellStyle name="Note 2 2 4 2 5 3" xfId="29857" xr:uid="{00000000-0005-0000-0000-0000BBAA0000}"/>
    <cellStyle name="Note 2 2 4 2 6" xfId="12906" xr:uid="{00000000-0005-0000-0000-0000BCAA0000}"/>
    <cellStyle name="Note 2 2 4 2 6 2" xfId="35508" xr:uid="{00000000-0005-0000-0000-0000BDAA0000}"/>
    <cellStyle name="Note 2 2 4 2 7" xfId="24207" xr:uid="{00000000-0005-0000-0000-0000BEAA0000}"/>
    <cellStyle name="Note 2 2 4 3" xfId="973" xr:uid="{00000000-0005-0000-0000-0000BFAA0000}"/>
    <cellStyle name="Note 2 2 4 3 2" xfId="3037" xr:uid="{00000000-0005-0000-0000-0000C0AA0000}"/>
    <cellStyle name="Note 2 2 4 3 2 2" xfId="6009" xr:uid="{00000000-0005-0000-0000-0000C1AA0000}"/>
    <cellStyle name="Note 2 2 4 3 2 2 2" xfId="11659" xr:uid="{00000000-0005-0000-0000-0000C2AA0000}"/>
    <cellStyle name="Note 2 2 4 3 2 2 2 2" xfId="22960" xr:uid="{00000000-0005-0000-0000-0000C3AA0000}"/>
    <cellStyle name="Note 2 2 4 3 2 2 2 2 2" xfId="45562" xr:uid="{00000000-0005-0000-0000-0000C4AA0000}"/>
    <cellStyle name="Note 2 2 4 3 2 2 2 3" xfId="34261" xr:uid="{00000000-0005-0000-0000-0000C5AA0000}"/>
    <cellStyle name="Note 2 2 4 3 2 2 3" xfId="17310" xr:uid="{00000000-0005-0000-0000-0000C6AA0000}"/>
    <cellStyle name="Note 2 2 4 3 2 2 3 2" xfId="39912" xr:uid="{00000000-0005-0000-0000-0000C7AA0000}"/>
    <cellStyle name="Note 2 2 4 3 2 2 4" xfId="28611" xr:uid="{00000000-0005-0000-0000-0000C8AA0000}"/>
    <cellStyle name="Note 2 2 4 3 2 3" xfId="8827" xr:uid="{00000000-0005-0000-0000-0000C9AA0000}"/>
    <cellStyle name="Note 2 2 4 3 2 3 2" xfId="20128" xr:uid="{00000000-0005-0000-0000-0000CAAA0000}"/>
    <cellStyle name="Note 2 2 4 3 2 3 2 2" xfId="42730" xr:uid="{00000000-0005-0000-0000-0000CBAA0000}"/>
    <cellStyle name="Note 2 2 4 3 2 3 3" xfId="31429" xr:uid="{00000000-0005-0000-0000-0000CCAA0000}"/>
    <cellStyle name="Note 2 2 4 3 2 4" xfId="14478" xr:uid="{00000000-0005-0000-0000-0000CDAA0000}"/>
    <cellStyle name="Note 2 2 4 3 2 4 2" xfId="37080" xr:uid="{00000000-0005-0000-0000-0000CEAA0000}"/>
    <cellStyle name="Note 2 2 4 3 2 5" xfId="25779" xr:uid="{00000000-0005-0000-0000-0000CFAA0000}"/>
    <cellStyle name="Note 2 2 4 3 3" xfId="4775" xr:uid="{00000000-0005-0000-0000-0000D0AA0000}"/>
    <cellStyle name="Note 2 2 4 3 3 2" xfId="10425" xr:uid="{00000000-0005-0000-0000-0000D1AA0000}"/>
    <cellStyle name="Note 2 2 4 3 3 2 2" xfId="21726" xr:uid="{00000000-0005-0000-0000-0000D2AA0000}"/>
    <cellStyle name="Note 2 2 4 3 3 2 2 2" xfId="44328" xr:uid="{00000000-0005-0000-0000-0000D3AA0000}"/>
    <cellStyle name="Note 2 2 4 3 3 2 3" xfId="33027" xr:uid="{00000000-0005-0000-0000-0000D4AA0000}"/>
    <cellStyle name="Note 2 2 4 3 3 3" xfId="16076" xr:uid="{00000000-0005-0000-0000-0000D5AA0000}"/>
    <cellStyle name="Note 2 2 4 3 3 3 2" xfId="38678" xr:uid="{00000000-0005-0000-0000-0000D6AA0000}"/>
    <cellStyle name="Note 2 2 4 3 3 4" xfId="27377" xr:uid="{00000000-0005-0000-0000-0000D7AA0000}"/>
    <cellStyle name="Note 2 2 4 3 4" xfId="6962" xr:uid="{00000000-0005-0000-0000-0000D8AA0000}"/>
    <cellStyle name="Note 2 2 4 3 4 2" xfId="18263" xr:uid="{00000000-0005-0000-0000-0000D9AA0000}"/>
    <cellStyle name="Note 2 2 4 3 4 2 2" xfId="40865" xr:uid="{00000000-0005-0000-0000-0000DAAA0000}"/>
    <cellStyle name="Note 2 2 4 3 4 3" xfId="29564" xr:uid="{00000000-0005-0000-0000-0000DBAA0000}"/>
    <cellStyle name="Note 2 2 4 3 5" xfId="12613" xr:uid="{00000000-0005-0000-0000-0000DCAA0000}"/>
    <cellStyle name="Note 2 2 4 3 5 2" xfId="35215" xr:uid="{00000000-0005-0000-0000-0000DDAA0000}"/>
    <cellStyle name="Note 2 2 4 3 6" xfId="23914" xr:uid="{00000000-0005-0000-0000-0000DEAA0000}"/>
    <cellStyle name="Note 2 2 4 4" xfId="2130" xr:uid="{00000000-0005-0000-0000-0000DFAA0000}"/>
    <cellStyle name="Note 2 2 4 4 2" xfId="3871" xr:uid="{00000000-0005-0000-0000-0000E0AA0000}"/>
    <cellStyle name="Note 2 2 4 4 2 2" xfId="9579" xr:uid="{00000000-0005-0000-0000-0000E1AA0000}"/>
    <cellStyle name="Note 2 2 4 4 2 2 2" xfId="20880" xr:uid="{00000000-0005-0000-0000-0000E2AA0000}"/>
    <cellStyle name="Note 2 2 4 4 2 2 2 2" xfId="43482" xr:uid="{00000000-0005-0000-0000-0000E3AA0000}"/>
    <cellStyle name="Note 2 2 4 4 2 2 3" xfId="32181" xr:uid="{00000000-0005-0000-0000-0000E4AA0000}"/>
    <cellStyle name="Note 2 2 4 4 2 3" xfId="15230" xr:uid="{00000000-0005-0000-0000-0000E5AA0000}"/>
    <cellStyle name="Note 2 2 4 4 2 3 2" xfId="37832" xr:uid="{00000000-0005-0000-0000-0000E6AA0000}"/>
    <cellStyle name="Note 2 2 4 4 2 4" xfId="26531" xr:uid="{00000000-0005-0000-0000-0000E7AA0000}"/>
    <cellStyle name="Note 2 2 4 4 3" xfId="5385" xr:uid="{00000000-0005-0000-0000-0000E8AA0000}"/>
    <cellStyle name="Note 2 2 4 4 3 2" xfId="11035" xr:uid="{00000000-0005-0000-0000-0000E9AA0000}"/>
    <cellStyle name="Note 2 2 4 4 3 2 2" xfId="22336" xr:uid="{00000000-0005-0000-0000-0000EAAA0000}"/>
    <cellStyle name="Note 2 2 4 4 3 2 2 2" xfId="44938" xr:uid="{00000000-0005-0000-0000-0000EBAA0000}"/>
    <cellStyle name="Note 2 2 4 4 3 2 3" xfId="33637" xr:uid="{00000000-0005-0000-0000-0000ECAA0000}"/>
    <cellStyle name="Note 2 2 4 4 3 3" xfId="16686" xr:uid="{00000000-0005-0000-0000-0000EDAA0000}"/>
    <cellStyle name="Note 2 2 4 4 3 3 2" xfId="39288" xr:uid="{00000000-0005-0000-0000-0000EEAA0000}"/>
    <cellStyle name="Note 2 2 4 4 3 4" xfId="27987" xr:uid="{00000000-0005-0000-0000-0000EFAA0000}"/>
    <cellStyle name="Note 2 2 4 4 4" xfId="7986" xr:uid="{00000000-0005-0000-0000-0000F0AA0000}"/>
    <cellStyle name="Note 2 2 4 4 4 2" xfId="19287" xr:uid="{00000000-0005-0000-0000-0000F1AA0000}"/>
    <cellStyle name="Note 2 2 4 4 4 2 2" xfId="41889" xr:uid="{00000000-0005-0000-0000-0000F2AA0000}"/>
    <cellStyle name="Note 2 2 4 4 4 3" xfId="30588" xr:uid="{00000000-0005-0000-0000-0000F3AA0000}"/>
    <cellStyle name="Note 2 2 4 4 5" xfId="13637" xr:uid="{00000000-0005-0000-0000-0000F4AA0000}"/>
    <cellStyle name="Note 2 2 4 4 5 2" xfId="36239" xr:uid="{00000000-0005-0000-0000-0000F5AA0000}"/>
    <cellStyle name="Note 2 2 4 4 6" xfId="24938" xr:uid="{00000000-0005-0000-0000-0000F6AA0000}"/>
    <cellStyle name="Note 2 2 4 5" xfId="2366" xr:uid="{00000000-0005-0000-0000-0000F7AA0000}"/>
    <cellStyle name="Note 2 2 4 5 2" xfId="8202" xr:uid="{00000000-0005-0000-0000-0000F8AA0000}"/>
    <cellStyle name="Note 2 2 4 5 2 2" xfId="19503" xr:uid="{00000000-0005-0000-0000-0000F9AA0000}"/>
    <cellStyle name="Note 2 2 4 5 2 2 2" xfId="42105" xr:uid="{00000000-0005-0000-0000-0000FAAA0000}"/>
    <cellStyle name="Note 2 2 4 5 2 3" xfId="30804" xr:uid="{00000000-0005-0000-0000-0000FBAA0000}"/>
    <cellStyle name="Note 2 2 4 5 3" xfId="13853" xr:uid="{00000000-0005-0000-0000-0000FCAA0000}"/>
    <cellStyle name="Note 2 2 4 5 3 2" xfId="36455" xr:uid="{00000000-0005-0000-0000-0000FDAA0000}"/>
    <cellStyle name="Note 2 2 4 5 4" xfId="25154" xr:uid="{00000000-0005-0000-0000-0000FEAA0000}"/>
    <cellStyle name="Note 2 2 4 6" xfId="4151" xr:uid="{00000000-0005-0000-0000-0000FFAA0000}"/>
    <cellStyle name="Note 2 2 4 6 2" xfId="9801" xr:uid="{00000000-0005-0000-0000-000000AB0000}"/>
    <cellStyle name="Note 2 2 4 6 2 2" xfId="21102" xr:uid="{00000000-0005-0000-0000-000001AB0000}"/>
    <cellStyle name="Note 2 2 4 6 2 2 2" xfId="43704" xr:uid="{00000000-0005-0000-0000-000002AB0000}"/>
    <cellStyle name="Note 2 2 4 6 2 3" xfId="32403" xr:uid="{00000000-0005-0000-0000-000003AB0000}"/>
    <cellStyle name="Note 2 2 4 6 3" xfId="15452" xr:uid="{00000000-0005-0000-0000-000004AB0000}"/>
    <cellStyle name="Note 2 2 4 6 3 2" xfId="38054" xr:uid="{00000000-0005-0000-0000-000005AB0000}"/>
    <cellStyle name="Note 2 2 4 6 4" xfId="26753" xr:uid="{00000000-0005-0000-0000-000006AB0000}"/>
    <cellStyle name="Note 2 2 4 7" xfId="6602" xr:uid="{00000000-0005-0000-0000-000007AB0000}"/>
    <cellStyle name="Note 2 2 4 7 2" xfId="17903" xr:uid="{00000000-0005-0000-0000-000008AB0000}"/>
    <cellStyle name="Note 2 2 4 7 2 2" xfId="40505" xr:uid="{00000000-0005-0000-0000-000009AB0000}"/>
    <cellStyle name="Note 2 2 4 7 3" xfId="29204" xr:uid="{00000000-0005-0000-0000-00000AAB0000}"/>
    <cellStyle name="Note 2 2 4 8" xfId="12253" xr:uid="{00000000-0005-0000-0000-00000BAB0000}"/>
    <cellStyle name="Note 2 2 4 8 2" xfId="34855" xr:uid="{00000000-0005-0000-0000-00000CAB0000}"/>
    <cellStyle name="Note 2 2 4 9" xfId="23554" xr:uid="{00000000-0005-0000-0000-00000DAB0000}"/>
    <cellStyle name="Note 2 2 5" xfId="1109" xr:uid="{00000000-0005-0000-0000-00000EAB0000}"/>
    <cellStyle name="Note 2 2 5 2" xfId="2132" xr:uid="{00000000-0005-0000-0000-00000FAB0000}"/>
    <cellStyle name="Note 2 2 5 2 2" xfId="3176" xr:uid="{00000000-0005-0000-0000-000010AB0000}"/>
    <cellStyle name="Note 2 2 5 2 2 2" xfId="6148" xr:uid="{00000000-0005-0000-0000-000011AB0000}"/>
    <cellStyle name="Note 2 2 5 2 2 2 2" xfId="11798" xr:uid="{00000000-0005-0000-0000-000012AB0000}"/>
    <cellStyle name="Note 2 2 5 2 2 2 2 2" xfId="23099" xr:uid="{00000000-0005-0000-0000-000013AB0000}"/>
    <cellStyle name="Note 2 2 5 2 2 2 2 2 2" xfId="45701" xr:uid="{00000000-0005-0000-0000-000014AB0000}"/>
    <cellStyle name="Note 2 2 5 2 2 2 2 3" xfId="34400" xr:uid="{00000000-0005-0000-0000-000015AB0000}"/>
    <cellStyle name="Note 2 2 5 2 2 2 3" xfId="17449" xr:uid="{00000000-0005-0000-0000-000016AB0000}"/>
    <cellStyle name="Note 2 2 5 2 2 2 3 2" xfId="40051" xr:uid="{00000000-0005-0000-0000-000017AB0000}"/>
    <cellStyle name="Note 2 2 5 2 2 2 4" xfId="28750" xr:uid="{00000000-0005-0000-0000-000018AB0000}"/>
    <cellStyle name="Note 2 2 5 2 2 3" xfId="8966" xr:uid="{00000000-0005-0000-0000-000019AB0000}"/>
    <cellStyle name="Note 2 2 5 2 2 3 2" xfId="20267" xr:uid="{00000000-0005-0000-0000-00001AAB0000}"/>
    <cellStyle name="Note 2 2 5 2 2 3 2 2" xfId="42869" xr:uid="{00000000-0005-0000-0000-00001BAB0000}"/>
    <cellStyle name="Note 2 2 5 2 2 3 3" xfId="31568" xr:uid="{00000000-0005-0000-0000-00001CAB0000}"/>
    <cellStyle name="Note 2 2 5 2 2 4" xfId="14617" xr:uid="{00000000-0005-0000-0000-00001DAB0000}"/>
    <cellStyle name="Note 2 2 5 2 2 4 2" xfId="37219" xr:uid="{00000000-0005-0000-0000-00001EAB0000}"/>
    <cellStyle name="Note 2 2 5 2 2 5" xfId="25918" xr:uid="{00000000-0005-0000-0000-00001FAB0000}"/>
    <cellStyle name="Note 2 2 5 2 3" xfId="4914" xr:uid="{00000000-0005-0000-0000-000020AB0000}"/>
    <cellStyle name="Note 2 2 5 2 3 2" xfId="10564" xr:uid="{00000000-0005-0000-0000-000021AB0000}"/>
    <cellStyle name="Note 2 2 5 2 3 2 2" xfId="21865" xr:uid="{00000000-0005-0000-0000-000022AB0000}"/>
    <cellStyle name="Note 2 2 5 2 3 2 2 2" xfId="44467" xr:uid="{00000000-0005-0000-0000-000023AB0000}"/>
    <cellStyle name="Note 2 2 5 2 3 2 3" xfId="33166" xr:uid="{00000000-0005-0000-0000-000024AB0000}"/>
    <cellStyle name="Note 2 2 5 2 3 3" xfId="16215" xr:uid="{00000000-0005-0000-0000-000025AB0000}"/>
    <cellStyle name="Note 2 2 5 2 3 3 2" xfId="38817" xr:uid="{00000000-0005-0000-0000-000026AB0000}"/>
    <cellStyle name="Note 2 2 5 2 3 4" xfId="27516" xr:uid="{00000000-0005-0000-0000-000027AB0000}"/>
    <cellStyle name="Note 2 2 5 2 4" xfId="7988" xr:uid="{00000000-0005-0000-0000-000028AB0000}"/>
    <cellStyle name="Note 2 2 5 2 4 2" xfId="19289" xr:uid="{00000000-0005-0000-0000-000029AB0000}"/>
    <cellStyle name="Note 2 2 5 2 4 2 2" xfId="41891" xr:uid="{00000000-0005-0000-0000-00002AAB0000}"/>
    <cellStyle name="Note 2 2 5 2 4 3" xfId="30590" xr:uid="{00000000-0005-0000-0000-00002BAB0000}"/>
    <cellStyle name="Note 2 2 5 2 5" xfId="13639" xr:uid="{00000000-0005-0000-0000-00002CAB0000}"/>
    <cellStyle name="Note 2 2 5 2 5 2" xfId="36241" xr:uid="{00000000-0005-0000-0000-00002DAB0000}"/>
    <cellStyle name="Note 2 2 5 2 6" xfId="24940" xr:uid="{00000000-0005-0000-0000-00002EAB0000}"/>
    <cellStyle name="Note 2 2 5 3" xfId="2505" xr:uid="{00000000-0005-0000-0000-00002FAB0000}"/>
    <cellStyle name="Note 2 2 5 3 2" xfId="5524" xr:uid="{00000000-0005-0000-0000-000030AB0000}"/>
    <cellStyle name="Note 2 2 5 3 2 2" xfId="11174" xr:uid="{00000000-0005-0000-0000-000031AB0000}"/>
    <cellStyle name="Note 2 2 5 3 2 2 2" xfId="22475" xr:uid="{00000000-0005-0000-0000-000032AB0000}"/>
    <cellStyle name="Note 2 2 5 3 2 2 2 2" xfId="45077" xr:uid="{00000000-0005-0000-0000-000033AB0000}"/>
    <cellStyle name="Note 2 2 5 3 2 2 3" xfId="33776" xr:uid="{00000000-0005-0000-0000-000034AB0000}"/>
    <cellStyle name="Note 2 2 5 3 2 3" xfId="16825" xr:uid="{00000000-0005-0000-0000-000035AB0000}"/>
    <cellStyle name="Note 2 2 5 3 2 3 2" xfId="39427" xr:uid="{00000000-0005-0000-0000-000036AB0000}"/>
    <cellStyle name="Note 2 2 5 3 2 4" xfId="28126" xr:uid="{00000000-0005-0000-0000-000037AB0000}"/>
    <cellStyle name="Note 2 2 5 3 3" xfId="8341" xr:uid="{00000000-0005-0000-0000-000038AB0000}"/>
    <cellStyle name="Note 2 2 5 3 3 2" xfId="19642" xr:uid="{00000000-0005-0000-0000-000039AB0000}"/>
    <cellStyle name="Note 2 2 5 3 3 2 2" xfId="42244" xr:uid="{00000000-0005-0000-0000-00003AAB0000}"/>
    <cellStyle name="Note 2 2 5 3 3 3" xfId="30943" xr:uid="{00000000-0005-0000-0000-00003BAB0000}"/>
    <cellStyle name="Note 2 2 5 3 4" xfId="13992" xr:uid="{00000000-0005-0000-0000-00003CAB0000}"/>
    <cellStyle name="Note 2 2 5 3 4 2" xfId="36594" xr:uid="{00000000-0005-0000-0000-00003DAB0000}"/>
    <cellStyle name="Note 2 2 5 3 5" xfId="25293" xr:uid="{00000000-0005-0000-0000-00003EAB0000}"/>
    <cellStyle name="Note 2 2 5 4" xfId="4290" xr:uid="{00000000-0005-0000-0000-00003FAB0000}"/>
    <cellStyle name="Note 2 2 5 4 2" xfId="9940" xr:uid="{00000000-0005-0000-0000-000040AB0000}"/>
    <cellStyle name="Note 2 2 5 4 2 2" xfId="21241" xr:uid="{00000000-0005-0000-0000-000041AB0000}"/>
    <cellStyle name="Note 2 2 5 4 2 2 2" xfId="43843" xr:uid="{00000000-0005-0000-0000-000042AB0000}"/>
    <cellStyle name="Note 2 2 5 4 2 3" xfId="32542" xr:uid="{00000000-0005-0000-0000-000043AB0000}"/>
    <cellStyle name="Note 2 2 5 4 3" xfId="15591" xr:uid="{00000000-0005-0000-0000-000044AB0000}"/>
    <cellStyle name="Note 2 2 5 4 3 2" xfId="38193" xr:uid="{00000000-0005-0000-0000-000045AB0000}"/>
    <cellStyle name="Note 2 2 5 4 4" xfId="26892" xr:uid="{00000000-0005-0000-0000-000046AB0000}"/>
    <cellStyle name="Note 2 2 5 5" xfId="7088" xr:uid="{00000000-0005-0000-0000-000047AB0000}"/>
    <cellStyle name="Note 2 2 5 5 2" xfId="18389" xr:uid="{00000000-0005-0000-0000-000048AB0000}"/>
    <cellStyle name="Note 2 2 5 5 2 2" xfId="40991" xr:uid="{00000000-0005-0000-0000-000049AB0000}"/>
    <cellStyle name="Note 2 2 5 5 3" xfId="29690" xr:uid="{00000000-0005-0000-0000-00004AAB0000}"/>
    <cellStyle name="Note 2 2 5 6" xfId="12739" xr:uid="{00000000-0005-0000-0000-00004BAB0000}"/>
    <cellStyle name="Note 2 2 5 6 2" xfId="35341" xr:uid="{00000000-0005-0000-0000-00004CAB0000}"/>
    <cellStyle name="Note 2 2 5 7" xfId="24040" xr:uid="{00000000-0005-0000-0000-00004DAB0000}"/>
    <cellStyle name="Note 2 2 6" xfId="772" xr:uid="{00000000-0005-0000-0000-00004EAB0000}"/>
    <cellStyle name="Note 2 2 6 2" xfId="2870" xr:uid="{00000000-0005-0000-0000-00004FAB0000}"/>
    <cellStyle name="Note 2 2 6 2 2" xfId="5842" xr:uid="{00000000-0005-0000-0000-000050AB0000}"/>
    <cellStyle name="Note 2 2 6 2 2 2" xfId="11492" xr:uid="{00000000-0005-0000-0000-000051AB0000}"/>
    <cellStyle name="Note 2 2 6 2 2 2 2" xfId="22793" xr:uid="{00000000-0005-0000-0000-000052AB0000}"/>
    <cellStyle name="Note 2 2 6 2 2 2 2 2" xfId="45395" xr:uid="{00000000-0005-0000-0000-000053AB0000}"/>
    <cellStyle name="Note 2 2 6 2 2 2 3" xfId="34094" xr:uid="{00000000-0005-0000-0000-000054AB0000}"/>
    <cellStyle name="Note 2 2 6 2 2 3" xfId="17143" xr:uid="{00000000-0005-0000-0000-000055AB0000}"/>
    <cellStyle name="Note 2 2 6 2 2 3 2" xfId="39745" xr:uid="{00000000-0005-0000-0000-000056AB0000}"/>
    <cellStyle name="Note 2 2 6 2 2 4" xfId="28444" xr:uid="{00000000-0005-0000-0000-000057AB0000}"/>
    <cellStyle name="Note 2 2 6 2 3" xfId="8660" xr:uid="{00000000-0005-0000-0000-000058AB0000}"/>
    <cellStyle name="Note 2 2 6 2 3 2" xfId="19961" xr:uid="{00000000-0005-0000-0000-000059AB0000}"/>
    <cellStyle name="Note 2 2 6 2 3 2 2" xfId="42563" xr:uid="{00000000-0005-0000-0000-00005AAB0000}"/>
    <cellStyle name="Note 2 2 6 2 3 3" xfId="31262" xr:uid="{00000000-0005-0000-0000-00005BAB0000}"/>
    <cellStyle name="Note 2 2 6 2 4" xfId="14311" xr:uid="{00000000-0005-0000-0000-00005CAB0000}"/>
    <cellStyle name="Note 2 2 6 2 4 2" xfId="36913" xr:uid="{00000000-0005-0000-0000-00005DAB0000}"/>
    <cellStyle name="Note 2 2 6 2 5" xfId="25612" xr:uid="{00000000-0005-0000-0000-00005EAB0000}"/>
    <cellStyle name="Note 2 2 6 3" xfId="4608" xr:uid="{00000000-0005-0000-0000-00005FAB0000}"/>
    <cellStyle name="Note 2 2 6 3 2" xfId="10258" xr:uid="{00000000-0005-0000-0000-000060AB0000}"/>
    <cellStyle name="Note 2 2 6 3 2 2" xfId="21559" xr:uid="{00000000-0005-0000-0000-000061AB0000}"/>
    <cellStyle name="Note 2 2 6 3 2 2 2" xfId="44161" xr:uid="{00000000-0005-0000-0000-000062AB0000}"/>
    <cellStyle name="Note 2 2 6 3 2 3" xfId="32860" xr:uid="{00000000-0005-0000-0000-000063AB0000}"/>
    <cellStyle name="Note 2 2 6 3 3" xfId="15909" xr:uid="{00000000-0005-0000-0000-000064AB0000}"/>
    <cellStyle name="Note 2 2 6 3 3 2" xfId="38511" xr:uid="{00000000-0005-0000-0000-000065AB0000}"/>
    <cellStyle name="Note 2 2 6 3 4" xfId="27210" xr:uid="{00000000-0005-0000-0000-000066AB0000}"/>
    <cellStyle name="Note 2 2 6 4" xfId="6790" xr:uid="{00000000-0005-0000-0000-000067AB0000}"/>
    <cellStyle name="Note 2 2 6 4 2" xfId="18091" xr:uid="{00000000-0005-0000-0000-000068AB0000}"/>
    <cellStyle name="Note 2 2 6 4 2 2" xfId="40693" xr:uid="{00000000-0005-0000-0000-000069AB0000}"/>
    <cellStyle name="Note 2 2 6 4 3" xfId="29392" xr:uid="{00000000-0005-0000-0000-00006AAB0000}"/>
    <cellStyle name="Note 2 2 6 5" xfId="12441" xr:uid="{00000000-0005-0000-0000-00006BAB0000}"/>
    <cellStyle name="Note 2 2 6 5 2" xfId="35043" xr:uid="{00000000-0005-0000-0000-00006CAB0000}"/>
    <cellStyle name="Note 2 2 6 6" xfId="23742" xr:uid="{00000000-0005-0000-0000-00006DAB0000}"/>
    <cellStyle name="Note 2 2 7" xfId="2123" xr:uid="{00000000-0005-0000-0000-00006EAB0000}"/>
    <cellStyle name="Note 2 2 7 2" xfId="3867" xr:uid="{00000000-0005-0000-0000-00006FAB0000}"/>
    <cellStyle name="Note 2 2 7 2 2" xfId="9575" xr:uid="{00000000-0005-0000-0000-000070AB0000}"/>
    <cellStyle name="Note 2 2 7 2 2 2" xfId="20876" xr:uid="{00000000-0005-0000-0000-000071AB0000}"/>
    <cellStyle name="Note 2 2 7 2 2 2 2" xfId="43478" xr:uid="{00000000-0005-0000-0000-000072AB0000}"/>
    <cellStyle name="Note 2 2 7 2 2 3" xfId="32177" xr:uid="{00000000-0005-0000-0000-000073AB0000}"/>
    <cellStyle name="Note 2 2 7 2 3" xfId="15226" xr:uid="{00000000-0005-0000-0000-000074AB0000}"/>
    <cellStyle name="Note 2 2 7 2 3 2" xfId="37828" xr:uid="{00000000-0005-0000-0000-000075AB0000}"/>
    <cellStyle name="Note 2 2 7 2 4" xfId="26527" xr:uid="{00000000-0005-0000-0000-000076AB0000}"/>
    <cellStyle name="Note 2 2 7 3" xfId="5218" xr:uid="{00000000-0005-0000-0000-000077AB0000}"/>
    <cellStyle name="Note 2 2 7 3 2" xfId="10868" xr:uid="{00000000-0005-0000-0000-000078AB0000}"/>
    <cellStyle name="Note 2 2 7 3 2 2" xfId="22169" xr:uid="{00000000-0005-0000-0000-000079AB0000}"/>
    <cellStyle name="Note 2 2 7 3 2 2 2" xfId="44771" xr:uid="{00000000-0005-0000-0000-00007AAB0000}"/>
    <cellStyle name="Note 2 2 7 3 2 3" xfId="33470" xr:uid="{00000000-0005-0000-0000-00007BAB0000}"/>
    <cellStyle name="Note 2 2 7 3 3" xfId="16519" xr:uid="{00000000-0005-0000-0000-00007CAB0000}"/>
    <cellStyle name="Note 2 2 7 3 3 2" xfId="39121" xr:uid="{00000000-0005-0000-0000-00007DAB0000}"/>
    <cellStyle name="Note 2 2 7 3 4" xfId="27820" xr:uid="{00000000-0005-0000-0000-00007EAB0000}"/>
    <cellStyle name="Note 2 2 7 4" xfId="7979" xr:uid="{00000000-0005-0000-0000-00007FAB0000}"/>
    <cellStyle name="Note 2 2 7 4 2" xfId="19280" xr:uid="{00000000-0005-0000-0000-000080AB0000}"/>
    <cellStyle name="Note 2 2 7 4 2 2" xfId="41882" xr:uid="{00000000-0005-0000-0000-000081AB0000}"/>
    <cellStyle name="Note 2 2 7 4 3" xfId="30581" xr:uid="{00000000-0005-0000-0000-000082AB0000}"/>
    <cellStyle name="Note 2 2 7 5" xfId="13630" xr:uid="{00000000-0005-0000-0000-000083AB0000}"/>
    <cellStyle name="Note 2 2 7 5 2" xfId="36232" xr:uid="{00000000-0005-0000-0000-000084AB0000}"/>
    <cellStyle name="Note 2 2 7 6" xfId="24931" xr:uid="{00000000-0005-0000-0000-000085AB0000}"/>
    <cellStyle name="Note 2 2 8" xfId="2188" xr:uid="{00000000-0005-0000-0000-000086AB0000}"/>
    <cellStyle name="Note 2 2 8 2" xfId="8032" xr:uid="{00000000-0005-0000-0000-000087AB0000}"/>
    <cellStyle name="Note 2 2 8 2 2" xfId="19333" xr:uid="{00000000-0005-0000-0000-000088AB0000}"/>
    <cellStyle name="Note 2 2 8 2 2 2" xfId="41935" xr:uid="{00000000-0005-0000-0000-000089AB0000}"/>
    <cellStyle name="Note 2 2 8 2 3" xfId="30634" xr:uid="{00000000-0005-0000-0000-00008AAB0000}"/>
    <cellStyle name="Note 2 2 8 3" xfId="13683" xr:uid="{00000000-0005-0000-0000-00008BAB0000}"/>
    <cellStyle name="Note 2 2 8 3 2" xfId="36285" xr:uid="{00000000-0005-0000-0000-00008CAB0000}"/>
    <cellStyle name="Note 2 2 8 4" xfId="24984" xr:uid="{00000000-0005-0000-0000-00008DAB0000}"/>
    <cellStyle name="Note 2 2 9" xfId="3984" xr:uid="{00000000-0005-0000-0000-00008EAB0000}"/>
    <cellStyle name="Note 2 2 9 2" xfId="9634" xr:uid="{00000000-0005-0000-0000-00008FAB0000}"/>
    <cellStyle name="Note 2 2 9 2 2" xfId="20935" xr:uid="{00000000-0005-0000-0000-000090AB0000}"/>
    <cellStyle name="Note 2 2 9 2 2 2" xfId="43537" xr:uid="{00000000-0005-0000-0000-000091AB0000}"/>
    <cellStyle name="Note 2 2 9 2 3" xfId="32236" xr:uid="{00000000-0005-0000-0000-000092AB0000}"/>
    <cellStyle name="Note 2 2 9 3" xfId="15285" xr:uid="{00000000-0005-0000-0000-000093AB0000}"/>
    <cellStyle name="Note 2 2 9 3 2" xfId="37887" xr:uid="{00000000-0005-0000-0000-000094AB0000}"/>
    <cellStyle name="Note 2 2 9 4" xfId="26586" xr:uid="{00000000-0005-0000-0000-000095AB0000}"/>
    <cellStyle name="Note 2 3" xfId="333" xr:uid="{00000000-0005-0000-0000-000096AB0000}"/>
    <cellStyle name="Note 2 4" xfId="401" xr:uid="{00000000-0005-0000-0000-000097AB0000}"/>
    <cellStyle name="Note 2 4 10" xfId="23496" xr:uid="{00000000-0005-0000-0000-000098AB0000}"/>
    <cellStyle name="Note 2 4 2" xfId="646" xr:uid="{00000000-0005-0000-0000-000099AB0000}"/>
    <cellStyle name="Note 2 4 2 2" xfId="1356" xr:uid="{00000000-0005-0000-0000-00009AAB0000}"/>
    <cellStyle name="Note 2 4 2 2 2" xfId="2135" xr:uid="{00000000-0005-0000-0000-00009BAB0000}"/>
    <cellStyle name="Note 2 4 2 2 2 2" xfId="3425" xr:uid="{00000000-0005-0000-0000-00009CAB0000}"/>
    <cellStyle name="Note 2 4 2 2 2 2 2" xfId="6397" xr:uid="{00000000-0005-0000-0000-00009DAB0000}"/>
    <cellStyle name="Note 2 4 2 2 2 2 2 2" xfId="12047" xr:uid="{00000000-0005-0000-0000-00009EAB0000}"/>
    <cellStyle name="Note 2 4 2 2 2 2 2 2 2" xfId="23348" xr:uid="{00000000-0005-0000-0000-00009FAB0000}"/>
    <cellStyle name="Note 2 4 2 2 2 2 2 2 2 2" xfId="45950" xr:uid="{00000000-0005-0000-0000-0000A0AB0000}"/>
    <cellStyle name="Note 2 4 2 2 2 2 2 2 3" xfId="34649" xr:uid="{00000000-0005-0000-0000-0000A1AB0000}"/>
    <cellStyle name="Note 2 4 2 2 2 2 2 3" xfId="17698" xr:uid="{00000000-0005-0000-0000-0000A2AB0000}"/>
    <cellStyle name="Note 2 4 2 2 2 2 2 3 2" xfId="40300" xr:uid="{00000000-0005-0000-0000-0000A3AB0000}"/>
    <cellStyle name="Note 2 4 2 2 2 2 2 4" xfId="28999" xr:uid="{00000000-0005-0000-0000-0000A4AB0000}"/>
    <cellStyle name="Note 2 4 2 2 2 2 3" xfId="9215" xr:uid="{00000000-0005-0000-0000-0000A5AB0000}"/>
    <cellStyle name="Note 2 4 2 2 2 2 3 2" xfId="20516" xr:uid="{00000000-0005-0000-0000-0000A6AB0000}"/>
    <cellStyle name="Note 2 4 2 2 2 2 3 2 2" xfId="43118" xr:uid="{00000000-0005-0000-0000-0000A7AB0000}"/>
    <cellStyle name="Note 2 4 2 2 2 2 3 3" xfId="31817" xr:uid="{00000000-0005-0000-0000-0000A8AB0000}"/>
    <cellStyle name="Note 2 4 2 2 2 2 4" xfId="14866" xr:uid="{00000000-0005-0000-0000-0000A9AB0000}"/>
    <cellStyle name="Note 2 4 2 2 2 2 4 2" xfId="37468" xr:uid="{00000000-0005-0000-0000-0000AAAB0000}"/>
    <cellStyle name="Note 2 4 2 2 2 2 5" xfId="26167" xr:uid="{00000000-0005-0000-0000-0000ABAB0000}"/>
    <cellStyle name="Note 2 4 2 2 2 3" xfId="5163" xr:uid="{00000000-0005-0000-0000-0000ACAB0000}"/>
    <cellStyle name="Note 2 4 2 2 2 3 2" xfId="10813" xr:uid="{00000000-0005-0000-0000-0000ADAB0000}"/>
    <cellStyle name="Note 2 4 2 2 2 3 2 2" xfId="22114" xr:uid="{00000000-0005-0000-0000-0000AEAB0000}"/>
    <cellStyle name="Note 2 4 2 2 2 3 2 2 2" xfId="44716" xr:uid="{00000000-0005-0000-0000-0000AFAB0000}"/>
    <cellStyle name="Note 2 4 2 2 2 3 2 3" xfId="33415" xr:uid="{00000000-0005-0000-0000-0000B0AB0000}"/>
    <cellStyle name="Note 2 4 2 2 2 3 3" xfId="16464" xr:uid="{00000000-0005-0000-0000-0000B1AB0000}"/>
    <cellStyle name="Note 2 4 2 2 2 3 3 2" xfId="39066" xr:uid="{00000000-0005-0000-0000-0000B2AB0000}"/>
    <cellStyle name="Note 2 4 2 2 2 3 4" xfId="27765" xr:uid="{00000000-0005-0000-0000-0000B3AB0000}"/>
    <cellStyle name="Note 2 4 2 2 2 4" xfId="7991" xr:uid="{00000000-0005-0000-0000-0000B4AB0000}"/>
    <cellStyle name="Note 2 4 2 2 2 4 2" xfId="19292" xr:uid="{00000000-0005-0000-0000-0000B5AB0000}"/>
    <cellStyle name="Note 2 4 2 2 2 4 2 2" xfId="41894" xr:uid="{00000000-0005-0000-0000-0000B6AB0000}"/>
    <cellStyle name="Note 2 4 2 2 2 4 3" xfId="30593" xr:uid="{00000000-0005-0000-0000-0000B7AB0000}"/>
    <cellStyle name="Note 2 4 2 2 2 5" xfId="13642" xr:uid="{00000000-0005-0000-0000-0000B8AB0000}"/>
    <cellStyle name="Note 2 4 2 2 2 5 2" xfId="36244" xr:uid="{00000000-0005-0000-0000-0000B9AB0000}"/>
    <cellStyle name="Note 2 4 2 2 2 6" xfId="24943" xr:uid="{00000000-0005-0000-0000-0000BAAB0000}"/>
    <cellStyle name="Note 2 4 2 2 3" xfId="2754" xr:uid="{00000000-0005-0000-0000-0000BBAB0000}"/>
    <cellStyle name="Note 2 4 2 2 3 2" xfId="5773" xr:uid="{00000000-0005-0000-0000-0000BCAB0000}"/>
    <cellStyle name="Note 2 4 2 2 3 2 2" xfId="11423" xr:uid="{00000000-0005-0000-0000-0000BDAB0000}"/>
    <cellStyle name="Note 2 4 2 2 3 2 2 2" xfId="22724" xr:uid="{00000000-0005-0000-0000-0000BEAB0000}"/>
    <cellStyle name="Note 2 4 2 2 3 2 2 2 2" xfId="45326" xr:uid="{00000000-0005-0000-0000-0000BFAB0000}"/>
    <cellStyle name="Note 2 4 2 2 3 2 2 3" xfId="34025" xr:uid="{00000000-0005-0000-0000-0000C0AB0000}"/>
    <cellStyle name="Note 2 4 2 2 3 2 3" xfId="17074" xr:uid="{00000000-0005-0000-0000-0000C1AB0000}"/>
    <cellStyle name="Note 2 4 2 2 3 2 3 2" xfId="39676" xr:uid="{00000000-0005-0000-0000-0000C2AB0000}"/>
    <cellStyle name="Note 2 4 2 2 3 2 4" xfId="28375" xr:uid="{00000000-0005-0000-0000-0000C3AB0000}"/>
    <cellStyle name="Note 2 4 2 2 3 3" xfId="8590" xr:uid="{00000000-0005-0000-0000-0000C4AB0000}"/>
    <cellStyle name="Note 2 4 2 2 3 3 2" xfId="19891" xr:uid="{00000000-0005-0000-0000-0000C5AB0000}"/>
    <cellStyle name="Note 2 4 2 2 3 3 2 2" xfId="42493" xr:uid="{00000000-0005-0000-0000-0000C6AB0000}"/>
    <cellStyle name="Note 2 4 2 2 3 3 3" xfId="31192" xr:uid="{00000000-0005-0000-0000-0000C7AB0000}"/>
    <cellStyle name="Note 2 4 2 2 3 4" xfId="14241" xr:uid="{00000000-0005-0000-0000-0000C8AB0000}"/>
    <cellStyle name="Note 2 4 2 2 3 4 2" xfId="36843" xr:uid="{00000000-0005-0000-0000-0000C9AB0000}"/>
    <cellStyle name="Note 2 4 2 2 3 5" xfId="25542" xr:uid="{00000000-0005-0000-0000-0000CAAB0000}"/>
    <cellStyle name="Note 2 4 2 2 4" xfId="4539" xr:uid="{00000000-0005-0000-0000-0000CBAB0000}"/>
    <cellStyle name="Note 2 4 2 2 4 2" xfId="10189" xr:uid="{00000000-0005-0000-0000-0000CCAB0000}"/>
    <cellStyle name="Note 2 4 2 2 4 2 2" xfId="21490" xr:uid="{00000000-0005-0000-0000-0000CDAB0000}"/>
    <cellStyle name="Note 2 4 2 2 4 2 2 2" xfId="44092" xr:uid="{00000000-0005-0000-0000-0000CEAB0000}"/>
    <cellStyle name="Note 2 4 2 2 4 2 3" xfId="32791" xr:uid="{00000000-0005-0000-0000-0000CFAB0000}"/>
    <cellStyle name="Note 2 4 2 2 4 3" xfId="15840" xr:uid="{00000000-0005-0000-0000-0000D0AB0000}"/>
    <cellStyle name="Note 2 4 2 2 4 3 2" xfId="38442" xr:uid="{00000000-0005-0000-0000-0000D1AB0000}"/>
    <cellStyle name="Note 2 4 2 2 4 4" xfId="27141" xr:uid="{00000000-0005-0000-0000-0000D2AB0000}"/>
    <cellStyle name="Note 2 4 2 2 5" xfId="7335" xr:uid="{00000000-0005-0000-0000-0000D3AB0000}"/>
    <cellStyle name="Note 2 4 2 2 5 2" xfId="18636" xr:uid="{00000000-0005-0000-0000-0000D4AB0000}"/>
    <cellStyle name="Note 2 4 2 2 5 2 2" xfId="41238" xr:uid="{00000000-0005-0000-0000-0000D5AB0000}"/>
    <cellStyle name="Note 2 4 2 2 5 3" xfId="29937" xr:uid="{00000000-0005-0000-0000-0000D6AB0000}"/>
    <cellStyle name="Note 2 4 2 2 6" xfId="12986" xr:uid="{00000000-0005-0000-0000-0000D7AB0000}"/>
    <cellStyle name="Note 2 4 2 2 6 2" xfId="35588" xr:uid="{00000000-0005-0000-0000-0000D8AB0000}"/>
    <cellStyle name="Note 2 4 2 2 7" xfId="24287" xr:uid="{00000000-0005-0000-0000-0000D9AB0000}"/>
    <cellStyle name="Note 2 4 2 3" xfId="1054" xr:uid="{00000000-0005-0000-0000-0000DAAB0000}"/>
    <cellStyle name="Note 2 4 2 3 2" xfId="3117" xr:uid="{00000000-0005-0000-0000-0000DBAB0000}"/>
    <cellStyle name="Note 2 4 2 3 2 2" xfId="6089" xr:uid="{00000000-0005-0000-0000-0000DCAB0000}"/>
    <cellStyle name="Note 2 4 2 3 2 2 2" xfId="11739" xr:uid="{00000000-0005-0000-0000-0000DDAB0000}"/>
    <cellStyle name="Note 2 4 2 3 2 2 2 2" xfId="23040" xr:uid="{00000000-0005-0000-0000-0000DEAB0000}"/>
    <cellStyle name="Note 2 4 2 3 2 2 2 2 2" xfId="45642" xr:uid="{00000000-0005-0000-0000-0000DFAB0000}"/>
    <cellStyle name="Note 2 4 2 3 2 2 2 3" xfId="34341" xr:uid="{00000000-0005-0000-0000-0000E0AB0000}"/>
    <cellStyle name="Note 2 4 2 3 2 2 3" xfId="17390" xr:uid="{00000000-0005-0000-0000-0000E1AB0000}"/>
    <cellStyle name="Note 2 4 2 3 2 2 3 2" xfId="39992" xr:uid="{00000000-0005-0000-0000-0000E2AB0000}"/>
    <cellStyle name="Note 2 4 2 3 2 2 4" xfId="28691" xr:uid="{00000000-0005-0000-0000-0000E3AB0000}"/>
    <cellStyle name="Note 2 4 2 3 2 3" xfId="8907" xr:uid="{00000000-0005-0000-0000-0000E4AB0000}"/>
    <cellStyle name="Note 2 4 2 3 2 3 2" xfId="20208" xr:uid="{00000000-0005-0000-0000-0000E5AB0000}"/>
    <cellStyle name="Note 2 4 2 3 2 3 2 2" xfId="42810" xr:uid="{00000000-0005-0000-0000-0000E6AB0000}"/>
    <cellStyle name="Note 2 4 2 3 2 3 3" xfId="31509" xr:uid="{00000000-0005-0000-0000-0000E7AB0000}"/>
    <cellStyle name="Note 2 4 2 3 2 4" xfId="14558" xr:uid="{00000000-0005-0000-0000-0000E8AB0000}"/>
    <cellStyle name="Note 2 4 2 3 2 4 2" xfId="37160" xr:uid="{00000000-0005-0000-0000-0000E9AB0000}"/>
    <cellStyle name="Note 2 4 2 3 2 5" xfId="25859" xr:uid="{00000000-0005-0000-0000-0000EAAB0000}"/>
    <cellStyle name="Note 2 4 2 3 3" xfId="4855" xr:uid="{00000000-0005-0000-0000-0000EBAB0000}"/>
    <cellStyle name="Note 2 4 2 3 3 2" xfId="10505" xr:uid="{00000000-0005-0000-0000-0000ECAB0000}"/>
    <cellStyle name="Note 2 4 2 3 3 2 2" xfId="21806" xr:uid="{00000000-0005-0000-0000-0000EDAB0000}"/>
    <cellStyle name="Note 2 4 2 3 3 2 2 2" xfId="44408" xr:uid="{00000000-0005-0000-0000-0000EEAB0000}"/>
    <cellStyle name="Note 2 4 2 3 3 2 3" xfId="33107" xr:uid="{00000000-0005-0000-0000-0000EFAB0000}"/>
    <cellStyle name="Note 2 4 2 3 3 3" xfId="16156" xr:uid="{00000000-0005-0000-0000-0000F0AB0000}"/>
    <cellStyle name="Note 2 4 2 3 3 3 2" xfId="38758" xr:uid="{00000000-0005-0000-0000-0000F1AB0000}"/>
    <cellStyle name="Note 2 4 2 3 3 4" xfId="27457" xr:uid="{00000000-0005-0000-0000-0000F2AB0000}"/>
    <cellStyle name="Note 2 4 2 3 4" xfId="7042" xr:uid="{00000000-0005-0000-0000-0000F3AB0000}"/>
    <cellStyle name="Note 2 4 2 3 4 2" xfId="18343" xr:uid="{00000000-0005-0000-0000-0000F4AB0000}"/>
    <cellStyle name="Note 2 4 2 3 4 2 2" xfId="40945" xr:uid="{00000000-0005-0000-0000-0000F5AB0000}"/>
    <cellStyle name="Note 2 4 2 3 4 3" xfId="29644" xr:uid="{00000000-0005-0000-0000-0000F6AB0000}"/>
    <cellStyle name="Note 2 4 2 3 5" xfId="12693" xr:uid="{00000000-0005-0000-0000-0000F7AB0000}"/>
    <cellStyle name="Note 2 4 2 3 5 2" xfId="35295" xr:uid="{00000000-0005-0000-0000-0000F8AB0000}"/>
    <cellStyle name="Note 2 4 2 3 6" xfId="23994" xr:uid="{00000000-0005-0000-0000-0000F9AB0000}"/>
    <cellStyle name="Note 2 4 2 4" xfId="2134" xr:uid="{00000000-0005-0000-0000-0000FAAB0000}"/>
    <cellStyle name="Note 2 4 2 4 2" xfId="3873" xr:uid="{00000000-0005-0000-0000-0000FBAB0000}"/>
    <cellStyle name="Note 2 4 2 4 2 2" xfId="9581" xr:uid="{00000000-0005-0000-0000-0000FCAB0000}"/>
    <cellStyle name="Note 2 4 2 4 2 2 2" xfId="20882" xr:uid="{00000000-0005-0000-0000-0000FDAB0000}"/>
    <cellStyle name="Note 2 4 2 4 2 2 2 2" xfId="43484" xr:uid="{00000000-0005-0000-0000-0000FEAB0000}"/>
    <cellStyle name="Note 2 4 2 4 2 2 3" xfId="32183" xr:uid="{00000000-0005-0000-0000-0000FFAB0000}"/>
    <cellStyle name="Note 2 4 2 4 2 3" xfId="15232" xr:uid="{00000000-0005-0000-0000-000000AC0000}"/>
    <cellStyle name="Note 2 4 2 4 2 3 2" xfId="37834" xr:uid="{00000000-0005-0000-0000-000001AC0000}"/>
    <cellStyle name="Note 2 4 2 4 2 4" xfId="26533" xr:uid="{00000000-0005-0000-0000-000002AC0000}"/>
    <cellStyle name="Note 2 4 2 4 3" xfId="5465" xr:uid="{00000000-0005-0000-0000-000003AC0000}"/>
    <cellStyle name="Note 2 4 2 4 3 2" xfId="11115" xr:uid="{00000000-0005-0000-0000-000004AC0000}"/>
    <cellStyle name="Note 2 4 2 4 3 2 2" xfId="22416" xr:uid="{00000000-0005-0000-0000-000005AC0000}"/>
    <cellStyle name="Note 2 4 2 4 3 2 2 2" xfId="45018" xr:uid="{00000000-0005-0000-0000-000006AC0000}"/>
    <cellStyle name="Note 2 4 2 4 3 2 3" xfId="33717" xr:uid="{00000000-0005-0000-0000-000007AC0000}"/>
    <cellStyle name="Note 2 4 2 4 3 3" xfId="16766" xr:uid="{00000000-0005-0000-0000-000008AC0000}"/>
    <cellStyle name="Note 2 4 2 4 3 3 2" xfId="39368" xr:uid="{00000000-0005-0000-0000-000009AC0000}"/>
    <cellStyle name="Note 2 4 2 4 3 4" xfId="28067" xr:uid="{00000000-0005-0000-0000-00000AAC0000}"/>
    <cellStyle name="Note 2 4 2 4 4" xfId="7990" xr:uid="{00000000-0005-0000-0000-00000BAC0000}"/>
    <cellStyle name="Note 2 4 2 4 4 2" xfId="19291" xr:uid="{00000000-0005-0000-0000-00000CAC0000}"/>
    <cellStyle name="Note 2 4 2 4 4 2 2" xfId="41893" xr:uid="{00000000-0005-0000-0000-00000DAC0000}"/>
    <cellStyle name="Note 2 4 2 4 4 3" xfId="30592" xr:uid="{00000000-0005-0000-0000-00000EAC0000}"/>
    <cellStyle name="Note 2 4 2 4 5" xfId="13641" xr:uid="{00000000-0005-0000-0000-00000FAC0000}"/>
    <cellStyle name="Note 2 4 2 4 5 2" xfId="36243" xr:uid="{00000000-0005-0000-0000-000010AC0000}"/>
    <cellStyle name="Note 2 4 2 4 6" xfId="24942" xr:uid="{00000000-0005-0000-0000-000011AC0000}"/>
    <cellStyle name="Note 2 4 2 5" xfId="2446" xr:uid="{00000000-0005-0000-0000-000012AC0000}"/>
    <cellStyle name="Note 2 4 2 5 2" xfId="8282" xr:uid="{00000000-0005-0000-0000-000013AC0000}"/>
    <cellStyle name="Note 2 4 2 5 2 2" xfId="19583" xr:uid="{00000000-0005-0000-0000-000014AC0000}"/>
    <cellStyle name="Note 2 4 2 5 2 2 2" xfId="42185" xr:uid="{00000000-0005-0000-0000-000015AC0000}"/>
    <cellStyle name="Note 2 4 2 5 2 3" xfId="30884" xr:uid="{00000000-0005-0000-0000-000016AC0000}"/>
    <cellStyle name="Note 2 4 2 5 3" xfId="13933" xr:uid="{00000000-0005-0000-0000-000017AC0000}"/>
    <cellStyle name="Note 2 4 2 5 3 2" xfId="36535" xr:uid="{00000000-0005-0000-0000-000018AC0000}"/>
    <cellStyle name="Note 2 4 2 5 4" xfId="25234" xr:uid="{00000000-0005-0000-0000-000019AC0000}"/>
    <cellStyle name="Note 2 4 2 6" xfId="4231" xr:uid="{00000000-0005-0000-0000-00001AAC0000}"/>
    <cellStyle name="Note 2 4 2 6 2" xfId="9881" xr:uid="{00000000-0005-0000-0000-00001BAC0000}"/>
    <cellStyle name="Note 2 4 2 6 2 2" xfId="21182" xr:uid="{00000000-0005-0000-0000-00001CAC0000}"/>
    <cellStyle name="Note 2 4 2 6 2 2 2" xfId="43784" xr:uid="{00000000-0005-0000-0000-00001DAC0000}"/>
    <cellStyle name="Note 2 4 2 6 2 3" xfId="32483" xr:uid="{00000000-0005-0000-0000-00001EAC0000}"/>
    <cellStyle name="Note 2 4 2 6 3" xfId="15532" xr:uid="{00000000-0005-0000-0000-00001FAC0000}"/>
    <cellStyle name="Note 2 4 2 6 3 2" xfId="38134" xr:uid="{00000000-0005-0000-0000-000020AC0000}"/>
    <cellStyle name="Note 2 4 2 6 4" xfId="26833" xr:uid="{00000000-0005-0000-0000-000021AC0000}"/>
    <cellStyle name="Note 2 4 2 7" xfId="6711" xr:uid="{00000000-0005-0000-0000-000022AC0000}"/>
    <cellStyle name="Note 2 4 2 7 2" xfId="18012" xr:uid="{00000000-0005-0000-0000-000023AC0000}"/>
    <cellStyle name="Note 2 4 2 7 2 2" xfId="40614" xr:uid="{00000000-0005-0000-0000-000024AC0000}"/>
    <cellStyle name="Note 2 4 2 7 3" xfId="29313" xr:uid="{00000000-0005-0000-0000-000025AC0000}"/>
    <cellStyle name="Note 2 4 2 8" xfId="12362" xr:uid="{00000000-0005-0000-0000-000026AC0000}"/>
    <cellStyle name="Note 2 4 2 8 2" xfId="34964" xr:uid="{00000000-0005-0000-0000-000027AC0000}"/>
    <cellStyle name="Note 2 4 2 9" xfId="23663" xr:uid="{00000000-0005-0000-0000-000028AC0000}"/>
    <cellStyle name="Note 2 4 3" xfId="1218" xr:uid="{00000000-0005-0000-0000-000029AC0000}"/>
    <cellStyle name="Note 2 4 3 2" xfId="2136" xr:uid="{00000000-0005-0000-0000-00002AAC0000}"/>
    <cellStyle name="Note 2 4 3 2 2" xfId="3286" xr:uid="{00000000-0005-0000-0000-00002BAC0000}"/>
    <cellStyle name="Note 2 4 3 2 2 2" xfId="6258" xr:uid="{00000000-0005-0000-0000-00002CAC0000}"/>
    <cellStyle name="Note 2 4 3 2 2 2 2" xfId="11908" xr:uid="{00000000-0005-0000-0000-00002DAC0000}"/>
    <cellStyle name="Note 2 4 3 2 2 2 2 2" xfId="23209" xr:uid="{00000000-0005-0000-0000-00002EAC0000}"/>
    <cellStyle name="Note 2 4 3 2 2 2 2 2 2" xfId="45811" xr:uid="{00000000-0005-0000-0000-00002FAC0000}"/>
    <cellStyle name="Note 2 4 3 2 2 2 2 3" xfId="34510" xr:uid="{00000000-0005-0000-0000-000030AC0000}"/>
    <cellStyle name="Note 2 4 3 2 2 2 3" xfId="17559" xr:uid="{00000000-0005-0000-0000-000031AC0000}"/>
    <cellStyle name="Note 2 4 3 2 2 2 3 2" xfId="40161" xr:uid="{00000000-0005-0000-0000-000032AC0000}"/>
    <cellStyle name="Note 2 4 3 2 2 2 4" xfId="28860" xr:uid="{00000000-0005-0000-0000-000033AC0000}"/>
    <cellStyle name="Note 2 4 3 2 2 3" xfId="9076" xr:uid="{00000000-0005-0000-0000-000034AC0000}"/>
    <cellStyle name="Note 2 4 3 2 2 3 2" xfId="20377" xr:uid="{00000000-0005-0000-0000-000035AC0000}"/>
    <cellStyle name="Note 2 4 3 2 2 3 2 2" xfId="42979" xr:uid="{00000000-0005-0000-0000-000036AC0000}"/>
    <cellStyle name="Note 2 4 3 2 2 3 3" xfId="31678" xr:uid="{00000000-0005-0000-0000-000037AC0000}"/>
    <cellStyle name="Note 2 4 3 2 2 4" xfId="14727" xr:uid="{00000000-0005-0000-0000-000038AC0000}"/>
    <cellStyle name="Note 2 4 3 2 2 4 2" xfId="37329" xr:uid="{00000000-0005-0000-0000-000039AC0000}"/>
    <cellStyle name="Note 2 4 3 2 2 5" xfId="26028" xr:uid="{00000000-0005-0000-0000-00003AAC0000}"/>
    <cellStyle name="Note 2 4 3 2 3" xfId="5024" xr:uid="{00000000-0005-0000-0000-00003BAC0000}"/>
    <cellStyle name="Note 2 4 3 2 3 2" xfId="10674" xr:uid="{00000000-0005-0000-0000-00003CAC0000}"/>
    <cellStyle name="Note 2 4 3 2 3 2 2" xfId="21975" xr:uid="{00000000-0005-0000-0000-00003DAC0000}"/>
    <cellStyle name="Note 2 4 3 2 3 2 2 2" xfId="44577" xr:uid="{00000000-0005-0000-0000-00003EAC0000}"/>
    <cellStyle name="Note 2 4 3 2 3 2 3" xfId="33276" xr:uid="{00000000-0005-0000-0000-00003FAC0000}"/>
    <cellStyle name="Note 2 4 3 2 3 3" xfId="16325" xr:uid="{00000000-0005-0000-0000-000040AC0000}"/>
    <cellStyle name="Note 2 4 3 2 3 3 2" xfId="38927" xr:uid="{00000000-0005-0000-0000-000041AC0000}"/>
    <cellStyle name="Note 2 4 3 2 3 4" xfId="27626" xr:uid="{00000000-0005-0000-0000-000042AC0000}"/>
    <cellStyle name="Note 2 4 3 2 4" xfId="7992" xr:uid="{00000000-0005-0000-0000-000043AC0000}"/>
    <cellStyle name="Note 2 4 3 2 4 2" xfId="19293" xr:uid="{00000000-0005-0000-0000-000044AC0000}"/>
    <cellStyle name="Note 2 4 3 2 4 2 2" xfId="41895" xr:uid="{00000000-0005-0000-0000-000045AC0000}"/>
    <cellStyle name="Note 2 4 3 2 4 3" xfId="30594" xr:uid="{00000000-0005-0000-0000-000046AC0000}"/>
    <cellStyle name="Note 2 4 3 2 5" xfId="13643" xr:uid="{00000000-0005-0000-0000-000047AC0000}"/>
    <cellStyle name="Note 2 4 3 2 5 2" xfId="36245" xr:uid="{00000000-0005-0000-0000-000048AC0000}"/>
    <cellStyle name="Note 2 4 3 2 6" xfId="24944" xr:uid="{00000000-0005-0000-0000-000049AC0000}"/>
    <cellStyle name="Note 2 4 3 3" xfId="2615" xr:uid="{00000000-0005-0000-0000-00004AAC0000}"/>
    <cellStyle name="Note 2 4 3 3 2" xfId="5634" xr:uid="{00000000-0005-0000-0000-00004BAC0000}"/>
    <cellStyle name="Note 2 4 3 3 2 2" xfId="11284" xr:uid="{00000000-0005-0000-0000-00004CAC0000}"/>
    <cellStyle name="Note 2 4 3 3 2 2 2" xfId="22585" xr:uid="{00000000-0005-0000-0000-00004DAC0000}"/>
    <cellStyle name="Note 2 4 3 3 2 2 2 2" xfId="45187" xr:uid="{00000000-0005-0000-0000-00004EAC0000}"/>
    <cellStyle name="Note 2 4 3 3 2 2 3" xfId="33886" xr:uid="{00000000-0005-0000-0000-00004FAC0000}"/>
    <cellStyle name="Note 2 4 3 3 2 3" xfId="16935" xr:uid="{00000000-0005-0000-0000-000050AC0000}"/>
    <cellStyle name="Note 2 4 3 3 2 3 2" xfId="39537" xr:uid="{00000000-0005-0000-0000-000051AC0000}"/>
    <cellStyle name="Note 2 4 3 3 2 4" xfId="28236" xr:uid="{00000000-0005-0000-0000-000052AC0000}"/>
    <cellStyle name="Note 2 4 3 3 3" xfId="8451" xr:uid="{00000000-0005-0000-0000-000053AC0000}"/>
    <cellStyle name="Note 2 4 3 3 3 2" xfId="19752" xr:uid="{00000000-0005-0000-0000-000054AC0000}"/>
    <cellStyle name="Note 2 4 3 3 3 2 2" xfId="42354" xr:uid="{00000000-0005-0000-0000-000055AC0000}"/>
    <cellStyle name="Note 2 4 3 3 3 3" xfId="31053" xr:uid="{00000000-0005-0000-0000-000056AC0000}"/>
    <cellStyle name="Note 2 4 3 3 4" xfId="14102" xr:uid="{00000000-0005-0000-0000-000057AC0000}"/>
    <cellStyle name="Note 2 4 3 3 4 2" xfId="36704" xr:uid="{00000000-0005-0000-0000-000058AC0000}"/>
    <cellStyle name="Note 2 4 3 3 5" xfId="25403" xr:uid="{00000000-0005-0000-0000-000059AC0000}"/>
    <cellStyle name="Note 2 4 3 4" xfId="4400" xr:uid="{00000000-0005-0000-0000-00005AAC0000}"/>
    <cellStyle name="Note 2 4 3 4 2" xfId="10050" xr:uid="{00000000-0005-0000-0000-00005BAC0000}"/>
    <cellStyle name="Note 2 4 3 4 2 2" xfId="21351" xr:uid="{00000000-0005-0000-0000-00005CAC0000}"/>
    <cellStyle name="Note 2 4 3 4 2 2 2" xfId="43953" xr:uid="{00000000-0005-0000-0000-00005DAC0000}"/>
    <cellStyle name="Note 2 4 3 4 2 3" xfId="32652" xr:uid="{00000000-0005-0000-0000-00005EAC0000}"/>
    <cellStyle name="Note 2 4 3 4 3" xfId="15701" xr:uid="{00000000-0005-0000-0000-00005FAC0000}"/>
    <cellStyle name="Note 2 4 3 4 3 2" xfId="38303" xr:uid="{00000000-0005-0000-0000-000060AC0000}"/>
    <cellStyle name="Note 2 4 3 4 4" xfId="27002" xr:uid="{00000000-0005-0000-0000-000061AC0000}"/>
    <cellStyle name="Note 2 4 3 5" xfId="7197" xr:uid="{00000000-0005-0000-0000-000062AC0000}"/>
    <cellStyle name="Note 2 4 3 5 2" xfId="18498" xr:uid="{00000000-0005-0000-0000-000063AC0000}"/>
    <cellStyle name="Note 2 4 3 5 2 2" xfId="41100" xr:uid="{00000000-0005-0000-0000-000064AC0000}"/>
    <cellStyle name="Note 2 4 3 5 3" xfId="29799" xr:uid="{00000000-0005-0000-0000-000065AC0000}"/>
    <cellStyle name="Note 2 4 3 6" xfId="12848" xr:uid="{00000000-0005-0000-0000-000066AC0000}"/>
    <cellStyle name="Note 2 4 3 6 2" xfId="35450" xr:uid="{00000000-0005-0000-0000-000067AC0000}"/>
    <cellStyle name="Note 2 4 3 7" xfId="24149" xr:uid="{00000000-0005-0000-0000-000068AC0000}"/>
    <cellStyle name="Note 2 4 4" xfId="909" xr:uid="{00000000-0005-0000-0000-000069AC0000}"/>
    <cellStyle name="Note 2 4 4 2" xfId="2979" xr:uid="{00000000-0005-0000-0000-00006AAC0000}"/>
    <cellStyle name="Note 2 4 4 2 2" xfId="5951" xr:uid="{00000000-0005-0000-0000-00006BAC0000}"/>
    <cellStyle name="Note 2 4 4 2 2 2" xfId="11601" xr:uid="{00000000-0005-0000-0000-00006CAC0000}"/>
    <cellStyle name="Note 2 4 4 2 2 2 2" xfId="22902" xr:uid="{00000000-0005-0000-0000-00006DAC0000}"/>
    <cellStyle name="Note 2 4 4 2 2 2 2 2" xfId="45504" xr:uid="{00000000-0005-0000-0000-00006EAC0000}"/>
    <cellStyle name="Note 2 4 4 2 2 2 3" xfId="34203" xr:uid="{00000000-0005-0000-0000-00006FAC0000}"/>
    <cellStyle name="Note 2 4 4 2 2 3" xfId="17252" xr:uid="{00000000-0005-0000-0000-000070AC0000}"/>
    <cellStyle name="Note 2 4 4 2 2 3 2" xfId="39854" xr:uid="{00000000-0005-0000-0000-000071AC0000}"/>
    <cellStyle name="Note 2 4 4 2 2 4" xfId="28553" xr:uid="{00000000-0005-0000-0000-000072AC0000}"/>
    <cellStyle name="Note 2 4 4 2 3" xfId="8769" xr:uid="{00000000-0005-0000-0000-000073AC0000}"/>
    <cellStyle name="Note 2 4 4 2 3 2" xfId="20070" xr:uid="{00000000-0005-0000-0000-000074AC0000}"/>
    <cellStyle name="Note 2 4 4 2 3 2 2" xfId="42672" xr:uid="{00000000-0005-0000-0000-000075AC0000}"/>
    <cellStyle name="Note 2 4 4 2 3 3" xfId="31371" xr:uid="{00000000-0005-0000-0000-000076AC0000}"/>
    <cellStyle name="Note 2 4 4 2 4" xfId="14420" xr:uid="{00000000-0005-0000-0000-000077AC0000}"/>
    <cellStyle name="Note 2 4 4 2 4 2" xfId="37022" xr:uid="{00000000-0005-0000-0000-000078AC0000}"/>
    <cellStyle name="Note 2 4 4 2 5" xfId="25721" xr:uid="{00000000-0005-0000-0000-000079AC0000}"/>
    <cellStyle name="Note 2 4 4 3" xfId="4717" xr:uid="{00000000-0005-0000-0000-00007AAC0000}"/>
    <cellStyle name="Note 2 4 4 3 2" xfId="10367" xr:uid="{00000000-0005-0000-0000-00007BAC0000}"/>
    <cellStyle name="Note 2 4 4 3 2 2" xfId="21668" xr:uid="{00000000-0005-0000-0000-00007CAC0000}"/>
    <cellStyle name="Note 2 4 4 3 2 2 2" xfId="44270" xr:uid="{00000000-0005-0000-0000-00007DAC0000}"/>
    <cellStyle name="Note 2 4 4 3 2 3" xfId="32969" xr:uid="{00000000-0005-0000-0000-00007EAC0000}"/>
    <cellStyle name="Note 2 4 4 3 3" xfId="16018" xr:uid="{00000000-0005-0000-0000-00007FAC0000}"/>
    <cellStyle name="Note 2 4 4 3 3 2" xfId="38620" xr:uid="{00000000-0005-0000-0000-000080AC0000}"/>
    <cellStyle name="Note 2 4 4 3 4" xfId="27319" xr:uid="{00000000-0005-0000-0000-000081AC0000}"/>
    <cellStyle name="Note 2 4 4 4" xfId="6904" xr:uid="{00000000-0005-0000-0000-000082AC0000}"/>
    <cellStyle name="Note 2 4 4 4 2" xfId="18205" xr:uid="{00000000-0005-0000-0000-000083AC0000}"/>
    <cellStyle name="Note 2 4 4 4 2 2" xfId="40807" xr:uid="{00000000-0005-0000-0000-000084AC0000}"/>
    <cellStyle name="Note 2 4 4 4 3" xfId="29506" xr:uid="{00000000-0005-0000-0000-000085AC0000}"/>
    <cellStyle name="Note 2 4 4 5" xfId="12555" xr:uid="{00000000-0005-0000-0000-000086AC0000}"/>
    <cellStyle name="Note 2 4 4 5 2" xfId="35157" xr:uid="{00000000-0005-0000-0000-000087AC0000}"/>
    <cellStyle name="Note 2 4 4 6" xfId="23856" xr:uid="{00000000-0005-0000-0000-000088AC0000}"/>
    <cellStyle name="Note 2 4 5" xfId="2133" xr:uid="{00000000-0005-0000-0000-000089AC0000}"/>
    <cellStyle name="Note 2 4 5 2" xfId="3872" xr:uid="{00000000-0005-0000-0000-00008AAC0000}"/>
    <cellStyle name="Note 2 4 5 2 2" xfId="9580" xr:uid="{00000000-0005-0000-0000-00008BAC0000}"/>
    <cellStyle name="Note 2 4 5 2 2 2" xfId="20881" xr:uid="{00000000-0005-0000-0000-00008CAC0000}"/>
    <cellStyle name="Note 2 4 5 2 2 2 2" xfId="43483" xr:uid="{00000000-0005-0000-0000-00008DAC0000}"/>
    <cellStyle name="Note 2 4 5 2 2 3" xfId="32182" xr:uid="{00000000-0005-0000-0000-00008EAC0000}"/>
    <cellStyle name="Note 2 4 5 2 3" xfId="15231" xr:uid="{00000000-0005-0000-0000-00008FAC0000}"/>
    <cellStyle name="Note 2 4 5 2 3 2" xfId="37833" xr:uid="{00000000-0005-0000-0000-000090AC0000}"/>
    <cellStyle name="Note 2 4 5 2 4" xfId="26532" xr:uid="{00000000-0005-0000-0000-000091AC0000}"/>
    <cellStyle name="Note 2 4 5 3" xfId="5327" xr:uid="{00000000-0005-0000-0000-000092AC0000}"/>
    <cellStyle name="Note 2 4 5 3 2" xfId="10977" xr:uid="{00000000-0005-0000-0000-000093AC0000}"/>
    <cellStyle name="Note 2 4 5 3 2 2" xfId="22278" xr:uid="{00000000-0005-0000-0000-000094AC0000}"/>
    <cellStyle name="Note 2 4 5 3 2 2 2" xfId="44880" xr:uid="{00000000-0005-0000-0000-000095AC0000}"/>
    <cellStyle name="Note 2 4 5 3 2 3" xfId="33579" xr:uid="{00000000-0005-0000-0000-000096AC0000}"/>
    <cellStyle name="Note 2 4 5 3 3" xfId="16628" xr:uid="{00000000-0005-0000-0000-000097AC0000}"/>
    <cellStyle name="Note 2 4 5 3 3 2" xfId="39230" xr:uid="{00000000-0005-0000-0000-000098AC0000}"/>
    <cellStyle name="Note 2 4 5 3 4" xfId="27929" xr:uid="{00000000-0005-0000-0000-000099AC0000}"/>
    <cellStyle name="Note 2 4 5 4" xfId="7989" xr:uid="{00000000-0005-0000-0000-00009AAC0000}"/>
    <cellStyle name="Note 2 4 5 4 2" xfId="19290" xr:uid="{00000000-0005-0000-0000-00009BAC0000}"/>
    <cellStyle name="Note 2 4 5 4 2 2" xfId="41892" xr:uid="{00000000-0005-0000-0000-00009CAC0000}"/>
    <cellStyle name="Note 2 4 5 4 3" xfId="30591" xr:uid="{00000000-0005-0000-0000-00009DAC0000}"/>
    <cellStyle name="Note 2 4 5 5" xfId="13640" xr:uid="{00000000-0005-0000-0000-00009EAC0000}"/>
    <cellStyle name="Note 2 4 5 5 2" xfId="36242" xr:uid="{00000000-0005-0000-0000-00009FAC0000}"/>
    <cellStyle name="Note 2 4 5 6" xfId="24941" xr:uid="{00000000-0005-0000-0000-0000A0AC0000}"/>
    <cellStyle name="Note 2 4 6" xfId="2306" xr:uid="{00000000-0005-0000-0000-0000A1AC0000}"/>
    <cellStyle name="Note 2 4 6 2" xfId="8142" xr:uid="{00000000-0005-0000-0000-0000A2AC0000}"/>
    <cellStyle name="Note 2 4 6 2 2" xfId="19443" xr:uid="{00000000-0005-0000-0000-0000A3AC0000}"/>
    <cellStyle name="Note 2 4 6 2 2 2" xfId="42045" xr:uid="{00000000-0005-0000-0000-0000A4AC0000}"/>
    <cellStyle name="Note 2 4 6 2 3" xfId="30744" xr:uid="{00000000-0005-0000-0000-0000A5AC0000}"/>
    <cellStyle name="Note 2 4 6 3" xfId="13793" xr:uid="{00000000-0005-0000-0000-0000A6AC0000}"/>
    <cellStyle name="Note 2 4 6 3 2" xfId="36395" xr:uid="{00000000-0005-0000-0000-0000A7AC0000}"/>
    <cellStyle name="Note 2 4 6 4" xfId="25094" xr:uid="{00000000-0005-0000-0000-0000A8AC0000}"/>
    <cellStyle name="Note 2 4 7" xfId="4093" xr:uid="{00000000-0005-0000-0000-0000A9AC0000}"/>
    <cellStyle name="Note 2 4 7 2" xfId="9743" xr:uid="{00000000-0005-0000-0000-0000AAAC0000}"/>
    <cellStyle name="Note 2 4 7 2 2" xfId="21044" xr:uid="{00000000-0005-0000-0000-0000ABAC0000}"/>
    <cellStyle name="Note 2 4 7 2 2 2" xfId="43646" xr:uid="{00000000-0005-0000-0000-0000ACAC0000}"/>
    <cellStyle name="Note 2 4 7 2 3" xfId="32345" xr:uid="{00000000-0005-0000-0000-0000ADAC0000}"/>
    <cellStyle name="Note 2 4 7 3" xfId="15394" xr:uid="{00000000-0005-0000-0000-0000AEAC0000}"/>
    <cellStyle name="Note 2 4 7 3 2" xfId="37996" xr:uid="{00000000-0005-0000-0000-0000AFAC0000}"/>
    <cellStyle name="Note 2 4 7 4" xfId="26695" xr:uid="{00000000-0005-0000-0000-0000B0AC0000}"/>
    <cellStyle name="Note 2 4 8" xfId="6544" xr:uid="{00000000-0005-0000-0000-0000B1AC0000}"/>
    <cellStyle name="Note 2 4 8 2" xfId="17845" xr:uid="{00000000-0005-0000-0000-0000B2AC0000}"/>
    <cellStyle name="Note 2 4 8 2 2" xfId="40447" xr:uid="{00000000-0005-0000-0000-0000B3AC0000}"/>
    <cellStyle name="Note 2 4 8 3" xfId="29146" xr:uid="{00000000-0005-0000-0000-0000B4AC0000}"/>
    <cellStyle name="Note 2 4 9" xfId="12195" xr:uid="{00000000-0005-0000-0000-0000B5AC0000}"/>
    <cellStyle name="Note 2 4 9 2" xfId="34797" xr:uid="{00000000-0005-0000-0000-0000B6AC0000}"/>
    <cellStyle name="Note 2 5" xfId="706" xr:uid="{00000000-0005-0000-0000-0000B7AC0000}"/>
    <cellStyle name="Note 2 5 2" xfId="712" xr:uid="{00000000-0005-0000-0000-0000B8AC0000}"/>
    <cellStyle name="Note 2 5 2 2" xfId="2809" xr:uid="{00000000-0005-0000-0000-0000B9AC0000}"/>
    <cellStyle name="Note 2 5 2 2 2" xfId="8642" xr:uid="{00000000-0005-0000-0000-0000BAAC0000}"/>
    <cellStyle name="Note 2 5 2 2 2 2" xfId="19943" xr:uid="{00000000-0005-0000-0000-0000BBAC0000}"/>
    <cellStyle name="Note 2 5 2 2 2 2 2" xfId="42545" xr:uid="{00000000-0005-0000-0000-0000BCAC0000}"/>
    <cellStyle name="Note 2 5 2 2 2 3" xfId="31244" xr:uid="{00000000-0005-0000-0000-0000BDAC0000}"/>
    <cellStyle name="Note 2 5 2 2 3" xfId="14293" xr:uid="{00000000-0005-0000-0000-0000BEAC0000}"/>
    <cellStyle name="Note 2 5 2 2 3 2" xfId="36895" xr:uid="{00000000-0005-0000-0000-0000BFAC0000}"/>
    <cellStyle name="Note 2 5 2 2 4" xfId="25594" xr:uid="{00000000-0005-0000-0000-0000C0AC0000}"/>
    <cellStyle name="Note 2 5 2 3" xfId="5838" xr:uid="{00000000-0005-0000-0000-0000C1AC0000}"/>
    <cellStyle name="Note 2 5 2 3 2" xfId="11488" xr:uid="{00000000-0005-0000-0000-0000C2AC0000}"/>
    <cellStyle name="Note 2 5 2 3 2 2" xfId="22789" xr:uid="{00000000-0005-0000-0000-0000C3AC0000}"/>
    <cellStyle name="Note 2 5 2 3 2 2 2" xfId="45391" xr:uid="{00000000-0005-0000-0000-0000C4AC0000}"/>
    <cellStyle name="Note 2 5 2 3 2 3" xfId="34090" xr:uid="{00000000-0005-0000-0000-0000C5AC0000}"/>
    <cellStyle name="Note 2 5 2 3 3" xfId="17139" xr:uid="{00000000-0005-0000-0000-0000C6AC0000}"/>
    <cellStyle name="Note 2 5 2 3 3 2" xfId="39741" xr:uid="{00000000-0005-0000-0000-0000C7AC0000}"/>
    <cellStyle name="Note 2 5 2 3 4" xfId="28440" xr:uid="{00000000-0005-0000-0000-0000C8AC0000}"/>
    <cellStyle name="Note 2 5 2 4" xfId="6771" xr:uid="{00000000-0005-0000-0000-0000C9AC0000}"/>
    <cellStyle name="Note 2 5 2 4 2" xfId="18072" xr:uid="{00000000-0005-0000-0000-0000CAAC0000}"/>
    <cellStyle name="Note 2 5 2 4 2 2" xfId="40674" xr:uid="{00000000-0005-0000-0000-0000CBAC0000}"/>
    <cellStyle name="Note 2 5 2 4 3" xfId="29373" xr:uid="{00000000-0005-0000-0000-0000CCAC0000}"/>
    <cellStyle name="Note 2 5 2 5" xfId="12422" xr:uid="{00000000-0005-0000-0000-0000CDAC0000}"/>
    <cellStyle name="Note 2 5 2 5 2" xfId="35024" xr:uid="{00000000-0005-0000-0000-0000CEAC0000}"/>
    <cellStyle name="Note 2 5 2 6" xfId="23723" xr:uid="{00000000-0005-0000-0000-0000CFAC0000}"/>
    <cellStyle name="Note 2 5 3" xfId="2823" xr:uid="{00000000-0005-0000-0000-0000D0AC0000}"/>
    <cellStyle name="Note 2 5 3 2" xfId="8656" xr:uid="{00000000-0005-0000-0000-0000D1AC0000}"/>
    <cellStyle name="Note 2 5 3 2 2" xfId="19957" xr:uid="{00000000-0005-0000-0000-0000D2AC0000}"/>
    <cellStyle name="Note 2 5 3 2 2 2" xfId="42559" xr:uid="{00000000-0005-0000-0000-0000D3AC0000}"/>
    <cellStyle name="Note 2 5 3 2 3" xfId="31258" xr:uid="{00000000-0005-0000-0000-0000D4AC0000}"/>
    <cellStyle name="Note 2 5 3 3" xfId="14307" xr:uid="{00000000-0005-0000-0000-0000D5AC0000}"/>
    <cellStyle name="Note 2 5 3 3 2" xfId="36909" xr:uid="{00000000-0005-0000-0000-0000D6AC0000}"/>
    <cellStyle name="Note 2 5 3 4" xfId="25608" xr:uid="{00000000-0005-0000-0000-0000D7AC0000}"/>
    <cellStyle name="Note 2 5 4" xfId="4604" xr:uid="{00000000-0005-0000-0000-0000D8AC0000}"/>
    <cellStyle name="Note 2 5 4 2" xfId="10254" xr:uid="{00000000-0005-0000-0000-0000D9AC0000}"/>
    <cellStyle name="Note 2 5 4 2 2" xfId="21555" xr:uid="{00000000-0005-0000-0000-0000DAAC0000}"/>
    <cellStyle name="Note 2 5 4 2 2 2" xfId="44157" xr:uid="{00000000-0005-0000-0000-0000DBAC0000}"/>
    <cellStyle name="Note 2 5 4 2 3" xfId="32856" xr:uid="{00000000-0005-0000-0000-0000DCAC0000}"/>
    <cellStyle name="Note 2 5 4 3" xfId="15905" xr:uid="{00000000-0005-0000-0000-0000DDAC0000}"/>
    <cellStyle name="Note 2 5 4 3 2" xfId="38507" xr:uid="{00000000-0005-0000-0000-0000DEAC0000}"/>
    <cellStyle name="Note 2 5 4 4" xfId="27206" xr:uid="{00000000-0005-0000-0000-0000DFAC0000}"/>
    <cellStyle name="Note 2 5 5" xfId="6769" xr:uid="{00000000-0005-0000-0000-0000E0AC0000}"/>
    <cellStyle name="Note 2 5 5 2" xfId="18070" xr:uid="{00000000-0005-0000-0000-0000E1AC0000}"/>
    <cellStyle name="Note 2 5 5 2 2" xfId="40672" xr:uid="{00000000-0005-0000-0000-0000E2AC0000}"/>
    <cellStyle name="Note 2 5 5 3" xfId="29371" xr:uid="{00000000-0005-0000-0000-0000E3AC0000}"/>
    <cellStyle name="Note 2 5 6" xfId="12420" xr:uid="{00000000-0005-0000-0000-0000E4AC0000}"/>
    <cellStyle name="Note 2 5 6 2" xfId="35022" xr:uid="{00000000-0005-0000-0000-0000E5AC0000}"/>
    <cellStyle name="Note 2 5 7" xfId="23721" xr:uid="{00000000-0005-0000-0000-0000E6AC0000}"/>
    <cellStyle name="Note 2 6" xfId="2862" xr:uid="{00000000-0005-0000-0000-0000E7AC0000}"/>
    <cellStyle name="Note 2 7" xfId="3540" xr:uid="{00000000-0005-0000-0000-0000E8AC0000}"/>
    <cellStyle name="Note 2 7 2" xfId="9288" xr:uid="{00000000-0005-0000-0000-0000E9AC0000}"/>
    <cellStyle name="Note 2 7 2 2" xfId="20589" xr:uid="{00000000-0005-0000-0000-0000EAAC0000}"/>
    <cellStyle name="Note 2 7 2 2 2" xfId="43191" xr:uid="{00000000-0005-0000-0000-0000EBAC0000}"/>
    <cellStyle name="Note 2 7 2 3" xfId="31890" xr:uid="{00000000-0005-0000-0000-0000ECAC0000}"/>
    <cellStyle name="Note 2 7 3" xfId="14939" xr:uid="{00000000-0005-0000-0000-0000EDAC0000}"/>
    <cellStyle name="Note 2 7 3 2" xfId="37541" xr:uid="{00000000-0005-0000-0000-0000EEAC0000}"/>
    <cellStyle name="Note 2 7 4" xfId="26240" xr:uid="{00000000-0005-0000-0000-0000EFAC0000}"/>
    <cellStyle name="Note 2 8" xfId="3928" xr:uid="{00000000-0005-0000-0000-0000F0AC0000}"/>
    <cellStyle name="Note 2 9" xfId="182" xr:uid="{00000000-0005-0000-0000-0000F1AC0000}"/>
    <cellStyle name="Note 3" xfId="203" xr:uid="{00000000-0005-0000-0000-0000F2AC0000}"/>
    <cellStyle name="Note 3 2" xfId="338" xr:uid="{00000000-0005-0000-0000-0000F3AC0000}"/>
    <cellStyle name="Note 3 2 10" xfId="23449" xr:uid="{00000000-0005-0000-0000-0000F4AC0000}"/>
    <cellStyle name="Note 3 2 2" xfId="599" xr:uid="{00000000-0005-0000-0000-0000F5AC0000}"/>
    <cellStyle name="Note 3 2 2 2" xfId="1309" xr:uid="{00000000-0005-0000-0000-0000F6AC0000}"/>
    <cellStyle name="Note 3 2 2 2 2" xfId="2139" xr:uid="{00000000-0005-0000-0000-0000F7AC0000}"/>
    <cellStyle name="Note 3 2 2 2 2 2" xfId="3378" xr:uid="{00000000-0005-0000-0000-0000F8AC0000}"/>
    <cellStyle name="Note 3 2 2 2 2 2 2" xfId="6350" xr:uid="{00000000-0005-0000-0000-0000F9AC0000}"/>
    <cellStyle name="Note 3 2 2 2 2 2 2 2" xfId="12000" xr:uid="{00000000-0005-0000-0000-0000FAAC0000}"/>
    <cellStyle name="Note 3 2 2 2 2 2 2 2 2" xfId="23301" xr:uid="{00000000-0005-0000-0000-0000FBAC0000}"/>
    <cellStyle name="Note 3 2 2 2 2 2 2 2 2 2" xfId="45903" xr:uid="{00000000-0005-0000-0000-0000FCAC0000}"/>
    <cellStyle name="Note 3 2 2 2 2 2 2 2 3" xfId="34602" xr:uid="{00000000-0005-0000-0000-0000FDAC0000}"/>
    <cellStyle name="Note 3 2 2 2 2 2 2 3" xfId="17651" xr:uid="{00000000-0005-0000-0000-0000FEAC0000}"/>
    <cellStyle name="Note 3 2 2 2 2 2 2 3 2" xfId="40253" xr:uid="{00000000-0005-0000-0000-0000FFAC0000}"/>
    <cellStyle name="Note 3 2 2 2 2 2 2 4" xfId="28952" xr:uid="{00000000-0005-0000-0000-000000AD0000}"/>
    <cellStyle name="Note 3 2 2 2 2 2 3" xfId="9168" xr:uid="{00000000-0005-0000-0000-000001AD0000}"/>
    <cellStyle name="Note 3 2 2 2 2 2 3 2" xfId="20469" xr:uid="{00000000-0005-0000-0000-000002AD0000}"/>
    <cellStyle name="Note 3 2 2 2 2 2 3 2 2" xfId="43071" xr:uid="{00000000-0005-0000-0000-000003AD0000}"/>
    <cellStyle name="Note 3 2 2 2 2 2 3 3" xfId="31770" xr:uid="{00000000-0005-0000-0000-000004AD0000}"/>
    <cellStyle name="Note 3 2 2 2 2 2 4" xfId="14819" xr:uid="{00000000-0005-0000-0000-000005AD0000}"/>
    <cellStyle name="Note 3 2 2 2 2 2 4 2" xfId="37421" xr:uid="{00000000-0005-0000-0000-000006AD0000}"/>
    <cellStyle name="Note 3 2 2 2 2 2 5" xfId="26120" xr:uid="{00000000-0005-0000-0000-000007AD0000}"/>
    <cellStyle name="Note 3 2 2 2 2 3" xfId="5116" xr:uid="{00000000-0005-0000-0000-000008AD0000}"/>
    <cellStyle name="Note 3 2 2 2 2 3 2" xfId="10766" xr:uid="{00000000-0005-0000-0000-000009AD0000}"/>
    <cellStyle name="Note 3 2 2 2 2 3 2 2" xfId="22067" xr:uid="{00000000-0005-0000-0000-00000AAD0000}"/>
    <cellStyle name="Note 3 2 2 2 2 3 2 2 2" xfId="44669" xr:uid="{00000000-0005-0000-0000-00000BAD0000}"/>
    <cellStyle name="Note 3 2 2 2 2 3 2 3" xfId="33368" xr:uid="{00000000-0005-0000-0000-00000CAD0000}"/>
    <cellStyle name="Note 3 2 2 2 2 3 3" xfId="16417" xr:uid="{00000000-0005-0000-0000-00000DAD0000}"/>
    <cellStyle name="Note 3 2 2 2 2 3 3 2" xfId="39019" xr:uid="{00000000-0005-0000-0000-00000EAD0000}"/>
    <cellStyle name="Note 3 2 2 2 2 3 4" xfId="27718" xr:uid="{00000000-0005-0000-0000-00000FAD0000}"/>
    <cellStyle name="Note 3 2 2 2 2 4" xfId="7995" xr:uid="{00000000-0005-0000-0000-000010AD0000}"/>
    <cellStyle name="Note 3 2 2 2 2 4 2" xfId="19296" xr:uid="{00000000-0005-0000-0000-000011AD0000}"/>
    <cellStyle name="Note 3 2 2 2 2 4 2 2" xfId="41898" xr:uid="{00000000-0005-0000-0000-000012AD0000}"/>
    <cellStyle name="Note 3 2 2 2 2 4 3" xfId="30597" xr:uid="{00000000-0005-0000-0000-000013AD0000}"/>
    <cellStyle name="Note 3 2 2 2 2 5" xfId="13646" xr:uid="{00000000-0005-0000-0000-000014AD0000}"/>
    <cellStyle name="Note 3 2 2 2 2 5 2" xfId="36248" xr:uid="{00000000-0005-0000-0000-000015AD0000}"/>
    <cellStyle name="Note 3 2 2 2 2 6" xfId="24947" xr:uid="{00000000-0005-0000-0000-000016AD0000}"/>
    <cellStyle name="Note 3 2 2 2 3" xfId="2707" xr:uid="{00000000-0005-0000-0000-000017AD0000}"/>
    <cellStyle name="Note 3 2 2 2 3 2" xfId="5726" xr:uid="{00000000-0005-0000-0000-000018AD0000}"/>
    <cellStyle name="Note 3 2 2 2 3 2 2" xfId="11376" xr:uid="{00000000-0005-0000-0000-000019AD0000}"/>
    <cellStyle name="Note 3 2 2 2 3 2 2 2" xfId="22677" xr:uid="{00000000-0005-0000-0000-00001AAD0000}"/>
    <cellStyle name="Note 3 2 2 2 3 2 2 2 2" xfId="45279" xr:uid="{00000000-0005-0000-0000-00001BAD0000}"/>
    <cellStyle name="Note 3 2 2 2 3 2 2 3" xfId="33978" xr:uid="{00000000-0005-0000-0000-00001CAD0000}"/>
    <cellStyle name="Note 3 2 2 2 3 2 3" xfId="17027" xr:uid="{00000000-0005-0000-0000-00001DAD0000}"/>
    <cellStyle name="Note 3 2 2 2 3 2 3 2" xfId="39629" xr:uid="{00000000-0005-0000-0000-00001EAD0000}"/>
    <cellStyle name="Note 3 2 2 2 3 2 4" xfId="28328" xr:uid="{00000000-0005-0000-0000-00001FAD0000}"/>
    <cellStyle name="Note 3 2 2 2 3 3" xfId="8543" xr:uid="{00000000-0005-0000-0000-000020AD0000}"/>
    <cellStyle name="Note 3 2 2 2 3 3 2" xfId="19844" xr:uid="{00000000-0005-0000-0000-000021AD0000}"/>
    <cellStyle name="Note 3 2 2 2 3 3 2 2" xfId="42446" xr:uid="{00000000-0005-0000-0000-000022AD0000}"/>
    <cellStyle name="Note 3 2 2 2 3 3 3" xfId="31145" xr:uid="{00000000-0005-0000-0000-000023AD0000}"/>
    <cellStyle name="Note 3 2 2 2 3 4" xfId="14194" xr:uid="{00000000-0005-0000-0000-000024AD0000}"/>
    <cellStyle name="Note 3 2 2 2 3 4 2" xfId="36796" xr:uid="{00000000-0005-0000-0000-000025AD0000}"/>
    <cellStyle name="Note 3 2 2 2 3 5" xfId="25495" xr:uid="{00000000-0005-0000-0000-000026AD0000}"/>
    <cellStyle name="Note 3 2 2 2 4" xfId="4492" xr:uid="{00000000-0005-0000-0000-000027AD0000}"/>
    <cellStyle name="Note 3 2 2 2 4 2" xfId="10142" xr:uid="{00000000-0005-0000-0000-000028AD0000}"/>
    <cellStyle name="Note 3 2 2 2 4 2 2" xfId="21443" xr:uid="{00000000-0005-0000-0000-000029AD0000}"/>
    <cellStyle name="Note 3 2 2 2 4 2 2 2" xfId="44045" xr:uid="{00000000-0005-0000-0000-00002AAD0000}"/>
    <cellStyle name="Note 3 2 2 2 4 2 3" xfId="32744" xr:uid="{00000000-0005-0000-0000-00002BAD0000}"/>
    <cellStyle name="Note 3 2 2 2 4 3" xfId="15793" xr:uid="{00000000-0005-0000-0000-00002CAD0000}"/>
    <cellStyle name="Note 3 2 2 2 4 3 2" xfId="38395" xr:uid="{00000000-0005-0000-0000-00002DAD0000}"/>
    <cellStyle name="Note 3 2 2 2 4 4" xfId="27094" xr:uid="{00000000-0005-0000-0000-00002EAD0000}"/>
    <cellStyle name="Note 3 2 2 2 5" xfId="7288" xr:uid="{00000000-0005-0000-0000-00002FAD0000}"/>
    <cellStyle name="Note 3 2 2 2 5 2" xfId="18589" xr:uid="{00000000-0005-0000-0000-000030AD0000}"/>
    <cellStyle name="Note 3 2 2 2 5 2 2" xfId="41191" xr:uid="{00000000-0005-0000-0000-000031AD0000}"/>
    <cellStyle name="Note 3 2 2 2 5 3" xfId="29890" xr:uid="{00000000-0005-0000-0000-000032AD0000}"/>
    <cellStyle name="Note 3 2 2 2 6" xfId="12939" xr:uid="{00000000-0005-0000-0000-000033AD0000}"/>
    <cellStyle name="Note 3 2 2 2 6 2" xfId="35541" xr:uid="{00000000-0005-0000-0000-000034AD0000}"/>
    <cellStyle name="Note 3 2 2 2 7" xfId="24240" xr:uid="{00000000-0005-0000-0000-000035AD0000}"/>
    <cellStyle name="Note 3 2 2 3" xfId="1007" xr:uid="{00000000-0005-0000-0000-000036AD0000}"/>
    <cellStyle name="Note 3 2 2 3 2" xfId="3070" xr:uid="{00000000-0005-0000-0000-000037AD0000}"/>
    <cellStyle name="Note 3 2 2 3 2 2" xfId="6042" xr:uid="{00000000-0005-0000-0000-000038AD0000}"/>
    <cellStyle name="Note 3 2 2 3 2 2 2" xfId="11692" xr:uid="{00000000-0005-0000-0000-000039AD0000}"/>
    <cellStyle name="Note 3 2 2 3 2 2 2 2" xfId="22993" xr:uid="{00000000-0005-0000-0000-00003AAD0000}"/>
    <cellStyle name="Note 3 2 2 3 2 2 2 2 2" xfId="45595" xr:uid="{00000000-0005-0000-0000-00003BAD0000}"/>
    <cellStyle name="Note 3 2 2 3 2 2 2 3" xfId="34294" xr:uid="{00000000-0005-0000-0000-00003CAD0000}"/>
    <cellStyle name="Note 3 2 2 3 2 2 3" xfId="17343" xr:uid="{00000000-0005-0000-0000-00003DAD0000}"/>
    <cellStyle name="Note 3 2 2 3 2 2 3 2" xfId="39945" xr:uid="{00000000-0005-0000-0000-00003EAD0000}"/>
    <cellStyle name="Note 3 2 2 3 2 2 4" xfId="28644" xr:uid="{00000000-0005-0000-0000-00003FAD0000}"/>
    <cellStyle name="Note 3 2 2 3 2 3" xfId="8860" xr:uid="{00000000-0005-0000-0000-000040AD0000}"/>
    <cellStyle name="Note 3 2 2 3 2 3 2" xfId="20161" xr:uid="{00000000-0005-0000-0000-000041AD0000}"/>
    <cellStyle name="Note 3 2 2 3 2 3 2 2" xfId="42763" xr:uid="{00000000-0005-0000-0000-000042AD0000}"/>
    <cellStyle name="Note 3 2 2 3 2 3 3" xfId="31462" xr:uid="{00000000-0005-0000-0000-000043AD0000}"/>
    <cellStyle name="Note 3 2 2 3 2 4" xfId="14511" xr:uid="{00000000-0005-0000-0000-000044AD0000}"/>
    <cellStyle name="Note 3 2 2 3 2 4 2" xfId="37113" xr:uid="{00000000-0005-0000-0000-000045AD0000}"/>
    <cellStyle name="Note 3 2 2 3 2 5" xfId="25812" xr:uid="{00000000-0005-0000-0000-000046AD0000}"/>
    <cellStyle name="Note 3 2 2 3 3" xfId="4808" xr:uid="{00000000-0005-0000-0000-000047AD0000}"/>
    <cellStyle name="Note 3 2 2 3 3 2" xfId="10458" xr:uid="{00000000-0005-0000-0000-000048AD0000}"/>
    <cellStyle name="Note 3 2 2 3 3 2 2" xfId="21759" xr:uid="{00000000-0005-0000-0000-000049AD0000}"/>
    <cellStyle name="Note 3 2 2 3 3 2 2 2" xfId="44361" xr:uid="{00000000-0005-0000-0000-00004AAD0000}"/>
    <cellStyle name="Note 3 2 2 3 3 2 3" xfId="33060" xr:uid="{00000000-0005-0000-0000-00004BAD0000}"/>
    <cellStyle name="Note 3 2 2 3 3 3" xfId="16109" xr:uid="{00000000-0005-0000-0000-00004CAD0000}"/>
    <cellStyle name="Note 3 2 2 3 3 3 2" xfId="38711" xr:uid="{00000000-0005-0000-0000-00004DAD0000}"/>
    <cellStyle name="Note 3 2 2 3 3 4" xfId="27410" xr:uid="{00000000-0005-0000-0000-00004EAD0000}"/>
    <cellStyle name="Note 3 2 2 3 4" xfId="6995" xr:uid="{00000000-0005-0000-0000-00004FAD0000}"/>
    <cellStyle name="Note 3 2 2 3 4 2" xfId="18296" xr:uid="{00000000-0005-0000-0000-000050AD0000}"/>
    <cellStyle name="Note 3 2 2 3 4 2 2" xfId="40898" xr:uid="{00000000-0005-0000-0000-000051AD0000}"/>
    <cellStyle name="Note 3 2 2 3 4 3" xfId="29597" xr:uid="{00000000-0005-0000-0000-000052AD0000}"/>
    <cellStyle name="Note 3 2 2 3 5" xfId="12646" xr:uid="{00000000-0005-0000-0000-000053AD0000}"/>
    <cellStyle name="Note 3 2 2 3 5 2" xfId="35248" xr:uid="{00000000-0005-0000-0000-000054AD0000}"/>
    <cellStyle name="Note 3 2 2 3 6" xfId="23947" xr:uid="{00000000-0005-0000-0000-000055AD0000}"/>
    <cellStyle name="Note 3 2 2 4" xfId="2138" xr:uid="{00000000-0005-0000-0000-000056AD0000}"/>
    <cellStyle name="Note 3 2 2 4 2" xfId="3875" xr:uid="{00000000-0005-0000-0000-000057AD0000}"/>
    <cellStyle name="Note 3 2 2 4 2 2" xfId="9583" xr:uid="{00000000-0005-0000-0000-000058AD0000}"/>
    <cellStyle name="Note 3 2 2 4 2 2 2" xfId="20884" xr:uid="{00000000-0005-0000-0000-000059AD0000}"/>
    <cellStyle name="Note 3 2 2 4 2 2 2 2" xfId="43486" xr:uid="{00000000-0005-0000-0000-00005AAD0000}"/>
    <cellStyle name="Note 3 2 2 4 2 2 3" xfId="32185" xr:uid="{00000000-0005-0000-0000-00005BAD0000}"/>
    <cellStyle name="Note 3 2 2 4 2 3" xfId="15234" xr:uid="{00000000-0005-0000-0000-00005CAD0000}"/>
    <cellStyle name="Note 3 2 2 4 2 3 2" xfId="37836" xr:uid="{00000000-0005-0000-0000-00005DAD0000}"/>
    <cellStyle name="Note 3 2 2 4 2 4" xfId="26535" xr:uid="{00000000-0005-0000-0000-00005EAD0000}"/>
    <cellStyle name="Note 3 2 2 4 3" xfId="5418" xr:uid="{00000000-0005-0000-0000-00005FAD0000}"/>
    <cellStyle name="Note 3 2 2 4 3 2" xfId="11068" xr:uid="{00000000-0005-0000-0000-000060AD0000}"/>
    <cellStyle name="Note 3 2 2 4 3 2 2" xfId="22369" xr:uid="{00000000-0005-0000-0000-000061AD0000}"/>
    <cellStyle name="Note 3 2 2 4 3 2 2 2" xfId="44971" xr:uid="{00000000-0005-0000-0000-000062AD0000}"/>
    <cellStyle name="Note 3 2 2 4 3 2 3" xfId="33670" xr:uid="{00000000-0005-0000-0000-000063AD0000}"/>
    <cellStyle name="Note 3 2 2 4 3 3" xfId="16719" xr:uid="{00000000-0005-0000-0000-000064AD0000}"/>
    <cellStyle name="Note 3 2 2 4 3 3 2" xfId="39321" xr:uid="{00000000-0005-0000-0000-000065AD0000}"/>
    <cellStyle name="Note 3 2 2 4 3 4" xfId="28020" xr:uid="{00000000-0005-0000-0000-000066AD0000}"/>
    <cellStyle name="Note 3 2 2 4 4" xfId="7994" xr:uid="{00000000-0005-0000-0000-000067AD0000}"/>
    <cellStyle name="Note 3 2 2 4 4 2" xfId="19295" xr:uid="{00000000-0005-0000-0000-000068AD0000}"/>
    <cellStyle name="Note 3 2 2 4 4 2 2" xfId="41897" xr:uid="{00000000-0005-0000-0000-000069AD0000}"/>
    <cellStyle name="Note 3 2 2 4 4 3" xfId="30596" xr:uid="{00000000-0005-0000-0000-00006AAD0000}"/>
    <cellStyle name="Note 3 2 2 4 5" xfId="13645" xr:uid="{00000000-0005-0000-0000-00006BAD0000}"/>
    <cellStyle name="Note 3 2 2 4 5 2" xfId="36247" xr:uid="{00000000-0005-0000-0000-00006CAD0000}"/>
    <cellStyle name="Note 3 2 2 4 6" xfId="24946" xr:uid="{00000000-0005-0000-0000-00006DAD0000}"/>
    <cellStyle name="Note 3 2 2 5" xfId="2399" xr:uid="{00000000-0005-0000-0000-00006EAD0000}"/>
    <cellStyle name="Note 3 2 2 5 2" xfId="8235" xr:uid="{00000000-0005-0000-0000-00006FAD0000}"/>
    <cellStyle name="Note 3 2 2 5 2 2" xfId="19536" xr:uid="{00000000-0005-0000-0000-000070AD0000}"/>
    <cellStyle name="Note 3 2 2 5 2 2 2" xfId="42138" xr:uid="{00000000-0005-0000-0000-000071AD0000}"/>
    <cellStyle name="Note 3 2 2 5 2 3" xfId="30837" xr:uid="{00000000-0005-0000-0000-000072AD0000}"/>
    <cellStyle name="Note 3 2 2 5 3" xfId="13886" xr:uid="{00000000-0005-0000-0000-000073AD0000}"/>
    <cellStyle name="Note 3 2 2 5 3 2" xfId="36488" xr:uid="{00000000-0005-0000-0000-000074AD0000}"/>
    <cellStyle name="Note 3 2 2 5 4" xfId="25187" xr:uid="{00000000-0005-0000-0000-000075AD0000}"/>
    <cellStyle name="Note 3 2 2 6" xfId="4184" xr:uid="{00000000-0005-0000-0000-000076AD0000}"/>
    <cellStyle name="Note 3 2 2 6 2" xfId="9834" xr:uid="{00000000-0005-0000-0000-000077AD0000}"/>
    <cellStyle name="Note 3 2 2 6 2 2" xfId="21135" xr:uid="{00000000-0005-0000-0000-000078AD0000}"/>
    <cellStyle name="Note 3 2 2 6 2 2 2" xfId="43737" xr:uid="{00000000-0005-0000-0000-000079AD0000}"/>
    <cellStyle name="Note 3 2 2 6 2 3" xfId="32436" xr:uid="{00000000-0005-0000-0000-00007AAD0000}"/>
    <cellStyle name="Note 3 2 2 6 3" xfId="15485" xr:uid="{00000000-0005-0000-0000-00007BAD0000}"/>
    <cellStyle name="Note 3 2 2 6 3 2" xfId="38087" xr:uid="{00000000-0005-0000-0000-00007CAD0000}"/>
    <cellStyle name="Note 3 2 2 6 4" xfId="26786" xr:uid="{00000000-0005-0000-0000-00007DAD0000}"/>
    <cellStyle name="Note 3 2 2 7" xfId="6664" xr:uid="{00000000-0005-0000-0000-00007EAD0000}"/>
    <cellStyle name="Note 3 2 2 7 2" xfId="17965" xr:uid="{00000000-0005-0000-0000-00007FAD0000}"/>
    <cellStyle name="Note 3 2 2 7 2 2" xfId="40567" xr:uid="{00000000-0005-0000-0000-000080AD0000}"/>
    <cellStyle name="Note 3 2 2 7 3" xfId="29266" xr:uid="{00000000-0005-0000-0000-000081AD0000}"/>
    <cellStyle name="Note 3 2 2 8" xfId="12315" xr:uid="{00000000-0005-0000-0000-000082AD0000}"/>
    <cellStyle name="Note 3 2 2 8 2" xfId="34917" xr:uid="{00000000-0005-0000-0000-000083AD0000}"/>
    <cellStyle name="Note 3 2 2 9" xfId="23616" xr:uid="{00000000-0005-0000-0000-000084AD0000}"/>
    <cellStyle name="Note 3 2 3" xfId="1171" xr:uid="{00000000-0005-0000-0000-000085AD0000}"/>
    <cellStyle name="Note 3 2 3 2" xfId="2140" xr:uid="{00000000-0005-0000-0000-000086AD0000}"/>
    <cellStyle name="Note 3 2 3 2 2" xfId="3239" xr:uid="{00000000-0005-0000-0000-000087AD0000}"/>
    <cellStyle name="Note 3 2 3 2 2 2" xfId="6211" xr:uid="{00000000-0005-0000-0000-000088AD0000}"/>
    <cellStyle name="Note 3 2 3 2 2 2 2" xfId="11861" xr:uid="{00000000-0005-0000-0000-000089AD0000}"/>
    <cellStyle name="Note 3 2 3 2 2 2 2 2" xfId="23162" xr:uid="{00000000-0005-0000-0000-00008AAD0000}"/>
    <cellStyle name="Note 3 2 3 2 2 2 2 2 2" xfId="45764" xr:uid="{00000000-0005-0000-0000-00008BAD0000}"/>
    <cellStyle name="Note 3 2 3 2 2 2 2 3" xfId="34463" xr:uid="{00000000-0005-0000-0000-00008CAD0000}"/>
    <cellStyle name="Note 3 2 3 2 2 2 3" xfId="17512" xr:uid="{00000000-0005-0000-0000-00008DAD0000}"/>
    <cellStyle name="Note 3 2 3 2 2 2 3 2" xfId="40114" xr:uid="{00000000-0005-0000-0000-00008EAD0000}"/>
    <cellStyle name="Note 3 2 3 2 2 2 4" xfId="28813" xr:uid="{00000000-0005-0000-0000-00008FAD0000}"/>
    <cellStyle name="Note 3 2 3 2 2 3" xfId="9029" xr:uid="{00000000-0005-0000-0000-000090AD0000}"/>
    <cellStyle name="Note 3 2 3 2 2 3 2" xfId="20330" xr:uid="{00000000-0005-0000-0000-000091AD0000}"/>
    <cellStyle name="Note 3 2 3 2 2 3 2 2" xfId="42932" xr:uid="{00000000-0005-0000-0000-000092AD0000}"/>
    <cellStyle name="Note 3 2 3 2 2 3 3" xfId="31631" xr:uid="{00000000-0005-0000-0000-000093AD0000}"/>
    <cellStyle name="Note 3 2 3 2 2 4" xfId="14680" xr:uid="{00000000-0005-0000-0000-000094AD0000}"/>
    <cellStyle name="Note 3 2 3 2 2 4 2" xfId="37282" xr:uid="{00000000-0005-0000-0000-000095AD0000}"/>
    <cellStyle name="Note 3 2 3 2 2 5" xfId="25981" xr:uid="{00000000-0005-0000-0000-000096AD0000}"/>
    <cellStyle name="Note 3 2 3 2 3" xfId="4977" xr:uid="{00000000-0005-0000-0000-000097AD0000}"/>
    <cellStyle name="Note 3 2 3 2 3 2" xfId="10627" xr:uid="{00000000-0005-0000-0000-000098AD0000}"/>
    <cellStyle name="Note 3 2 3 2 3 2 2" xfId="21928" xr:uid="{00000000-0005-0000-0000-000099AD0000}"/>
    <cellStyle name="Note 3 2 3 2 3 2 2 2" xfId="44530" xr:uid="{00000000-0005-0000-0000-00009AAD0000}"/>
    <cellStyle name="Note 3 2 3 2 3 2 3" xfId="33229" xr:uid="{00000000-0005-0000-0000-00009BAD0000}"/>
    <cellStyle name="Note 3 2 3 2 3 3" xfId="16278" xr:uid="{00000000-0005-0000-0000-00009CAD0000}"/>
    <cellStyle name="Note 3 2 3 2 3 3 2" xfId="38880" xr:uid="{00000000-0005-0000-0000-00009DAD0000}"/>
    <cellStyle name="Note 3 2 3 2 3 4" xfId="27579" xr:uid="{00000000-0005-0000-0000-00009EAD0000}"/>
    <cellStyle name="Note 3 2 3 2 4" xfId="7996" xr:uid="{00000000-0005-0000-0000-00009FAD0000}"/>
    <cellStyle name="Note 3 2 3 2 4 2" xfId="19297" xr:uid="{00000000-0005-0000-0000-0000A0AD0000}"/>
    <cellStyle name="Note 3 2 3 2 4 2 2" xfId="41899" xr:uid="{00000000-0005-0000-0000-0000A1AD0000}"/>
    <cellStyle name="Note 3 2 3 2 4 3" xfId="30598" xr:uid="{00000000-0005-0000-0000-0000A2AD0000}"/>
    <cellStyle name="Note 3 2 3 2 5" xfId="13647" xr:uid="{00000000-0005-0000-0000-0000A3AD0000}"/>
    <cellStyle name="Note 3 2 3 2 5 2" xfId="36249" xr:uid="{00000000-0005-0000-0000-0000A4AD0000}"/>
    <cellStyle name="Note 3 2 3 2 6" xfId="24948" xr:uid="{00000000-0005-0000-0000-0000A5AD0000}"/>
    <cellStyle name="Note 3 2 3 3" xfId="2568" xr:uid="{00000000-0005-0000-0000-0000A6AD0000}"/>
    <cellStyle name="Note 3 2 3 3 2" xfId="5587" xr:uid="{00000000-0005-0000-0000-0000A7AD0000}"/>
    <cellStyle name="Note 3 2 3 3 2 2" xfId="11237" xr:uid="{00000000-0005-0000-0000-0000A8AD0000}"/>
    <cellStyle name="Note 3 2 3 3 2 2 2" xfId="22538" xr:uid="{00000000-0005-0000-0000-0000A9AD0000}"/>
    <cellStyle name="Note 3 2 3 3 2 2 2 2" xfId="45140" xr:uid="{00000000-0005-0000-0000-0000AAAD0000}"/>
    <cellStyle name="Note 3 2 3 3 2 2 3" xfId="33839" xr:uid="{00000000-0005-0000-0000-0000ABAD0000}"/>
    <cellStyle name="Note 3 2 3 3 2 3" xfId="16888" xr:uid="{00000000-0005-0000-0000-0000ACAD0000}"/>
    <cellStyle name="Note 3 2 3 3 2 3 2" xfId="39490" xr:uid="{00000000-0005-0000-0000-0000ADAD0000}"/>
    <cellStyle name="Note 3 2 3 3 2 4" xfId="28189" xr:uid="{00000000-0005-0000-0000-0000AEAD0000}"/>
    <cellStyle name="Note 3 2 3 3 3" xfId="8404" xr:uid="{00000000-0005-0000-0000-0000AFAD0000}"/>
    <cellStyle name="Note 3 2 3 3 3 2" xfId="19705" xr:uid="{00000000-0005-0000-0000-0000B0AD0000}"/>
    <cellStyle name="Note 3 2 3 3 3 2 2" xfId="42307" xr:uid="{00000000-0005-0000-0000-0000B1AD0000}"/>
    <cellStyle name="Note 3 2 3 3 3 3" xfId="31006" xr:uid="{00000000-0005-0000-0000-0000B2AD0000}"/>
    <cellStyle name="Note 3 2 3 3 4" xfId="14055" xr:uid="{00000000-0005-0000-0000-0000B3AD0000}"/>
    <cellStyle name="Note 3 2 3 3 4 2" xfId="36657" xr:uid="{00000000-0005-0000-0000-0000B4AD0000}"/>
    <cellStyle name="Note 3 2 3 3 5" xfId="25356" xr:uid="{00000000-0005-0000-0000-0000B5AD0000}"/>
    <cellStyle name="Note 3 2 3 4" xfId="4353" xr:uid="{00000000-0005-0000-0000-0000B6AD0000}"/>
    <cellStyle name="Note 3 2 3 4 2" xfId="10003" xr:uid="{00000000-0005-0000-0000-0000B7AD0000}"/>
    <cellStyle name="Note 3 2 3 4 2 2" xfId="21304" xr:uid="{00000000-0005-0000-0000-0000B8AD0000}"/>
    <cellStyle name="Note 3 2 3 4 2 2 2" xfId="43906" xr:uid="{00000000-0005-0000-0000-0000B9AD0000}"/>
    <cellStyle name="Note 3 2 3 4 2 3" xfId="32605" xr:uid="{00000000-0005-0000-0000-0000BAAD0000}"/>
    <cellStyle name="Note 3 2 3 4 3" xfId="15654" xr:uid="{00000000-0005-0000-0000-0000BBAD0000}"/>
    <cellStyle name="Note 3 2 3 4 3 2" xfId="38256" xr:uid="{00000000-0005-0000-0000-0000BCAD0000}"/>
    <cellStyle name="Note 3 2 3 4 4" xfId="26955" xr:uid="{00000000-0005-0000-0000-0000BDAD0000}"/>
    <cellStyle name="Note 3 2 3 5" xfId="7150" xr:uid="{00000000-0005-0000-0000-0000BEAD0000}"/>
    <cellStyle name="Note 3 2 3 5 2" xfId="18451" xr:uid="{00000000-0005-0000-0000-0000BFAD0000}"/>
    <cellStyle name="Note 3 2 3 5 2 2" xfId="41053" xr:uid="{00000000-0005-0000-0000-0000C0AD0000}"/>
    <cellStyle name="Note 3 2 3 5 3" xfId="29752" xr:uid="{00000000-0005-0000-0000-0000C1AD0000}"/>
    <cellStyle name="Note 3 2 3 6" xfId="12801" xr:uid="{00000000-0005-0000-0000-0000C2AD0000}"/>
    <cellStyle name="Note 3 2 3 6 2" xfId="35403" xr:uid="{00000000-0005-0000-0000-0000C3AD0000}"/>
    <cellStyle name="Note 3 2 3 7" xfId="24102" xr:uid="{00000000-0005-0000-0000-0000C4AD0000}"/>
    <cellStyle name="Note 3 2 4" xfId="860" xr:uid="{00000000-0005-0000-0000-0000C5AD0000}"/>
    <cellStyle name="Note 3 2 4 2" xfId="2932" xr:uid="{00000000-0005-0000-0000-0000C6AD0000}"/>
    <cellStyle name="Note 3 2 4 2 2" xfId="5904" xr:uid="{00000000-0005-0000-0000-0000C7AD0000}"/>
    <cellStyle name="Note 3 2 4 2 2 2" xfId="11554" xr:uid="{00000000-0005-0000-0000-0000C8AD0000}"/>
    <cellStyle name="Note 3 2 4 2 2 2 2" xfId="22855" xr:uid="{00000000-0005-0000-0000-0000C9AD0000}"/>
    <cellStyle name="Note 3 2 4 2 2 2 2 2" xfId="45457" xr:uid="{00000000-0005-0000-0000-0000CAAD0000}"/>
    <cellStyle name="Note 3 2 4 2 2 2 3" xfId="34156" xr:uid="{00000000-0005-0000-0000-0000CBAD0000}"/>
    <cellStyle name="Note 3 2 4 2 2 3" xfId="17205" xr:uid="{00000000-0005-0000-0000-0000CCAD0000}"/>
    <cellStyle name="Note 3 2 4 2 2 3 2" xfId="39807" xr:uid="{00000000-0005-0000-0000-0000CDAD0000}"/>
    <cellStyle name="Note 3 2 4 2 2 4" xfId="28506" xr:uid="{00000000-0005-0000-0000-0000CEAD0000}"/>
    <cellStyle name="Note 3 2 4 2 3" xfId="8722" xr:uid="{00000000-0005-0000-0000-0000CFAD0000}"/>
    <cellStyle name="Note 3 2 4 2 3 2" xfId="20023" xr:uid="{00000000-0005-0000-0000-0000D0AD0000}"/>
    <cellStyle name="Note 3 2 4 2 3 2 2" xfId="42625" xr:uid="{00000000-0005-0000-0000-0000D1AD0000}"/>
    <cellStyle name="Note 3 2 4 2 3 3" xfId="31324" xr:uid="{00000000-0005-0000-0000-0000D2AD0000}"/>
    <cellStyle name="Note 3 2 4 2 4" xfId="14373" xr:uid="{00000000-0005-0000-0000-0000D3AD0000}"/>
    <cellStyle name="Note 3 2 4 2 4 2" xfId="36975" xr:uid="{00000000-0005-0000-0000-0000D4AD0000}"/>
    <cellStyle name="Note 3 2 4 2 5" xfId="25674" xr:uid="{00000000-0005-0000-0000-0000D5AD0000}"/>
    <cellStyle name="Note 3 2 4 3" xfId="4670" xr:uid="{00000000-0005-0000-0000-0000D6AD0000}"/>
    <cellStyle name="Note 3 2 4 3 2" xfId="10320" xr:uid="{00000000-0005-0000-0000-0000D7AD0000}"/>
    <cellStyle name="Note 3 2 4 3 2 2" xfId="21621" xr:uid="{00000000-0005-0000-0000-0000D8AD0000}"/>
    <cellStyle name="Note 3 2 4 3 2 2 2" xfId="44223" xr:uid="{00000000-0005-0000-0000-0000D9AD0000}"/>
    <cellStyle name="Note 3 2 4 3 2 3" xfId="32922" xr:uid="{00000000-0005-0000-0000-0000DAAD0000}"/>
    <cellStyle name="Note 3 2 4 3 3" xfId="15971" xr:uid="{00000000-0005-0000-0000-0000DBAD0000}"/>
    <cellStyle name="Note 3 2 4 3 3 2" xfId="38573" xr:uid="{00000000-0005-0000-0000-0000DCAD0000}"/>
    <cellStyle name="Note 3 2 4 3 4" xfId="27272" xr:uid="{00000000-0005-0000-0000-0000DDAD0000}"/>
    <cellStyle name="Note 3 2 4 4" xfId="6857" xr:uid="{00000000-0005-0000-0000-0000DEAD0000}"/>
    <cellStyle name="Note 3 2 4 4 2" xfId="18158" xr:uid="{00000000-0005-0000-0000-0000DFAD0000}"/>
    <cellStyle name="Note 3 2 4 4 2 2" xfId="40760" xr:uid="{00000000-0005-0000-0000-0000E0AD0000}"/>
    <cellStyle name="Note 3 2 4 4 3" xfId="29459" xr:uid="{00000000-0005-0000-0000-0000E1AD0000}"/>
    <cellStyle name="Note 3 2 4 5" xfId="12508" xr:uid="{00000000-0005-0000-0000-0000E2AD0000}"/>
    <cellStyle name="Note 3 2 4 5 2" xfId="35110" xr:uid="{00000000-0005-0000-0000-0000E3AD0000}"/>
    <cellStyle name="Note 3 2 4 6" xfId="23809" xr:uid="{00000000-0005-0000-0000-0000E4AD0000}"/>
    <cellStyle name="Note 3 2 5" xfId="2137" xr:uid="{00000000-0005-0000-0000-0000E5AD0000}"/>
    <cellStyle name="Note 3 2 5 2" xfId="3874" xr:uid="{00000000-0005-0000-0000-0000E6AD0000}"/>
    <cellStyle name="Note 3 2 5 2 2" xfId="9582" xr:uid="{00000000-0005-0000-0000-0000E7AD0000}"/>
    <cellStyle name="Note 3 2 5 2 2 2" xfId="20883" xr:uid="{00000000-0005-0000-0000-0000E8AD0000}"/>
    <cellStyle name="Note 3 2 5 2 2 2 2" xfId="43485" xr:uid="{00000000-0005-0000-0000-0000E9AD0000}"/>
    <cellStyle name="Note 3 2 5 2 2 3" xfId="32184" xr:uid="{00000000-0005-0000-0000-0000EAAD0000}"/>
    <cellStyle name="Note 3 2 5 2 3" xfId="15233" xr:uid="{00000000-0005-0000-0000-0000EBAD0000}"/>
    <cellStyle name="Note 3 2 5 2 3 2" xfId="37835" xr:uid="{00000000-0005-0000-0000-0000ECAD0000}"/>
    <cellStyle name="Note 3 2 5 2 4" xfId="26534" xr:uid="{00000000-0005-0000-0000-0000EDAD0000}"/>
    <cellStyle name="Note 3 2 5 3" xfId="5280" xr:uid="{00000000-0005-0000-0000-0000EEAD0000}"/>
    <cellStyle name="Note 3 2 5 3 2" xfId="10930" xr:uid="{00000000-0005-0000-0000-0000EFAD0000}"/>
    <cellStyle name="Note 3 2 5 3 2 2" xfId="22231" xr:uid="{00000000-0005-0000-0000-0000F0AD0000}"/>
    <cellStyle name="Note 3 2 5 3 2 2 2" xfId="44833" xr:uid="{00000000-0005-0000-0000-0000F1AD0000}"/>
    <cellStyle name="Note 3 2 5 3 2 3" xfId="33532" xr:uid="{00000000-0005-0000-0000-0000F2AD0000}"/>
    <cellStyle name="Note 3 2 5 3 3" xfId="16581" xr:uid="{00000000-0005-0000-0000-0000F3AD0000}"/>
    <cellStyle name="Note 3 2 5 3 3 2" xfId="39183" xr:uid="{00000000-0005-0000-0000-0000F4AD0000}"/>
    <cellStyle name="Note 3 2 5 3 4" xfId="27882" xr:uid="{00000000-0005-0000-0000-0000F5AD0000}"/>
    <cellStyle name="Note 3 2 5 4" xfId="7993" xr:uid="{00000000-0005-0000-0000-0000F6AD0000}"/>
    <cellStyle name="Note 3 2 5 4 2" xfId="19294" xr:uid="{00000000-0005-0000-0000-0000F7AD0000}"/>
    <cellStyle name="Note 3 2 5 4 2 2" xfId="41896" xr:uid="{00000000-0005-0000-0000-0000F8AD0000}"/>
    <cellStyle name="Note 3 2 5 4 3" xfId="30595" xr:uid="{00000000-0005-0000-0000-0000F9AD0000}"/>
    <cellStyle name="Note 3 2 5 5" xfId="13644" xr:uid="{00000000-0005-0000-0000-0000FAAD0000}"/>
    <cellStyle name="Note 3 2 5 5 2" xfId="36246" xr:uid="{00000000-0005-0000-0000-0000FBAD0000}"/>
    <cellStyle name="Note 3 2 5 6" xfId="24945" xr:uid="{00000000-0005-0000-0000-0000FCAD0000}"/>
    <cellStyle name="Note 3 2 6" xfId="2258" xr:uid="{00000000-0005-0000-0000-0000FDAD0000}"/>
    <cellStyle name="Note 3 2 6 2" xfId="8094" xr:uid="{00000000-0005-0000-0000-0000FEAD0000}"/>
    <cellStyle name="Note 3 2 6 2 2" xfId="19395" xr:uid="{00000000-0005-0000-0000-0000FFAD0000}"/>
    <cellStyle name="Note 3 2 6 2 2 2" xfId="41997" xr:uid="{00000000-0005-0000-0000-000000AE0000}"/>
    <cellStyle name="Note 3 2 6 2 3" xfId="30696" xr:uid="{00000000-0005-0000-0000-000001AE0000}"/>
    <cellStyle name="Note 3 2 6 3" xfId="13745" xr:uid="{00000000-0005-0000-0000-000002AE0000}"/>
    <cellStyle name="Note 3 2 6 3 2" xfId="36347" xr:uid="{00000000-0005-0000-0000-000003AE0000}"/>
    <cellStyle name="Note 3 2 6 4" xfId="25046" xr:uid="{00000000-0005-0000-0000-000004AE0000}"/>
    <cellStyle name="Note 3 2 7" xfId="4046" xr:uid="{00000000-0005-0000-0000-000005AE0000}"/>
    <cellStyle name="Note 3 2 7 2" xfId="9696" xr:uid="{00000000-0005-0000-0000-000006AE0000}"/>
    <cellStyle name="Note 3 2 7 2 2" xfId="20997" xr:uid="{00000000-0005-0000-0000-000007AE0000}"/>
    <cellStyle name="Note 3 2 7 2 2 2" xfId="43599" xr:uid="{00000000-0005-0000-0000-000008AE0000}"/>
    <cellStyle name="Note 3 2 7 2 3" xfId="32298" xr:uid="{00000000-0005-0000-0000-000009AE0000}"/>
    <cellStyle name="Note 3 2 7 3" xfId="15347" xr:uid="{00000000-0005-0000-0000-00000AAE0000}"/>
    <cellStyle name="Note 3 2 7 3 2" xfId="37949" xr:uid="{00000000-0005-0000-0000-00000BAE0000}"/>
    <cellStyle name="Note 3 2 7 4" xfId="26648" xr:uid="{00000000-0005-0000-0000-00000CAE0000}"/>
    <cellStyle name="Note 3 2 8" xfId="6497" xr:uid="{00000000-0005-0000-0000-00000DAE0000}"/>
    <cellStyle name="Note 3 2 8 2" xfId="17798" xr:uid="{00000000-0005-0000-0000-00000EAE0000}"/>
    <cellStyle name="Note 3 2 8 2 2" xfId="40400" xr:uid="{00000000-0005-0000-0000-00000FAE0000}"/>
    <cellStyle name="Note 3 2 8 3" xfId="29099" xr:uid="{00000000-0005-0000-0000-000010AE0000}"/>
    <cellStyle name="Note 3 2 9" xfId="12148" xr:uid="{00000000-0005-0000-0000-000011AE0000}"/>
    <cellStyle name="Note 3 2 9 2" xfId="34750" xr:uid="{00000000-0005-0000-0000-000012AE0000}"/>
    <cellStyle name="Note 3 3" xfId="403" xr:uid="{00000000-0005-0000-0000-000013AE0000}"/>
    <cellStyle name="Note 3 3 10" xfId="23498" xr:uid="{00000000-0005-0000-0000-000014AE0000}"/>
    <cellStyle name="Note 3 3 2" xfId="648" xr:uid="{00000000-0005-0000-0000-000015AE0000}"/>
    <cellStyle name="Note 3 3 2 2" xfId="1358" xr:uid="{00000000-0005-0000-0000-000016AE0000}"/>
    <cellStyle name="Note 3 3 2 2 2" xfId="2143" xr:uid="{00000000-0005-0000-0000-000017AE0000}"/>
    <cellStyle name="Note 3 3 2 2 2 2" xfId="3427" xr:uid="{00000000-0005-0000-0000-000018AE0000}"/>
    <cellStyle name="Note 3 3 2 2 2 2 2" xfId="6399" xr:uid="{00000000-0005-0000-0000-000019AE0000}"/>
    <cellStyle name="Note 3 3 2 2 2 2 2 2" xfId="12049" xr:uid="{00000000-0005-0000-0000-00001AAE0000}"/>
    <cellStyle name="Note 3 3 2 2 2 2 2 2 2" xfId="23350" xr:uid="{00000000-0005-0000-0000-00001BAE0000}"/>
    <cellStyle name="Note 3 3 2 2 2 2 2 2 2 2" xfId="45952" xr:uid="{00000000-0005-0000-0000-00001CAE0000}"/>
    <cellStyle name="Note 3 3 2 2 2 2 2 2 3" xfId="34651" xr:uid="{00000000-0005-0000-0000-00001DAE0000}"/>
    <cellStyle name="Note 3 3 2 2 2 2 2 3" xfId="17700" xr:uid="{00000000-0005-0000-0000-00001EAE0000}"/>
    <cellStyle name="Note 3 3 2 2 2 2 2 3 2" xfId="40302" xr:uid="{00000000-0005-0000-0000-00001FAE0000}"/>
    <cellStyle name="Note 3 3 2 2 2 2 2 4" xfId="29001" xr:uid="{00000000-0005-0000-0000-000020AE0000}"/>
    <cellStyle name="Note 3 3 2 2 2 2 3" xfId="9217" xr:uid="{00000000-0005-0000-0000-000021AE0000}"/>
    <cellStyle name="Note 3 3 2 2 2 2 3 2" xfId="20518" xr:uid="{00000000-0005-0000-0000-000022AE0000}"/>
    <cellStyle name="Note 3 3 2 2 2 2 3 2 2" xfId="43120" xr:uid="{00000000-0005-0000-0000-000023AE0000}"/>
    <cellStyle name="Note 3 3 2 2 2 2 3 3" xfId="31819" xr:uid="{00000000-0005-0000-0000-000024AE0000}"/>
    <cellStyle name="Note 3 3 2 2 2 2 4" xfId="14868" xr:uid="{00000000-0005-0000-0000-000025AE0000}"/>
    <cellStyle name="Note 3 3 2 2 2 2 4 2" xfId="37470" xr:uid="{00000000-0005-0000-0000-000026AE0000}"/>
    <cellStyle name="Note 3 3 2 2 2 2 5" xfId="26169" xr:uid="{00000000-0005-0000-0000-000027AE0000}"/>
    <cellStyle name="Note 3 3 2 2 2 3" xfId="5165" xr:uid="{00000000-0005-0000-0000-000028AE0000}"/>
    <cellStyle name="Note 3 3 2 2 2 3 2" xfId="10815" xr:uid="{00000000-0005-0000-0000-000029AE0000}"/>
    <cellStyle name="Note 3 3 2 2 2 3 2 2" xfId="22116" xr:uid="{00000000-0005-0000-0000-00002AAE0000}"/>
    <cellStyle name="Note 3 3 2 2 2 3 2 2 2" xfId="44718" xr:uid="{00000000-0005-0000-0000-00002BAE0000}"/>
    <cellStyle name="Note 3 3 2 2 2 3 2 3" xfId="33417" xr:uid="{00000000-0005-0000-0000-00002CAE0000}"/>
    <cellStyle name="Note 3 3 2 2 2 3 3" xfId="16466" xr:uid="{00000000-0005-0000-0000-00002DAE0000}"/>
    <cellStyle name="Note 3 3 2 2 2 3 3 2" xfId="39068" xr:uid="{00000000-0005-0000-0000-00002EAE0000}"/>
    <cellStyle name="Note 3 3 2 2 2 3 4" xfId="27767" xr:uid="{00000000-0005-0000-0000-00002FAE0000}"/>
    <cellStyle name="Note 3 3 2 2 2 4" xfId="7999" xr:uid="{00000000-0005-0000-0000-000030AE0000}"/>
    <cellStyle name="Note 3 3 2 2 2 4 2" xfId="19300" xr:uid="{00000000-0005-0000-0000-000031AE0000}"/>
    <cellStyle name="Note 3 3 2 2 2 4 2 2" xfId="41902" xr:uid="{00000000-0005-0000-0000-000032AE0000}"/>
    <cellStyle name="Note 3 3 2 2 2 4 3" xfId="30601" xr:uid="{00000000-0005-0000-0000-000033AE0000}"/>
    <cellStyle name="Note 3 3 2 2 2 5" xfId="13650" xr:uid="{00000000-0005-0000-0000-000034AE0000}"/>
    <cellStyle name="Note 3 3 2 2 2 5 2" xfId="36252" xr:uid="{00000000-0005-0000-0000-000035AE0000}"/>
    <cellStyle name="Note 3 3 2 2 2 6" xfId="24951" xr:uid="{00000000-0005-0000-0000-000036AE0000}"/>
    <cellStyle name="Note 3 3 2 2 3" xfId="2756" xr:uid="{00000000-0005-0000-0000-000037AE0000}"/>
    <cellStyle name="Note 3 3 2 2 3 2" xfId="5775" xr:uid="{00000000-0005-0000-0000-000038AE0000}"/>
    <cellStyle name="Note 3 3 2 2 3 2 2" xfId="11425" xr:uid="{00000000-0005-0000-0000-000039AE0000}"/>
    <cellStyle name="Note 3 3 2 2 3 2 2 2" xfId="22726" xr:uid="{00000000-0005-0000-0000-00003AAE0000}"/>
    <cellStyle name="Note 3 3 2 2 3 2 2 2 2" xfId="45328" xr:uid="{00000000-0005-0000-0000-00003BAE0000}"/>
    <cellStyle name="Note 3 3 2 2 3 2 2 3" xfId="34027" xr:uid="{00000000-0005-0000-0000-00003CAE0000}"/>
    <cellStyle name="Note 3 3 2 2 3 2 3" xfId="17076" xr:uid="{00000000-0005-0000-0000-00003DAE0000}"/>
    <cellStyle name="Note 3 3 2 2 3 2 3 2" xfId="39678" xr:uid="{00000000-0005-0000-0000-00003EAE0000}"/>
    <cellStyle name="Note 3 3 2 2 3 2 4" xfId="28377" xr:uid="{00000000-0005-0000-0000-00003FAE0000}"/>
    <cellStyle name="Note 3 3 2 2 3 3" xfId="8592" xr:uid="{00000000-0005-0000-0000-000040AE0000}"/>
    <cellStyle name="Note 3 3 2 2 3 3 2" xfId="19893" xr:uid="{00000000-0005-0000-0000-000041AE0000}"/>
    <cellStyle name="Note 3 3 2 2 3 3 2 2" xfId="42495" xr:uid="{00000000-0005-0000-0000-000042AE0000}"/>
    <cellStyle name="Note 3 3 2 2 3 3 3" xfId="31194" xr:uid="{00000000-0005-0000-0000-000043AE0000}"/>
    <cellStyle name="Note 3 3 2 2 3 4" xfId="14243" xr:uid="{00000000-0005-0000-0000-000044AE0000}"/>
    <cellStyle name="Note 3 3 2 2 3 4 2" xfId="36845" xr:uid="{00000000-0005-0000-0000-000045AE0000}"/>
    <cellStyle name="Note 3 3 2 2 3 5" xfId="25544" xr:uid="{00000000-0005-0000-0000-000046AE0000}"/>
    <cellStyle name="Note 3 3 2 2 4" xfId="4541" xr:uid="{00000000-0005-0000-0000-000047AE0000}"/>
    <cellStyle name="Note 3 3 2 2 4 2" xfId="10191" xr:uid="{00000000-0005-0000-0000-000048AE0000}"/>
    <cellStyle name="Note 3 3 2 2 4 2 2" xfId="21492" xr:uid="{00000000-0005-0000-0000-000049AE0000}"/>
    <cellStyle name="Note 3 3 2 2 4 2 2 2" xfId="44094" xr:uid="{00000000-0005-0000-0000-00004AAE0000}"/>
    <cellStyle name="Note 3 3 2 2 4 2 3" xfId="32793" xr:uid="{00000000-0005-0000-0000-00004BAE0000}"/>
    <cellStyle name="Note 3 3 2 2 4 3" xfId="15842" xr:uid="{00000000-0005-0000-0000-00004CAE0000}"/>
    <cellStyle name="Note 3 3 2 2 4 3 2" xfId="38444" xr:uid="{00000000-0005-0000-0000-00004DAE0000}"/>
    <cellStyle name="Note 3 3 2 2 4 4" xfId="27143" xr:uid="{00000000-0005-0000-0000-00004EAE0000}"/>
    <cellStyle name="Note 3 3 2 2 5" xfId="7337" xr:uid="{00000000-0005-0000-0000-00004FAE0000}"/>
    <cellStyle name="Note 3 3 2 2 5 2" xfId="18638" xr:uid="{00000000-0005-0000-0000-000050AE0000}"/>
    <cellStyle name="Note 3 3 2 2 5 2 2" xfId="41240" xr:uid="{00000000-0005-0000-0000-000051AE0000}"/>
    <cellStyle name="Note 3 3 2 2 5 3" xfId="29939" xr:uid="{00000000-0005-0000-0000-000052AE0000}"/>
    <cellStyle name="Note 3 3 2 2 6" xfId="12988" xr:uid="{00000000-0005-0000-0000-000053AE0000}"/>
    <cellStyle name="Note 3 3 2 2 6 2" xfId="35590" xr:uid="{00000000-0005-0000-0000-000054AE0000}"/>
    <cellStyle name="Note 3 3 2 2 7" xfId="24289" xr:uid="{00000000-0005-0000-0000-000055AE0000}"/>
    <cellStyle name="Note 3 3 2 3" xfId="1056" xr:uid="{00000000-0005-0000-0000-000056AE0000}"/>
    <cellStyle name="Note 3 3 2 3 2" xfId="3119" xr:uid="{00000000-0005-0000-0000-000057AE0000}"/>
    <cellStyle name="Note 3 3 2 3 2 2" xfId="6091" xr:uid="{00000000-0005-0000-0000-000058AE0000}"/>
    <cellStyle name="Note 3 3 2 3 2 2 2" xfId="11741" xr:uid="{00000000-0005-0000-0000-000059AE0000}"/>
    <cellStyle name="Note 3 3 2 3 2 2 2 2" xfId="23042" xr:uid="{00000000-0005-0000-0000-00005AAE0000}"/>
    <cellStyle name="Note 3 3 2 3 2 2 2 2 2" xfId="45644" xr:uid="{00000000-0005-0000-0000-00005BAE0000}"/>
    <cellStyle name="Note 3 3 2 3 2 2 2 3" xfId="34343" xr:uid="{00000000-0005-0000-0000-00005CAE0000}"/>
    <cellStyle name="Note 3 3 2 3 2 2 3" xfId="17392" xr:uid="{00000000-0005-0000-0000-00005DAE0000}"/>
    <cellStyle name="Note 3 3 2 3 2 2 3 2" xfId="39994" xr:uid="{00000000-0005-0000-0000-00005EAE0000}"/>
    <cellStyle name="Note 3 3 2 3 2 2 4" xfId="28693" xr:uid="{00000000-0005-0000-0000-00005FAE0000}"/>
    <cellStyle name="Note 3 3 2 3 2 3" xfId="8909" xr:uid="{00000000-0005-0000-0000-000060AE0000}"/>
    <cellStyle name="Note 3 3 2 3 2 3 2" xfId="20210" xr:uid="{00000000-0005-0000-0000-000061AE0000}"/>
    <cellStyle name="Note 3 3 2 3 2 3 2 2" xfId="42812" xr:uid="{00000000-0005-0000-0000-000062AE0000}"/>
    <cellStyle name="Note 3 3 2 3 2 3 3" xfId="31511" xr:uid="{00000000-0005-0000-0000-000063AE0000}"/>
    <cellStyle name="Note 3 3 2 3 2 4" xfId="14560" xr:uid="{00000000-0005-0000-0000-000064AE0000}"/>
    <cellStyle name="Note 3 3 2 3 2 4 2" xfId="37162" xr:uid="{00000000-0005-0000-0000-000065AE0000}"/>
    <cellStyle name="Note 3 3 2 3 2 5" xfId="25861" xr:uid="{00000000-0005-0000-0000-000066AE0000}"/>
    <cellStyle name="Note 3 3 2 3 3" xfId="4857" xr:uid="{00000000-0005-0000-0000-000067AE0000}"/>
    <cellStyle name="Note 3 3 2 3 3 2" xfId="10507" xr:uid="{00000000-0005-0000-0000-000068AE0000}"/>
    <cellStyle name="Note 3 3 2 3 3 2 2" xfId="21808" xr:uid="{00000000-0005-0000-0000-000069AE0000}"/>
    <cellStyle name="Note 3 3 2 3 3 2 2 2" xfId="44410" xr:uid="{00000000-0005-0000-0000-00006AAE0000}"/>
    <cellStyle name="Note 3 3 2 3 3 2 3" xfId="33109" xr:uid="{00000000-0005-0000-0000-00006BAE0000}"/>
    <cellStyle name="Note 3 3 2 3 3 3" xfId="16158" xr:uid="{00000000-0005-0000-0000-00006CAE0000}"/>
    <cellStyle name="Note 3 3 2 3 3 3 2" xfId="38760" xr:uid="{00000000-0005-0000-0000-00006DAE0000}"/>
    <cellStyle name="Note 3 3 2 3 3 4" xfId="27459" xr:uid="{00000000-0005-0000-0000-00006EAE0000}"/>
    <cellStyle name="Note 3 3 2 3 4" xfId="7044" xr:uid="{00000000-0005-0000-0000-00006FAE0000}"/>
    <cellStyle name="Note 3 3 2 3 4 2" xfId="18345" xr:uid="{00000000-0005-0000-0000-000070AE0000}"/>
    <cellStyle name="Note 3 3 2 3 4 2 2" xfId="40947" xr:uid="{00000000-0005-0000-0000-000071AE0000}"/>
    <cellStyle name="Note 3 3 2 3 4 3" xfId="29646" xr:uid="{00000000-0005-0000-0000-000072AE0000}"/>
    <cellStyle name="Note 3 3 2 3 5" xfId="12695" xr:uid="{00000000-0005-0000-0000-000073AE0000}"/>
    <cellStyle name="Note 3 3 2 3 5 2" xfId="35297" xr:uid="{00000000-0005-0000-0000-000074AE0000}"/>
    <cellStyle name="Note 3 3 2 3 6" xfId="23996" xr:uid="{00000000-0005-0000-0000-000075AE0000}"/>
    <cellStyle name="Note 3 3 2 4" xfId="2142" xr:uid="{00000000-0005-0000-0000-000076AE0000}"/>
    <cellStyle name="Note 3 3 2 4 2" xfId="3877" xr:uid="{00000000-0005-0000-0000-000077AE0000}"/>
    <cellStyle name="Note 3 3 2 4 2 2" xfId="9585" xr:uid="{00000000-0005-0000-0000-000078AE0000}"/>
    <cellStyle name="Note 3 3 2 4 2 2 2" xfId="20886" xr:uid="{00000000-0005-0000-0000-000079AE0000}"/>
    <cellStyle name="Note 3 3 2 4 2 2 2 2" xfId="43488" xr:uid="{00000000-0005-0000-0000-00007AAE0000}"/>
    <cellStyle name="Note 3 3 2 4 2 2 3" xfId="32187" xr:uid="{00000000-0005-0000-0000-00007BAE0000}"/>
    <cellStyle name="Note 3 3 2 4 2 3" xfId="15236" xr:uid="{00000000-0005-0000-0000-00007CAE0000}"/>
    <cellStyle name="Note 3 3 2 4 2 3 2" xfId="37838" xr:uid="{00000000-0005-0000-0000-00007DAE0000}"/>
    <cellStyle name="Note 3 3 2 4 2 4" xfId="26537" xr:uid="{00000000-0005-0000-0000-00007EAE0000}"/>
    <cellStyle name="Note 3 3 2 4 3" xfId="5467" xr:uid="{00000000-0005-0000-0000-00007FAE0000}"/>
    <cellStyle name="Note 3 3 2 4 3 2" xfId="11117" xr:uid="{00000000-0005-0000-0000-000080AE0000}"/>
    <cellStyle name="Note 3 3 2 4 3 2 2" xfId="22418" xr:uid="{00000000-0005-0000-0000-000081AE0000}"/>
    <cellStyle name="Note 3 3 2 4 3 2 2 2" xfId="45020" xr:uid="{00000000-0005-0000-0000-000082AE0000}"/>
    <cellStyle name="Note 3 3 2 4 3 2 3" xfId="33719" xr:uid="{00000000-0005-0000-0000-000083AE0000}"/>
    <cellStyle name="Note 3 3 2 4 3 3" xfId="16768" xr:uid="{00000000-0005-0000-0000-000084AE0000}"/>
    <cellStyle name="Note 3 3 2 4 3 3 2" xfId="39370" xr:uid="{00000000-0005-0000-0000-000085AE0000}"/>
    <cellStyle name="Note 3 3 2 4 3 4" xfId="28069" xr:uid="{00000000-0005-0000-0000-000086AE0000}"/>
    <cellStyle name="Note 3 3 2 4 4" xfId="7998" xr:uid="{00000000-0005-0000-0000-000087AE0000}"/>
    <cellStyle name="Note 3 3 2 4 4 2" xfId="19299" xr:uid="{00000000-0005-0000-0000-000088AE0000}"/>
    <cellStyle name="Note 3 3 2 4 4 2 2" xfId="41901" xr:uid="{00000000-0005-0000-0000-000089AE0000}"/>
    <cellStyle name="Note 3 3 2 4 4 3" xfId="30600" xr:uid="{00000000-0005-0000-0000-00008AAE0000}"/>
    <cellStyle name="Note 3 3 2 4 5" xfId="13649" xr:uid="{00000000-0005-0000-0000-00008BAE0000}"/>
    <cellStyle name="Note 3 3 2 4 5 2" xfId="36251" xr:uid="{00000000-0005-0000-0000-00008CAE0000}"/>
    <cellStyle name="Note 3 3 2 4 6" xfId="24950" xr:uid="{00000000-0005-0000-0000-00008DAE0000}"/>
    <cellStyle name="Note 3 3 2 5" xfId="2448" xr:uid="{00000000-0005-0000-0000-00008EAE0000}"/>
    <cellStyle name="Note 3 3 2 5 2" xfId="8284" xr:uid="{00000000-0005-0000-0000-00008FAE0000}"/>
    <cellStyle name="Note 3 3 2 5 2 2" xfId="19585" xr:uid="{00000000-0005-0000-0000-000090AE0000}"/>
    <cellStyle name="Note 3 3 2 5 2 2 2" xfId="42187" xr:uid="{00000000-0005-0000-0000-000091AE0000}"/>
    <cellStyle name="Note 3 3 2 5 2 3" xfId="30886" xr:uid="{00000000-0005-0000-0000-000092AE0000}"/>
    <cellStyle name="Note 3 3 2 5 3" xfId="13935" xr:uid="{00000000-0005-0000-0000-000093AE0000}"/>
    <cellStyle name="Note 3 3 2 5 3 2" xfId="36537" xr:uid="{00000000-0005-0000-0000-000094AE0000}"/>
    <cellStyle name="Note 3 3 2 5 4" xfId="25236" xr:uid="{00000000-0005-0000-0000-000095AE0000}"/>
    <cellStyle name="Note 3 3 2 6" xfId="4233" xr:uid="{00000000-0005-0000-0000-000096AE0000}"/>
    <cellStyle name="Note 3 3 2 6 2" xfId="9883" xr:uid="{00000000-0005-0000-0000-000097AE0000}"/>
    <cellStyle name="Note 3 3 2 6 2 2" xfId="21184" xr:uid="{00000000-0005-0000-0000-000098AE0000}"/>
    <cellStyle name="Note 3 3 2 6 2 2 2" xfId="43786" xr:uid="{00000000-0005-0000-0000-000099AE0000}"/>
    <cellStyle name="Note 3 3 2 6 2 3" xfId="32485" xr:uid="{00000000-0005-0000-0000-00009AAE0000}"/>
    <cellStyle name="Note 3 3 2 6 3" xfId="15534" xr:uid="{00000000-0005-0000-0000-00009BAE0000}"/>
    <cellStyle name="Note 3 3 2 6 3 2" xfId="38136" xr:uid="{00000000-0005-0000-0000-00009CAE0000}"/>
    <cellStyle name="Note 3 3 2 6 4" xfId="26835" xr:uid="{00000000-0005-0000-0000-00009DAE0000}"/>
    <cellStyle name="Note 3 3 2 7" xfId="6713" xr:uid="{00000000-0005-0000-0000-00009EAE0000}"/>
    <cellStyle name="Note 3 3 2 7 2" xfId="18014" xr:uid="{00000000-0005-0000-0000-00009FAE0000}"/>
    <cellStyle name="Note 3 3 2 7 2 2" xfId="40616" xr:uid="{00000000-0005-0000-0000-0000A0AE0000}"/>
    <cellStyle name="Note 3 3 2 7 3" xfId="29315" xr:uid="{00000000-0005-0000-0000-0000A1AE0000}"/>
    <cellStyle name="Note 3 3 2 8" xfId="12364" xr:uid="{00000000-0005-0000-0000-0000A2AE0000}"/>
    <cellStyle name="Note 3 3 2 8 2" xfId="34966" xr:uid="{00000000-0005-0000-0000-0000A3AE0000}"/>
    <cellStyle name="Note 3 3 2 9" xfId="23665" xr:uid="{00000000-0005-0000-0000-0000A4AE0000}"/>
    <cellStyle name="Note 3 3 3" xfId="1220" xr:uid="{00000000-0005-0000-0000-0000A5AE0000}"/>
    <cellStyle name="Note 3 3 3 2" xfId="2144" xr:uid="{00000000-0005-0000-0000-0000A6AE0000}"/>
    <cellStyle name="Note 3 3 3 2 2" xfId="3288" xr:uid="{00000000-0005-0000-0000-0000A7AE0000}"/>
    <cellStyle name="Note 3 3 3 2 2 2" xfId="6260" xr:uid="{00000000-0005-0000-0000-0000A8AE0000}"/>
    <cellStyle name="Note 3 3 3 2 2 2 2" xfId="11910" xr:uid="{00000000-0005-0000-0000-0000A9AE0000}"/>
    <cellStyle name="Note 3 3 3 2 2 2 2 2" xfId="23211" xr:uid="{00000000-0005-0000-0000-0000AAAE0000}"/>
    <cellStyle name="Note 3 3 3 2 2 2 2 2 2" xfId="45813" xr:uid="{00000000-0005-0000-0000-0000ABAE0000}"/>
    <cellStyle name="Note 3 3 3 2 2 2 2 3" xfId="34512" xr:uid="{00000000-0005-0000-0000-0000ACAE0000}"/>
    <cellStyle name="Note 3 3 3 2 2 2 3" xfId="17561" xr:uid="{00000000-0005-0000-0000-0000ADAE0000}"/>
    <cellStyle name="Note 3 3 3 2 2 2 3 2" xfId="40163" xr:uid="{00000000-0005-0000-0000-0000AEAE0000}"/>
    <cellStyle name="Note 3 3 3 2 2 2 4" xfId="28862" xr:uid="{00000000-0005-0000-0000-0000AFAE0000}"/>
    <cellStyle name="Note 3 3 3 2 2 3" xfId="9078" xr:uid="{00000000-0005-0000-0000-0000B0AE0000}"/>
    <cellStyle name="Note 3 3 3 2 2 3 2" xfId="20379" xr:uid="{00000000-0005-0000-0000-0000B1AE0000}"/>
    <cellStyle name="Note 3 3 3 2 2 3 2 2" xfId="42981" xr:uid="{00000000-0005-0000-0000-0000B2AE0000}"/>
    <cellStyle name="Note 3 3 3 2 2 3 3" xfId="31680" xr:uid="{00000000-0005-0000-0000-0000B3AE0000}"/>
    <cellStyle name="Note 3 3 3 2 2 4" xfId="14729" xr:uid="{00000000-0005-0000-0000-0000B4AE0000}"/>
    <cellStyle name="Note 3 3 3 2 2 4 2" xfId="37331" xr:uid="{00000000-0005-0000-0000-0000B5AE0000}"/>
    <cellStyle name="Note 3 3 3 2 2 5" xfId="26030" xr:uid="{00000000-0005-0000-0000-0000B6AE0000}"/>
    <cellStyle name="Note 3 3 3 2 3" xfId="5026" xr:uid="{00000000-0005-0000-0000-0000B7AE0000}"/>
    <cellStyle name="Note 3 3 3 2 3 2" xfId="10676" xr:uid="{00000000-0005-0000-0000-0000B8AE0000}"/>
    <cellStyle name="Note 3 3 3 2 3 2 2" xfId="21977" xr:uid="{00000000-0005-0000-0000-0000B9AE0000}"/>
    <cellStyle name="Note 3 3 3 2 3 2 2 2" xfId="44579" xr:uid="{00000000-0005-0000-0000-0000BAAE0000}"/>
    <cellStyle name="Note 3 3 3 2 3 2 3" xfId="33278" xr:uid="{00000000-0005-0000-0000-0000BBAE0000}"/>
    <cellStyle name="Note 3 3 3 2 3 3" xfId="16327" xr:uid="{00000000-0005-0000-0000-0000BCAE0000}"/>
    <cellStyle name="Note 3 3 3 2 3 3 2" xfId="38929" xr:uid="{00000000-0005-0000-0000-0000BDAE0000}"/>
    <cellStyle name="Note 3 3 3 2 3 4" xfId="27628" xr:uid="{00000000-0005-0000-0000-0000BEAE0000}"/>
    <cellStyle name="Note 3 3 3 2 4" xfId="8000" xr:uid="{00000000-0005-0000-0000-0000BFAE0000}"/>
    <cellStyle name="Note 3 3 3 2 4 2" xfId="19301" xr:uid="{00000000-0005-0000-0000-0000C0AE0000}"/>
    <cellStyle name="Note 3 3 3 2 4 2 2" xfId="41903" xr:uid="{00000000-0005-0000-0000-0000C1AE0000}"/>
    <cellStyle name="Note 3 3 3 2 4 3" xfId="30602" xr:uid="{00000000-0005-0000-0000-0000C2AE0000}"/>
    <cellStyle name="Note 3 3 3 2 5" xfId="13651" xr:uid="{00000000-0005-0000-0000-0000C3AE0000}"/>
    <cellStyle name="Note 3 3 3 2 5 2" xfId="36253" xr:uid="{00000000-0005-0000-0000-0000C4AE0000}"/>
    <cellStyle name="Note 3 3 3 2 6" xfId="24952" xr:uid="{00000000-0005-0000-0000-0000C5AE0000}"/>
    <cellStyle name="Note 3 3 3 3" xfId="2617" xr:uid="{00000000-0005-0000-0000-0000C6AE0000}"/>
    <cellStyle name="Note 3 3 3 3 2" xfId="5636" xr:uid="{00000000-0005-0000-0000-0000C7AE0000}"/>
    <cellStyle name="Note 3 3 3 3 2 2" xfId="11286" xr:uid="{00000000-0005-0000-0000-0000C8AE0000}"/>
    <cellStyle name="Note 3 3 3 3 2 2 2" xfId="22587" xr:uid="{00000000-0005-0000-0000-0000C9AE0000}"/>
    <cellStyle name="Note 3 3 3 3 2 2 2 2" xfId="45189" xr:uid="{00000000-0005-0000-0000-0000CAAE0000}"/>
    <cellStyle name="Note 3 3 3 3 2 2 3" xfId="33888" xr:uid="{00000000-0005-0000-0000-0000CBAE0000}"/>
    <cellStyle name="Note 3 3 3 3 2 3" xfId="16937" xr:uid="{00000000-0005-0000-0000-0000CCAE0000}"/>
    <cellStyle name="Note 3 3 3 3 2 3 2" xfId="39539" xr:uid="{00000000-0005-0000-0000-0000CDAE0000}"/>
    <cellStyle name="Note 3 3 3 3 2 4" xfId="28238" xr:uid="{00000000-0005-0000-0000-0000CEAE0000}"/>
    <cellStyle name="Note 3 3 3 3 3" xfId="8453" xr:uid="{00000000-0005-0000-0000-0000CFAE0000}"/>
    <cellStyle name="Note 3 3 3 3 3 2" xfId="19754" xr:uid="{00000000-0005-0000-0000-0000D0AE0000}"/>
    <cellStyle name="Note 3 3 3 3 3 2 2" xfId="42356" xr:uid="{00000000-0005-0000-0000-0000D1AE0000}"/>
    <cellStyle name="Note 3 3 3 3 3 3" xfId="31055" xr:uid="{00000000-0005-0000-0000-0000D2AE0000}"/>
    <cellStyle name="Note 3 3 3 3 4" xfId="14104" xr:uid="{00000000-0005-0000-0000-0000D3AE0000}"/>
    <cellStyle name="Note 3 3 3 3 4 2" xfId="36706" xr:uid="{00000000-0005-0000-0000-0000D4AE0000}"/>
    <cellStyle name="Note 3 3 3 3 5" xfId="25405" xr:uid="{00000000-0005-0000-0000-0000D5AE0000}"/>
    <cellStyle name="Note 3 3 3 4" xfId="4402" xr:uid="{00000000-0005-0000-0000-0000D6AE0000}"/>
    <cellStyle name="Note 3 3 3 4 2" xfId="10052" xr:uid="{00000000-0005-0000-0000-0000D7AE0000}"/>
    <cellStyle name="Note 3 3 3 4 2 2" xfId="21353" xr:uid="{00000000-0005-0000-0000-0000D8AE0000}"/>
    <cellStyle name="Note 3 3 3 4 2 2 2" xfId="43955" xr:uid="{00000000-0005-0000-0000-0000D9AE0000}"/>
    <cellStyle name="Note 3 3 3 4 2 3" xfId="32654" xr:uid="{00000000-0005-0000-0000-0000DAAE0000}"/>
    <cellStyle name="Note 3 3 3 4 3" xfId="15703" xr:uid="{00000000-0005-0000-0000-0000DBAE0000}"/>
    <cellStyle name="Note 3 3 3 4 3 2" xfId="38305" xr:uid="{00000000-0005-0000-0000-0000DCAE0000}"/>
    <cellStyle name="Note 3 3 3 4 4" xfId="27004" xr:uid="{00000000-0005-0000-0000-0000DDAE0000}"/>
    <cellStyle name="Note 3 3 3 5" xfId="7199" xr:uid="{00000000-0005-0000-0000-0000DEAE0000}"/>
    <cellStyle name="Note 3 3 3 5 2" xfId="18500" xr:uid="{00000000-0005-0000-0000-0000DFAE0000}"/>
    <cellStyle name="Note 3 3 3 5 2 2" xfId="41102" xr:uid="{00000000-0005-0000-0000-0000E0AE0000}"/>
    <cellStyle name="Note 3 3 3 5 3" xfId="29801" xr:uid="{00000000-0005-0000-0000-0000E1AE0000}"/>
    <cellStyle name="Note 3 3 3 6" xfId="12850" xr:uid="{00000000-0005-0000-0000-0000E2AE0000}"/>
    <cellStyle name="Note 3 3 3 6 2" xfId="35452" xr:uid="{00000000-0005-0000-0000-0000E3AE0000}"/>
    <cellStyle name="Note 3 3 3 7" xfId="24151" xr:uid="{00000000-0005-0000-0000-0000E4AE0000}"/>
    <cellStyle name="Note 3 3 4" xfId="911" xr:uid="{00000000-0005-0000-0000-0000E5AE0000}"/>
    <cellStyle name="Note 3 3 4 2" xfId="2981" xr:uid="{00000000-0005-0000-0000-0000E6AE0000}"/>
    <cellStyle name="Note 3 3 4 2 2" xfId="5953" xr:uid="{00000000-0005-0000-0000-0000E7AE0000}"/>
    <cellStyle name="Note 3 3 4 2 2 2" xfId="11603" xr:uid="{00000000-0005-0000-0000-0000E8AE0000}"/>
    <cellStyle name="Note 3 3 4 2 2 2 2" xfId="22904" xr:uid="{00000000-0005-0000-0000-0000E9AE0000}"/>
    <cellStyle name="Note 3 3 4 2 2 2 2 2" xfId="45506" xr:uid="{00000000-0005-0000-0000-0000EAAE0000}"/>
    <cellStyle name="Note 3 3 4 2 2 2 3" xfId="34205" xr:uid="{00000000-0005-0000-0000-0000EBAE0000}"/>
    <cellStyle name="Note 3 3 4 2 2 3" xfId="17254" xr:uid="{00000000-0005-0000-0000-0000ECAE0000}"/>
    <cellStyle name="Note 3 3 4 2 2 3 2" xfId="39856" xr:uid="{00000000-0005-0000-0000-0000EDAE0000}"/>
    <cellStyle name="Note 3 3 4 2 2 4" xfId="28555" xr:uid="{00000000-0005-0000-0000-0000EEAE0000}"/>
    <cellStyle name="Note 3 3 4 2 3" xfId="8771" xr:uid="{00000000-0005-0000-0000-0000EFAE0000}"/>
    <cellStyle name="Note 3 3 4 2 3 2" xfId="20072" xr:uid="{00000000-0005-0000-0000-0000F0AE0000}"/>
    <cellStyle name="Note 3 3 4 2 3 2 2" xfId="42674" xr:uid="{00000000-0005-0000-0000-0000F1AE0000}"/>
    <cellStyle name="Note 3 3 4 2 3 3" xfId="31373" xr:uid="{00000000-0005-0000-0000-0000F2AE0000}"/>
    <cellStyle name="Note 3 3 4 2 4" xfId="14422" xr:uid="{00000000-0005-0000-0000-0000F3AE0000}"/>
    <cellStyle name="Note 3 3 4 2 4 2" xfId="37024" xr:uid="{00000000-0005-0000-0000-0000F4AE0000}"/>
    <cellStyle name="Note 3 3 4 2 5" xfId="25723" xr:uid="{00000000-0005-0000-0000-0000F5AE0000}"/>
    <cellStyle name="Note 3 3 4 3" xfId="4719" xr:uid="{00000000-0005-0000-0000-0000F6AE0000}"/>
    <cellStyle name="Note 3 3 4 3 2" xfId="10369" xr:uid="{00000000-0005-0000-0000-0000F7AE0000}"/>
    <cellStyle name="Note 3 3 4 3 2 2" xfId="21670" xr:uid="{00000000-0005-0000-0000-0000F8AE0000}"/>
    <cellStyle name="Note 3 3 4 3 2 2 2" xfId="44272" xr:uid="{00000000-0005-0000-0000-0000F9AE0000}"/>
    <cellStyle name="Note 3 3 4 3 2 3" xfId="32971" xr:uid="{00000000-0005-0000-0000-0000FAAE0000}"/>
    <cellStyle name="Note 3 3 4 3 3" xfId="16020" xr:uid="{00000000-0005-0000-0000-0000FBAE0000}"/>
    <cellStyle name="Note 3 3 4 3 3 2" xfId="38622" xr:uid="{00000000-0005-0000-0000-0000FCAE0000}"/>
    <cellStyle name="Note 3 3 4 3 4" xfId="27321" xr:uid="{00000000-0005-0000-0000-0000FDAE0000}"/>
    <cellStyle name="Note 3 3 4 4" xfId="6906" xr:uid="{00000000-0005-0000-0000-0000FEAE0000}"/>
    <cellStyle name="Note 3 3 4 4 2" xfId="18207" xr:uid="{00000000-0005-0000-0000-0000FFAE0000}"/>
    <cellStyle name="Note 3 3 4 4 2 2" xfId="40809" xr:uid="{00000000-0005-0000-0000-000000AF0000}"/>
    <cellStyle name="Note 3 3 4 4 3" xfId="29508" xr:uid="{00000000-0005-0000-0000-000001AF0000}"/>
    <cellStyle name="Note 3 3 4 5" xfId="12557" xr:uid="{00000000-0005-0000-0000-000002AF0000}"/>
    <cellStyle name="Note 3 3 4 5 2" xfId="35159" xr:uid="{00000000-0005-0000-0000-000003AF0000}"/>
    <cellStyle name="Note 3 3 4 6" xfId="23858" xr:uid="{00000000-0005-0000-0000-000004AF0000}"/>
    <cellStyle name="Note 3 3 5" xfId="2141" xr:uid="{00000000-0005-0000-0000-000005AF0000}"/>
    <cellStyle name="Note 3 3 5 2" xfId="3876" xr:uid="{00000000-0005-0000-0000-000006AF0000}"/>
    <cellStyle name="Note 3 3 5 2 2" xfId="9584" xr:uid="{00000000-0005-0000-0000-000007AF0000}"/>
    <cellStyle name="Note 3 3 5 2 2 2" xfId="20885" xr:uid="{00000000-0005-0000-0000-000008AF0000}"/>
    <cellStyle name="Note 3 3 5 2 2 2 2" xfId="43487" xr:uid="{00000000-0005-0000-0000-000009AF0000}"/>
    <cellStyle name="Note 3 3 5 2 2 3" xfId="32186" xr:uid="{00000000-0005-0000-0000-00000AAF0000}"/>
    <cellStyle name="Note 3 3 5 2 3" xfId="15235" xr:uid="{00000000-0005-0000-0000-00000BAF0000}"/>
    <cellStyle name="Note 3 3 5 2 3 2" xfId="37837" xr:uid="{00000000-0005-0000-0000-00000CAF0000}"/>
    <cellStyle name="Note 3 3 5 2 4" xfId="26536" xr:uid="{00000000-0005-0000-0000-00000DAF0000}"/>
    <cellStyle name="Note 3 3 5 3" xfId="5329" xr:uid="{00000000-0005-0000-0000-00000EAF0000}"/>
    <cellStyle name="Note 3 3 5 3 2" xfId="10979" xr:uid="{00000000-0005-0000-0000-00000FAF0000}"/>
    <cellStyle name="Note 3 3 5 3 2 2" xfId="22280" xr:uid="{00000000-0005-0000-0000-000010AF0000}"/>
    <cellStyle name="Note 3 3 5 3 2 2 2" xfId="44882" xr:uid="{00000000-0005-0000-0000-000011AF0000}"/>
    <cellStyle name="Note 3 3 5 3 2 3" xfId="33581" xr:uid="{00000000-0005-0000-0000-000012AF0000}"/>
    <cellStyle name="Note 3 3 5 3 3" xfId="16630" xr:uid="{00000000-0005-0000-0000-000013AF0000}"/>
    <cellStyle name="Note 3 3 5 3 3 2" xfId="39232" xr:uid="{00000000-0005-0000-0000-000014AF0000}"/>
    <cellStyle name="Note 3 3 5 3 4" xfId="27931" xr:uid="{00000000-0005-0000-0000-000015AF0000}"/>
    <cellStyle name="Note 3 3 5 4" xfId="7997" xr:uid="{00000000-0005-0000-0000-000016AF0000}"/>
    <cellStyle name="Note 3 3 5 4 2" xfId="19298" xr:uid="{00000000-0005-0000-0000-000017AF0000}"/>
    <cellStyle name="Note 3 3 5 4 2 2" xfId="41900" xr:uid="{00000000-0005-0000-0000-000018AF0000}"/>
    <cellStyle name="Note 3 3 5 4 3" xfId="30599" xr:uid="{00000000-0005-0000-0000-000019AF0000}"/>
    <cellStyle name="Note 3 3 5 5" xfId="13648" xr:uid="{00000000-0005-0000-0000-00001AAF0000}"/>
    <cellStyle name="Note 3 3 5 5 2" xfId="36250" xr:uid="{00000000-0005-0000-0000-00001BAF0000}"/>
    <cellStyle name="Note 3 3 5 6" xfId="24949" xr:uid="{00000000-0005-0000-0000-00001CAF0000}"/>
    <cellStyle name="Note 3 3 6" xfId="2308" xr:uid="{00000000-0005-0000-0000-00001DAF0000}"/>
    <cellStyle name="Note 3 3 6 2" xfId="8144" xr:uid="{00000000-0005-0000-0000-00001EAF0000}"/>
    <cellStyle name="Note 3 3 6 2 2" xfId="19445" xr:uid="{00000000-0005-0000-0000-00001FAF0000}"/>
    <cellStyle name="Note 3 3 6 2 2 2" xfId="42047" xr:uid="{00000000-0005-0000-0000-000020AF0000}"/>
    <cellStyle name="Note 3 3 6 2 3" xfId="30746" xr:uid="{00000000-0005-0000-0000-000021AF0000}"/>
    <cellStyle name="Note 3 3 6 3" xfId="13795" xr:uid="{00000000-0005-0000-0000-000022AF0000}"/>
    <cellStyle name="Note 3 3 6 3 2" xfId="36397" xr:uid="{00000000-0005-0000-0000-000023AF0000}"/>
    <cellStyle name="Note 3 3 6 4" xfId="25096" xr:uid="{00000000-0005-0000-0000-000024AF0000}"/>
    <cellStyle name="Note 3 3 7" xfId="4095" xr:uid="{00000000-0005-0000-0000-000025AF0000}"/>
    <cellStyle name="Note 3 3 7 2" xfId="9745" xr:uid="{00000000-0005-0000-0000-000026AF0000}"/>
    <cellStyle name="Note 3 3 7 2 2" xfId="21046" xr:uid="{00000000-0005-0000-0000-000027AF0000}"/>
    <cellStyle name="Note 3 3 7 2 2 2" xfId="43648" xr:uid="{00000000-0005-0000-0000-000028AF0000}"/>
    <cellStyle name="Note 3 3 7 2 3" xfId="32347" xr:uid="{00000000-0005-0000-0000-000029AF0000}"/>
    <cellStyle name="Note 3 3 7 3" xfId="15396" xr:uid="{00000000-0005-0000-0000-00002AAF0000}"/>
    <cellStyle name="Note 3 3 7 3 2" xfId="37998" xr:uid="{00000000-0005-0000-0000-00002BAF0000}"/>
    <cellStyle name="Note 3 3 7 4" xfId="26697" xr:uid="{00000000-0005-0000-0000-00002CAF0000}"/>
    <cellStyle name="Note 3 3 8" xfId="6546" xr:uid="{00000000-0005-0000-0000-00002DAF0000}"/>
    <cellStyle name="Note 3 3 8 2" xfId="17847" xr:uid="{00000000-0005-0000-0000-00002EAF0000}"/>
    <cellStyle name="Note 3 3 8 2 2" xfId="40449" xr:uid="{00000000-0005-0000-0000-00002FAF0000}"/>
    <cellStyle name="Note 3 3 8 3" xfId="29148" xr:uid="{00000000-0005-0000-0000-000030AF0000}"/>
    <cellStyle name="Note 3 3 9" xfId="12197" xr:uid="{00000000-0005-0000-0000-000031AF0000}"/>
    <cellStyle name="Note 3 3 9 2" xfId="34799" xr:uid="{00000000-0005-0000-0000-000032AF0000}"/>
    <cellStyle name="Note 3 4" xfId="536" xr:uid="{00000000-0005-0000-0000-000033AF0000}"/>
    <cellStyle name="Note 3 4 2" xfId="1124" xr:uid="{00000000-0005-0000-0000-000034AF0000}"/>
    <cellStyle name="Note 3 4 2 2" xfId="2146" xr:uid="{00000000-0005-0000-0000-000035AF0000}"/>
    <cellStyle name="Note 3 4 2 2 2" xfId="3191" xr:uid="{00000000-0005-0000-0000-000036AF0000}"/>
    <cellStyle name="Note 3 4 2 2 2 2" xfId="6163" xr:uid="{00000000-0005-0000-0000-000037AF0000}"/>
    <cellStyle name="Note 3 4 2 2 2 2 2" xfId="11813" xr:uid="{00000000-0005-0000-0000-000038AF0000}"/>
    <cellStyle name="Note 3 4 2 2 2 2 2 2" xfId="23114" xr:uid="{00000000-0005-0000-0000-000039AF0000}"/>
    <cellStyle name="Note 3 4 2 2 2 2 2 2 2" xfId="45716" xr:uid="{00000000-0005-0000-0000-00003AAF0000}"/>
    <cellStyle name="Note 3 4 2 2 2 2 2 3" xfId="34415" xr:uid="{00000000-0005-0000-0000-00003BAF0000}"/>
    <cellStyle name="Note 3 4 2 2 2 2 3" xfId="17464" xr:uid="{00000000-0005-0000-0000-00003CAF0000}"/>
    <cellStyle name="Note 3 4 2 2 2 2 3 2" xfId="40066" xr:uid="{00000000-0005-0000-0000-00003DAF0000}"/>
    <cellStyle name="Note 3 4 2 2 2 2 4" xfId="28765" xr:uid="{00000000-0005-0000-0000-00003EAF0000}"/>
    <cellStyle name="Note 3 4 2 2 2 3" xfId="8981" xr:uid="{00000000-0005-0000-0000-00003FAF0000}"/>
    <cellStyle name="Note 3 4 2 2 2 3 2" xfId="20282" xr:uid="{00000000-0005-0000-0000-000040AF0000}"/>
    <cellStyle name="Note 3 4 2 2 2 3 2 2" xfId="42884" xr:uid="{00000000-0005-0000-0000-000041AF0000}"/>
    <cellStyle name="Note 3 4 2 2 2 3 3" xfId="31583" xr:uid="{00000000-0005-0000-0000-000042AF0000}"/>
    <cellStyle name="Note 3 4 2 2 2 4" xfId="14632" xr:uid="{00000000-0005-0000-0000-000043AF0000}"/>
    <cellStyle name="Note 3 4 2 2 2 4 2" xfId="37234" xr:uid="{00000000-0005-0000-0000-000044AF0000}"/>
    <cellStyle name="Note 3 4 2 2 2 5" xfId="25933" xr:uid="{00000000-0005-0000-0000-000045AF0000}"/>
    <cellStyle name="Note 3 4 2 2 3" xfId="4929" xr:uid="{00000000-0005-0000-0000-000046AF0000}"/>
    <cellStyle name="Note 3 4 2 2 3 2" xfId="10579" xr:uid="{00000000-0005-0000-0000-000047AF0000}"/>
    <cellStyle name="Note 3 4 2 2 3 2 2" xfId="21880" xr:uid="{00000000-0005-0000-0000-000048AF0000}"/>
    <cellStyle name="Note 3 4 2 2 3 2 2 2" xfId="44482" xr:uid="{00000000-0005-0000-0000-000049AF0000}"/>
    <cellStyle name="Note 3 4 2 2 3 2 3" xfId="33181" xr:uid="{00000000-0005-0000-0000-00004AAF0000}"/>
    <cellStyle name="Note 3 4 2 2 3 3" xfId="16230" xr:uid="{00000000-0005-0000-0000-00004BAF0000}"/>
    <cellStyle name="Note 3 4 2 2 3 3 2" xfId="38832" xr:uid="{00000000-0005-0000-0000-00004CAF0000}"/>
    <cellStyle name="Note 3 4 2 2 3 4" xfId="27531" xr:uid="{00000000-0005-0000-0000-00004DAF0000}"/>
    <cellStyle name="Note 3 4 2 2 4" xfId="8002" xr:uid="{00000000-0005-0000-0000-00004EAF0000}"/>
    <cellStyle name="Note 3 4 2 2 4 2" xfId="19303" xr:uid="{00000000-0005-0000-0000-00004FAF0000}"/>
    <cellStyle name="Note 3 4 2 2 4 2 2" xfId="41905" xr:uid="{00000000-0005-0000-0000-000050AF0000}"/>
    <cellStyle name="Note 3 4 2 2 4 3" xfId="30604" xr:uid="{00000000-0005-0000-0000-000051AF0000}"/>
    <cellStyle name="Note 3 4 2 2 5" xfId="13653" xr:uid="{00000000-0005-0000-0000-000052AF0000}"/>
    <cellStyle name="Note 3 4 2 2 5 2" xfId="36255" xr:uid="{00000000-0005-0000-0000-000053AF0000}"/>
    <cellStyle name="Note 3 4 2 2 6" xfId="24954" xr:uid="{00000000-0005-0000-0000-000054AF0000}"/>
    <cellStyle name="Note 3 4 2 3" xfId="2520" xr:uid="{00000000-0005-0000-0000-000055AF0000}"/>
    <cellStyle name="Note 3 4 2 3 2" xfId="5539" xr:uid="{00000000-0005-0000-0000-000056AF0000}"/>
    <cellStyle name="Note 3 4 2 3 2 2" xfId="11189" xr:uid="{00000000-0005-0000-0000-000057AF0000}"/>
    <cellStyle name="Note 3 4 2 3 2 2 2" xfId="22490" xr:uid="{00000000-0005-0000-0000-000058AF0000}"/>
    <cellStyle name="Note 3 4 2 3 2 2 2 2" xfId="45092" xr:uid="{00000000-0005-0000-0000-000059AF0000}"/>
    <cellStyle name="Note 3 4 2 3 2 2 3" xfId="33791" xr:uid="{00000000-0005-0000-0000-00005AAF0000}"/>
    <cellStyle name="Note 3 4 2 3 2 3" xfId="16840" xr:uid="{00000000-0005-0000-0000-00005BAF0000}"/>
    <cellStyle name="Note 3 4 2 3 2 3 2" xfId="39442" xr:uid="{00000000-0005-0000-0000-00005CAF0000}"/>
    <cellStyle name="Note 3 4 2 3 2 4" xfId="28141" xr:uid="{00000000-0005-0000-0000-00005DAF0000}"/>
    <cellStyle name="Note 3 4 2 3 3" xfId="8356" xr:uid="{00000000-0005-0000-0000-00005EAF0000}"/>
    <cellStyle name="Note 3 4 2 3 3 2" xfId="19657" xr:uid="{00000000-0005-0000-0000-00005FAF0000}"/>
    <cellStyle name="Note 3 4 2 3 3 2 2" xfId="42259" xr:uid="{00000000-0005-0000-0000-000060AF0000}"/>
    <cellStyle name="Note 3 4 2 3 3 3" xfId="30958" xr:uid="{00000000-0005-0000-0000-000061AF0000}"/>
    <cellStyle name="Note 3 4 2 3 4" xfId="14007" xr:uid="{00000000-0005-0000-0000-000062AF0000}"/>
    <cellStyle name="Note 3 4 2 3 4 2" xfId="36609" xr:uid="{00000000-0005-0000-0000-000063AF0000}"/>
    <cellStyle name="Note 3 4 2 3 5" xfId="25308" xr:uid="{00000000-0005-0000-0000-000064AF0000}"/>
    <cellStyle name="Note 3 4 2 4" xfId="4305" xr:uid="{00000000-0005-0000-0000-000065AF0000}"/>
    <cellStyle name="Note 3 4 2 4 2" xfId="9955" xr:uid="{00000000-0005-0000-0000-000066AF0000}"/>
    <cellStyle name="Note 3 4 2 4 2 2" xfId="21256" xr:uid="{00000000-0005-0000-0000-000067AF0000}"/>
    <cellStyle name="Note 3 4 2 4 2 2 2" xfId="43858" xr:uid="{00000000-0005-0000-0000-000068AF0000}"/>
    <cellStyle name="Note 3 4 2 4 2 3" xfId="32557" xr:uid="{00000000-0005-0000-0000-000069AF0000}"/>
    <cellStyle name="Note 3 4 2 4 3" xfId="15606" xr:uid="{00000000-0005-0000-0000-00006AAF0000}"/>
    <cellStyle name="Note 3 4 2 4 3 2" xfId="38208" xr:uid="{00000000-0005-0000-0000-00006BAF0000}"/>
    <cellStyle name="Note 3 4 2 4 4" xfId="26907" xr:uid="{00000000-0005-0000-0000-00006CAF0000}"/>
    <cellStyle name="Note 3 4 2 5" xfId="7103" xr:uid="{00000000-0005-0000-0000-00006DAF0000}"/>
    <cellStyle name="Note 3 4 2 5 2" xfId="18404" xr:uid="{00000000-0005-0000-0000-00006EAF0000}"/>
    <cellStyle name="Note 3 4 2 5 2 2" xfId="41006" xr:uid="{00000000-0005-0000-0000-00006FAF0000}"/>
    <cellStyle name="Note 3 4 2 5 3" xfId="29705" xr:uid="{00000000-0005-0000-0000-000070AF0000}"/>
    <cellStyle name="Note 3 4 2 6" xfId="12754" xr:uid="{00000000-0005-0000-0000-000071AF0000}"/>
    <cellStyle name="Note 3 4 2 6 2" xfId="35356" xr:uid="{00000000-0005-0000-0000-000072AF0000}"/>
    <cellStyle name="Note 3 4 2 7" xfId="24055" xr:uid="{00000000-0005-0000-0000-000073AF0000}"/>
    <cellStyle name="Note 3 4 3" xfId="794" xr:uid="{00000000-0005-0000-0000-000074AF0000}"/>
    <cellStyle name="Note 3 4 3 2" xfId="2885" xr:uid="{00000000-0005-0000-0000-000075AF0000}"/>
    <cellStyle name="Note 3 4 3 2 2" xfId="5857" xr:uid="{00000000-0005-0000-0000-000076AF0000}"/>
    <cellStyle name="Note 3 4 3 2 2 2" xfId="11507" xr:uid="{00000000-0005-0000-0000-000077AF0000}"/>
    <cellStyle name="Note 3 4 3 2 2 2 2" xfId="22808" xr:uid="{00000000-0005-0000-0000-000078AF0000}"/>
    <cellStyle name="Note 3 4 3 2 2 2 2 2" xfId="45410" xr:uid="{00000000-0005-0000-0000-000079AF0000}"/>
    <cellStyle name="Note 3 4 3 2 2 2 3" xfId="34109" xr:uid="{00000000-0005-0000-0000-00007AAF0000}"/>
    <cellStyle name="Note 3 4 3 2 2 3" xfId="17158" xr:uid="{00000000-0005-0000-0000-00007BAF0000}"/>
    <cellStyle name="Note 3 4 3 2 2 3 2" xfId="39760" xr:uid="{00000000-0005-0000-0000-00007CAF0000}"/>
    <cellStyle name="Note 3 4 3 2 2 4" xfId="28459" xr:uid="{00000000-0005-0000-0000-00007DAF0000}"/>
    <cellStyle name="Note 3 4 3 2 3" xfId="8675" xr:uid="{00000000-0005-0000-0000-00007EAF0000}"/>
    <cellStyle name="Note 3 4 3 2 3 2" xfId="19976" xr:uid="{00000000-0005-0000-0000-00007FAF0000}"/>
    <cellStyle name="Note 3 4 3 2 3 2 2" xfId="42578" xr:uid="{00000000-0005-0000-0000-000080AF0000}"/>
    <cellStyle name="Note 3 4 3 2 3 3" xfId="31277" xr:uid="{00000000-0005-0000-0000-000081AF0000}"/>
    <cellStyle name="Note 3 4 3 2 4" xfId="14326" xr:uid="{00000000-0005-0000-0000-000082AF0000}"/>
    <cellStyle name="Note 3 4 3 2 4 2" xfId="36928" xr:uid="{00000000-0005-0000-0000-000083AF0000}"/>
    <cellStyle name="Note 3 4 3 2 5" xfId="25627" xr:uid="{00000000-0005-0000-0000-000084AF0000}"/>
    <cellStyle name="Note 3 4 3 3" xfId="4623" xr:uid="{00000000-0005-0000-0000-000085AF0000}"/>
    <cellStyle name="Note 3 4 3 3 2" xfId="10273" xr:uid="{00000000-0005-0000-0000-000086AF0000}"/>
    <cellStyle name="Note 3 4 3 3 2 2" xfId="21574" xr:uid="{00000000-0005-0000-0000-000087AF0000}"/>
    <cellStyle name="Note 3 4 3 3 2 2 2" xfId="44176" xr:uid="{00000000-0005-0000-0000-000088AF0000}"/>
    <cellStyle name="Note 3 4 3 3 2 3" xfId="32875" xr:uid="{00000000-0005-0000-0000-000089AF0000}"/>
    <cellStyle name="Note 3 4 3 3 3" xfId="15924" xr:uid="{00000000-0005-0000-0000-00008AAF0000}"/>
    <cellStyle name="Note 3 4 3 3 3 2" xfId="38526" xr:uid="{00000000-0005-0000-0000-00008BAF0000}"/>
    <cellStyle name="Note 3 4 3 3 4" xfId="27225" xr:uid="{00000000-0005-0000-0000-00008CAF0000}"/>
    <cellStyle name="Note 3 4 3 4" xfId="6805" xr:uid="{00000000-0005-0000-0000-00008DAF0000}"/>
    <cellStyle name="Note 3 4 3 4 2" xfId="18106" xr:uid="{00000000-0005-0000-0000-00008EAF0000}"/>
    <cellStyle name="Note 3 4 3 4 2 2" xfId="40708" xr:uid="{00000000-0005-0000-0000-00008FAF0000}"/>
    <cellStyle name="Note 3 4 3 4 3" xfId="29407" xr:uid="{00000000-0005-0000-0000-000090AF0000}"/>
    <cellStyle name="Note 3 4 3 5" xfId="12456" xr:uid="{00000000-0005-0000-0000-000091AF0000}"/>
    <cellStyle name="Note 3 4 3 5 2" xfId="35058" xr:uid="{00000000-0005-0000-0000-000092AF0000}"/>
    <cellStyle name="Note 3 4 3 6" xfId="23757" xr:uid="{00000000-0005-0000-0000-000093AF0000}"/>
    <cellStyle name="Note 3 4 4" xfId="2145" xr:uid="{00000000-0005-0000-0000-000094AF0000}"/>
    <cellStyle name="Note 3 4 4 2" xfId="3878" xr:uid="{00000000-0005-0000-0000-000095AF0000}"/>
    <cellStyle name="Note 3 4 4 2 2" xfId="9586" xr:uid="{00000000-0005-0000-0000-000096AF0000}"/>
    <cellStyle name="Note 3 4 4 2 2 2" xfId="20887" xr:uid="{00000000-0005-0000-0000-000097AF0000}"/>
    <cellStyle name="Note 3 4 4 2 2 2 2" xfId="43489" xr:uid="{00000000-0005-0000-0000-000098AF0000}"/>
    <cellStyle name="Note 3 4 4 2 2 3" xfId="32188" xr:uid="{00000000-0005-0000-0000-000099AF0000}"/>
    <cellStyle name="Note 3 4 4 2 3" xfId="15237" xr:uid="{00000000-0005-0000-0000-00009AAF0000}"/>
    <cellStyle name="Note 3 4 4 2 3 2" xfId="37839" xr:uid="{00000000-0005-0000-0000-00009BAF0000}"/>
    <cellStyle name="Note 3 4 4 2 4" xfId="26538" xr:uid="{00000000-0005-0000-0000-00009CAF0000}"/>
    <cellStyle name="Note 3 4 4 3" xfId="5233" xr:uid="{00000000-0005-0000-0000-00009DAF0000}"/>
    <cellStyle name="Note 3 4 4 3 2" xfId="10883" xr:uid="{00000000-0005-0000-0000-00009EAF0000}"/>
    <cellStyle name="Note 3 4 4 3 2 2" xfId="22184" xr:uid="{00000000-0005-0000-0000-00009FAF0000}"/>
    <cellStyle name="Note 3 4 4 3 2 2 2" xfId="44786" xr:uid="{00000000-0005-0000-0000-0000A0AF0000}"/>
    <cellStyle name="Note 3 4 4 3 2 3" xfId="33485" xr:uid="{00000000-0005-0000-0000-0000A1AF0000}"/>
    <cellStyle name="Note 3 4 4 3 3" xfId="16534" xr:uid="{00000000-0005-0000-0000-0000A2AF0000}"/>
    <cellStyle name="Note 3 4 4 3 3 2" xfId="39136" xr:uid="{00000000-0005-0000-0000-0000A3AF0000}"/>
    <cellStyle name="Note 3 4 4 3 4" xfId="27835" xr:uid="{00000000-0005-0000-0000-0000A4AF0000}"/>
    <cellStyle name="Note 3 4 4 4" xfId="8001" xr:uid="{00000000-0005-0000-0000-0000A5AF0000}"/>
    <cellStyle name="Note 3 4 4 4 2" xfId="19302" xr:uid="{00000000-0005-0000-0000-0000A6AF0000}"/>
    <cellStyle name="Note 3 4 4 4 2 2" xfId="41904" xr:uid="{00000000-0005-0000-0000-0000A7AF0000}"/>
    <cellStyle name="Note 3 4 4 4 3" xfId="30603" xr:uid="{00000000-0005-0000-0000-0000A8AF0000}"/>
    <cellStyle name="Note 3 4 4 5" xfId="13652" xr:uid="{00000000-0005-0000-0000-0000A9AF0000}"/>
    <cellStyle name="Note 3 4 4 5 2" xfId="36254" xr:uid="{00000000-0005-0000-0000-0000AAAF0000}"/>
    <cellStyle name="Note 3 4 4 6" xfId="24953" xr:uid="{00000000-0005-0000-0000-0000ABAF0000}"/>
    <cellStyle name="Note 3 4 5" xfId="2204" xr:uid="{00000000-0005-0000-0000-0000ACAF0000}"/>
    <cellStyle name="Note 3 4 5 2" xfId="8047" xr:uid="{00000000-0005-0000-0000-0000ADAF0000}"/>
    <cellStyle name="Note 3 4 5 2 2" xfId="19348" xr:uid="{00000000-0005-0000-0000-0000AEAF0000}"/>
    <cellStyle name="Note 3 4 5 2 2 2" xfId="41950" xr:uid="{00000000-0005-0000-0000-0000AFAF0000}"/>
    <cellStyle name="Note 3 4 5 2 3" xfId="30649" xr:uid="{00000000-0005-0000-0000-0000B0AF0000}"/>
    <cellStyle name="Note 3 4 5 3" xfId="13698" xr:uid="{00000000-0005-0000-0000-0000B1AF0000}"/>
    <cellStyle name="Note 3 4 5 3 2" xfId="36300" xr:uid="{00000000-0005-0000-0000-0000B2AF0000}"/>
    <cellStyle name="Note 3 4 5 4" xfId="24999" xr:uid="{00000000-0005-0000-0000-0000B3AF0000}"/>
    <cellStyle name="Note 3 4 6" xfId="3999" xr:uid="{00000000-0005-0000-0000-0000B4AF0000}"/>
    <cellStyle name="Note 3 4 6 2" xfId="9649" xr:uid="{00000000-0005-0000-0000-0000B5AF0000}"/>
    <cellStyle name="Note 3 4 6 2 2" xfId="20950" xr:uid="{00000000-0005-0000-0000-0000B6AF0000}"/>
    <cellStyle name="Note 3 4 6 2 2 2" xfId="43552" xr:uid="{00000000-0005-0000-0000-0000B7AF0000}"/>
    <cellStyle name="Note 3 4 6 2 3" xfId="32251" xr:uid="{00000000-0005-0000-0000-0000B8AF0000}"/>
    <cellStyle name="Note 3 4 6 3" xfId="15300" xr:uid="{00000000-0005-0000-0000-0000B9AF0000}"/>
    <cellStyle name="Note 3 4 6 3 2" xfId="37902" xr:uid="{00000000-0005-0000-0000-0000BAAF0000}"/>
    <cellStyle name="Note 3 4 6 4" xfId="26601" xr:uid="{00000000-0005-0000-0000-0000BBAF0000}"/>
    <cellStyle name="Note 3 4 7" xfId="6617" xr:uid="{00000000-0005-0000-0000-0000BCAF0000}"/>
    <cellStyle name="Note 3 4 7 2" xfId="17918" xr:uid="{00000000-0005-0000-0000-0000BDAF0000}"/>
    <cellStyle name="Note 3 4 7 2 2" xfId="40520" xr:uid="{00000000-0005-0000-0000-0000BEAF0000}"/>
    <cellStyle name="Note 3 4 7 3" xfId="29219" xr:uid="{00000000-0005-0000-0000-0000BFAF0000}"/>
    <cellStyle name="Note 3 4 8" xfId="12268" xr:uid="{00000000-0005-0000-0000-0000C0AF0000}"/>
    <cellStyle name="Note 3 4 8 2" xfId="34870" xr:uid="{00000000-0005-0000-0000-0000C1AF0000}"/>
    <cellStyle name="Note 3 4 9" xfId="23569" xr:uid="{00000000-0005-0000-0000-0000C2AF0000}"/>
    <cellStyle name="Note 3 5" xfId="482" xr:uid="{00000000-0005-0000-0000-0000C3AF0000}"/>
    <cellStyle name="Note 3 6" xfId="850" xr:uid="{00000000-0005-0000-0000-0000C4AF0000}"/>
    <cellStyle name="Note 3 7" xfId="6450" xr:uid="{00000000-0005-0000-0000-0000C5AF0000}"/>
    <cellStyle name="Note 3 7 2" xfId="17751" xr:uid="{00000000-0005-0000-0000-0000C6AF0000}"/>
    <cellStyle name="Note 3 7 2 2" xfId="40353" xr:uid="{00000000-0005-0000-0000-0000C7AF0000}"/>
    <cellStyle name="Note 3 7 3" xfId="29052" xr:uid="{00000000-0005-0000-0000-0000C8AF0000}"/>
    <cellStyle name="Note 3 8" xfId="12101" xr:uid="{00000000-0005-0000-0000-0000C9AF0000}"/>
    <cellStyle name="Note 3 8 2" xfId="34703" xr:uid="{00000000-0005-0000-0000-0000CAAF0000}"/>
    <cellStyle name="Note 3 9" xfId="23402" xr:uid="{00000000-0005-0000-0000-0000CBAF0000}"/>
    <cellStyle name="Note 4" xfId="232" xr:uid="{00000000-0005-0000-0000-0000CCAF0000}"/>
    <cellStyle name="Note 4 10" xfId="6464" xr:uid="{00000000-0005-0000-0000-0000CDAF0000}"/>
    <cellStyle name="Note 4 10 2" xfId="17765" xr:uid="{00000000-0005-0000-0000-0000CEAF0000}"/>
    <cellStyle name="Note 4 10 2 2" xfId="40367" xr:uid="{00000000-0005-0000-0000-0000CFAF0000}"/>
    <cellStyle name="Note 4 10 3" xfId="29066" xr:uid="{00000000-0005-0000-0000-0000D0AF0000}"/>
    <cellStyle name="Note 4 11" xfId="12115" xr:uid="{00000000-0005-0000-0000-0000D1AF0000}"/>
    <cellStyle name="Note 4 11 2" xfId="34717" xr:uid="{00000000-0005-0000-0000-0000D2AF0000}"/>
    <cellStyle name="Note 4 12" xfId="23416" xr:uid="{00000000-0005-0000-0000-0000D3AF0000}"/>
    <cellStyle name="Note 4 2" xfId="355" xr:uid="{00000000-0005-0000-0000-0000D4AF0000}"/>
    <cellStyle name="Note 4 2 10" xfId="23463" xr:uid="{00000000-0005-0000-0000-0000D5AF0000}"/>
    <cellStyle name="Note 4 2 2" xfId="613" xr:uid="{00000000-0005-0000-0000-0000D6AF0000}"/>
    <cellStyle name="Note 4 2 2 2" xfId="1323" xr:uid="{00000000-0005-0000-0000-0000D7AF0000}"/>
    <cellStyle name="Note 4 2 2 2 2" xfId="2150" xr:uid="{00000000-0005-0000-0000-0000D8AF0000}"/>
    <cellStyle name="Note 4 2 2 2 2 2" xfId="3392" xr:uid="{00000000-0005-0000-0000-0000D9AF0000}"/>
    <cellStyle name="Note 4 2 2 2 2 2 2" xfId="6364" xr:uid="{00000000-0005-0000-0000-0000DAAF0000}"/>
    <cellStyle name="Note 4 2 2 2 2 2 2 2" xfId="12014" xr:uid="{00000000-0005-0000-0000-0000DBAF0000}"/>
    <cellStyle name="Note 4 2 2 2 2 2 2 2 2" xfId="23315" xr:uid="{00000000-0005-0000-0000-0000DCAF0000}"/>
    <cellStyle name="Note 4 2 2 2 2 2 2 2 2 2" xfId="45917" xr:uid="{00000000-0005-0000-0000-0000DDAF0000}"/>
    <cellStyle name="Note 4 2 2 2 2 2 2 2 3" xfId="34616" xr:uid="{00000000-0005-0000-0000-0000DEAF0000}"/>
    <cellStyle name="Note 4 2 2 2 2 2 2 3" xfId="17665" xr:uid="{00000000-0005-0000-0000-0000DFAF0000}"/>
    <cellStyle name="Note 4 2 2 2 2 2 2 3 2" xfId="40267" xr:uid="{00000000-0005-0000-0000-0000E0AF0000}"/>
    <cellStyle name="Note 4 2 2 2 2 2 2 4" xfId="28966" xr:uid="{00000000-0005-0000-0000-0000E1AF0000}"/>
    <cellStyle name="Note 4 2 2 2 2 2 3" xfId="9182" xr:uid="{00000000-0005-0000-0000-0000E2AF0000}"/>
    <cellStyle name="Note 4 2 2 2 2 2 3 2" xfId="20483" xr:uid="{00000000-0005-0000-0000-0000E3AF0000}"/>
    <cellStyle name="Note 4 2 2 2 2 2 3 2 2" xfId="43085" xr:uid="{00000000-0005-0000-0000-0000E4AF0000}"/>
    <cellStyle name="Note 4 2 2 2 2 2 3 3" xfId="31784" xr:uid="{00000000-0005-0000-0000-0000E5AF0000}"/>
    <cellStyle name="Note 4 2 2 2 2 2 4" xfId="14833" xr:uid="{00000000-0005-0000-0000-0000E6AF0000}"/>
    <cellStyle name="Note 4 2 2 2 2 2 4 2" xfId="37435" xr:uid="{00000000-0005-0000-0000-0000E7AF0000}"/>
    <cellStyle name="Note 4 2 2 2 2 2 5" xfId="26134" xr:uid="{00000000-0005-0000-0000-0000E8AF0000}"/>
    <cellStyle name="Note 4 2 2 2 2 3" xfId="5130" xr:uid="{00000000-0005-0000-0000-0000E9AF0000}"/>
    <cellStyle name="Note 4 2 2 2 2 3 2" xfId="10780" xr:uid="{00000000-0005-0000-0000-0000EAAF0000}"/>
    <cellStyle name="Note 4 2 2 2 2 3 2 2" xfId="22081" xr:uid="{00000000-0005-0000-0000-0000EBAF0000}"/>
    <cellStyle name="Note 4 2 2 2 2 3 2 2 2" xfId="44683" xr:uid="{00000000-0005-0000-0000-0000ECAF0000}"/>
    <cellStyle name="Note 4 2 2 2 2 3 2 3" xfId="33382" xr:uid="{00000000-0005-0000-0000-0000EDAF0000}"/>
    <cellStyle name="Note 4 2 2 2 2 3 3" xfId="16431" xr:uid="{00000000-0005-0000-0000-0000EEAF0000}"/>
    <cellStyle name="Note 4 2 2 2 2 3 3 2" xfId="39033" xr:uid="{00000000-0005-0000-0000-0000EFAF0000}"/>
    <cellStyle name="Note 4 2 2 2 2 3 4" xfId="27732" xr:uid="{00000000-0005-0000-0000-0000F0AF0000}"/>
    <cellStyle name="Note 4 2 2 2 2 4" xfId="8006" xr:uid="{00000000-0005-0000-0000-0000F1AF0000}"/>
    <cellStyle name="Note 4 2 2 2 2 4 2" xfId="19307" xr:uid="{00000000-0005-0000-0000-0000F2AF0000}"/>
    <cellStyle name="Note 4 2 2 2 2 4 2 2" xfId="41909" xr:uid="{00000000-0005-0000-0000-0000F3AF0000}"/>
    <cellStyle name="Note 4 2 2 2 2 4 3" xfId="30608" xr:uid="{00000000-0005-0000-0000-0000F4AF0000}"/>
    <cellStyle name="Note 4 2 2 2 2 5" xfId="13657" xr:uid="{00000000-0005-0000-0000-0000F5AF0000}"/>
    <cellStyle name="Note 4 2 2 2 2 5 2" xfId="36259" xr:uid="{00000000-0005-0000-0000-0000F6AF0000}"/>
    <cellStyle name="Note 4 2 2 2 2 6" xfId="24958" xr:uid="{00000000-0005-0000-0000-0000F7AF0000}"/>
    <cellStyle name="Note 4 2 2 2 3" xfId="2721" xr:uid="{00000000-0005-0000-0000-0000F8AF0000}"/>
    <cellStyle name="Note 4 2 2 2 3 2" xfId="5740" xr:uid="{00000000-0005-0000-0000-0000F9AF0000}"/>
    <cellStyle name="Note 4 2 2 2 3 2 2" xfId="11390" xr:uid="{00000000-0005-0000-0000-0000FAAF0000}"/>
    <cellStyle name="Note 4 2 2 2 3 2 2 2" xfId="22691" xr:uid="{00000000-0005-0000-0000-0000FBAF0000}"/>
    <cellStyle name="Note 4 2 2 2 3 2 2 2 2" xfId="45293" xr:uid="{00000000-0005-0000-0000-0000FCAF0000}"/>
    <cellStyle name="Note 4 2 2 2 3 2 2 3" xfId="33992" xr:uid="{00000000-0005-0000-0000-0000FDAF0000}"/>
    <cellStyle name="Note 4 2 2 2 3 2 3" xfId="17041" xr:uid="{00000000-0005-0000-0000-0000FEAF0000}"/>
    <cellStyle name="Note 4 2 2 2 3 2 3 2" xfId="39643" xr:uid="{00000000-0005-0000-0000-0000FFAF0000}"/>
    <cellStyle name="Note 4 2 2 2 3 2 4" xfId="28342" xr:uid="{00000000-0005-0000-0000-000000B00000}"/>
    <cellStyle name="Note 4 2 2 2 3 3" xfId="8557" xr:uid="{00000000-0005-0000-0000-000001B00000}"/>
    <cellStyle name="Note 4 2 2 2 3 3 2" xfId="19858" xr:uid="{00000000-0005-0000-0000-000002B00000}"/>
    <cellStyle name="Note 4 2 2 2 3 3 2 2" xfId="42460" xr:uid="{00000000-0005-0000-0000-000003B00000}"/>
    <cellStyle name="Note 4 2 2 2 3 3 3" xfId="31159" xr:uid="{00000000-0005-0000-0000-000004B00000}"/>
    <cellStyle name="Note 4 2 2 2 3 4" xfId="14208" xr:uid="{00000000-0005-0000-0000-000005B00000}"/>
    <cellStyle name="Note 4 2 2 2 3 4 2" xfId="36810" xr:uid="{00000000-0005-0000-0000-000006B00000}"/>
    <cellStyle name="Note 4 2 2 2 3 5" xfId="25509" xr:uid="{00000000-0005-0000-0000-000007B00000}"/>
    <cellStyle name="Note 4 2 2 2 4" xfId="4506" xr:uid="{00000000-0005-0000-0000-000008B00000}"/>
    <cellStyle name="Note 4 2 2 2 4 2" xfId="10156" xr:uid="{00000000-0005-0000-0000-000009B00000}"/>
    <cellStyle name="Note 4 2 2 2 4 2 2" xfId="21457" xr:uid="{00000000-0005-0000-0000-00000AB00000}"/>
    <cellStyle name="Note 4 2 2 2 4 2 2 2" xfId="44059" xr:uid="{00000000-0005-0000-0000-00000BB00000}"/>
    <cellStyle name="Note 4 2 2 2 4 2 3" xfId="32758" xr:uid="{00000000-0005-0000-0000-00000CB00000}"/>
    <cellStyle name="Note 4 2 2 2 4 3" xfId="15807" xr:uid="{00000000-0005-0000-0000-00000DB00000}"/>
    <cellStyle name="Note 4 2 2 2 4 3 2" xfId="38409" xr:uid="{00000000-0005-0000-0000-00000EB00000}"/>
    <cellStyle name="Note 4 2 2 2 4 4" xfId="27108" xr:uid="{00000000-0005-0000-0000-00000FB00000}"/>
    <cellStyle name="Note 4 2 2 2 5" xfId="7302" xr:uid="{00000000-0005-0000-0000-000010B00000}"/>
    <cellStyle name="Note 4 2 2 2 5 2" xfId="18603" xr:uid="{00000000-0005-0000-0000-000011B00000}"/>
    <cellStyle name="Note 4 2 2 2 5 2 2" xfId="41205" xr:uid="{00000000-0005-0000-0000-000012B00000}"/>
    <cellStyle name="Note 4 2 2 2 5 3" xfId="29904" xr:uid="{00000000-0005-0000-0000-000013B00000}"/>
    <cellStyle name="Note 4 2 2 2 6" xfId="12953" xr:uid="{00000000-0005-0000-0000-000014B00000}"/>
    <cellStyle name="Note 4 2 2 2 6 2" xfId="35555" xr:uid="{00000000-0005-0000-0000-000015B00000}"/>
    <cellStyle name="Note 4 2 2 2 7" xfId="24254" xr:uid="{00000000-0005-0000-0000-000016B00000}"/>
    <cellStyle name="Note 4 2 2 3" xfId="1021" xr:uid="{00000000-0005-0000-0000-000017B00000}"/>
    <cellStyle name="Note 4 2 2 3 2" xfId="3084" xr:uid="{00000000-0005-0000-0000-000018B00000}"/>
    <cellStyle name="Note 4 2 2 3 2 2" xfId="6056" xr:uid="{00000000-0005-0000-0000-000019B00000}"/>
    <cellStyle name="Note 4 2 2 3 2 2 2" xfId="11706" xr:uid="{00000000-0005-0000-0000-00001AB00000}"/>
    <cellStyle name="Note 4 2 2 3 2 2 2 2" xfId="23007" xr:uid="{00000000-0005-0000-0000-00001BB00000}"/>
    <cellStyle name="Note 4 2 2 3 2 2 2 2 2" xfId="45609" xr:uid="{00000000-0005-0000-0000-00001CB00000}"/>
    <cellStyle name="Note 4 2 2 3 2 2 2 3" xfId="34308" xr:uid="{00000000-0005-0000-0000-00001DB00000}"/>
    <cellStyle name="Note 4 2 2 3 2 2 3" xfId="17357" xr:uid="{00000000-0005-0000-0000-00001EB00000}"/>
    <cellStyle name="Note 4 2 2 3 2 2 3 2" xfId="39959" xr:uid="{00000000-0005-0000-0000-00001FB00000}"/>
    <cellStyle name="Note 4 2 2 3 2 2 4" xfId="28658" xr:uid="{00000000-0005-0000-0000-000020B00000}"/>
    <cellStyle name="Note 4 2 2 3 2 3" xfId="8874" xr:uid="{00000000-0005-0000-0000-000021B00000}"/>
    <cellStyle name="Note 4 2 2 3 2 3 2" xfId="20175" xr:uid="{00000000-0005-0000-0000-000022B00000}"/>
    <cellStyle name="Note 4 2 2 3 2 3 2 2" xfId="42777" xr:uid="{00000000-0005-0000-0000-000023B00000}"/>
    <cellStyle name="Note 4 2 2 3 2 3 3" xfId="31476" xr:uid="{00000000-0005-0000-0000-000024B00000}"/>
    <cellStyle name="Note 4 2 2 3 2 4" xfId="14525" xr:uid="{00000000-0005-0000-0000-000025B00000}"/>
    <cellStyle name="Note 4 2 2 3 2 4 2" xfId="37127" xr:uid="{00000000-0005-0000-0000-000026B00000}"/>
    <cellStyle name="Note 4 2 2 3 2 5" xfId="25826" xr:uid="{00000000-0005-0000-0000-000027B00000}"/>
    <cellStyle name="Note 4 2 2 3 3" xfId="4822" xr:uid="{00000000-0005-0000-0000-000028B00000}"/>
    <cellStyle name="Note 4 2 2 3 3 2" xfId="10472" xr:uid="{00000000-0005-0000-0000-000029B00000}"/>
    <cellStyle name="Note 4 2 2 3 3 2 2" xfId="21773" xr:uid="{00000000-0005-0000-0000-00002AB00000}"/>
    <cellStyle name="Note 4 2 2 3 3 2 2 2" xfId="44375" xr:uid="{00000000-0005-0000-0000-00002BB00000}"/>
    <cellStyle name="Note 4 2 2 3 3 2 3" xfId="33074" xr:uid="{00000000-0005-0000-0000-00002CB00000}"/>
    <cellStyle name="Note 4 2 2 3 3 3" xfId="16123" xr:uid="{00000000-0005-0000-0000-00002DB00000}"/>
    <cellStyle name="Note 4 2 2 3 3 3 2" xfId="38725" xr:uid="{00000000-0005-0000-0000-00002EB00000}"/>
    <cellStyle name="Note 4 2 2 3 3 4" xfId="27424" xr:uid="{00000000-0005-0000-0000-00002FB00000}"/>
    <cellStyle name="Note 4 2 2 3 4" xfId="7009" xr:uid="{00000000-0005-0000-0000-000030B00000}"/>
    <cellStyle name="Note 4 2 2 3 4 2" xfId="18310" xr:uid="{00000000-0005-0000-0000-000031B00000}"/>
    <cellStyle name="Note 4 2 2 3 4 2 2" xfId="40912" xr:uid="{00000000-0005-0000-0000-000032B00000}"/>
    <cellStyle name="Note 4 2 2 3 4 3" xfId="29611" xr:uid="{00000000-0005-0000-0000-000033B00000}"/>
    <cellStyle name="Note 4 2 2 3 5" xfId="12660" xr:uid="{00000000-0005-0000-0000-000034B00000}"/>
    <cellStyle name="Note 4 2 2 3 5 2" xfId="35262" xr:uid="{00000000-0005-0000-0000-000035B00000}"/>
    <cellStyle name="Note 4 2 2 3 6" xfId="23961" xr:uid="{00000000-0005-0000-0000-000036B00000}"/>
    <cellStyle name="Note 4 2 2 4" xfId="2149" xr:uid="{00000000-0005-0000-0000-000037B00000}"/>
    <cellStyle name="Note 4 2 2 4 2" xfId="3881" xr:uid="{00000000-0005-0000-0000-000038B00000}"/>
    <cellStyle name="Note 4 2 2 4 2 2" xfId="9589" xr:uid="{00000000-0005-0000-0000-000039B00000}"/>
    <cellStyle name="Note 4 2 2 4 2 2 2" xfId="20890" xr:uid="{00000000-0005-0000-0000-00003AB00000}"/>
    <cellStyle name="Note 4 2 2 4 2 2 2 2" xfId="43492" xr:uid="{00000000-0005-0000-0000-00003BB00000}"/>
    <cellStyle name="Note 4 2 2 4 2 2 3" xfId="32191" xr:uid="{00000000-0005-0000-0000-00003CB00000}"/>
    <cellStyle name="Note 4 2 2 4 2 3" xfId="15240" xr:uid="{00000000-0005-0000-0000-00003DB00000}"/>
    <cellStyle name="Note 4 2 2 4 2 3 2" xfId="37842" xr:uid="{00000000-0005-0000-0000-00003EB00000}"/>
    <cellStyle name="Note 4 2 2 4 2 4" xfId="26541" xr:uid="{00000000-0005-0000-0000-00003FB00000}"/>
    <cellStyle name="Note 4 2 2 4 3" xfId="5432" xr:uid="{00000000-0005-0000-0000-000040B00000}"/>
    <cellStyle name="Note 4 2 2 4 3 2" xfId="11082" xr:uid="{00000000-0005-0000-0000-000041B00000}"/>
    <cellStyle name="Note 4 2 2 4 3 2 2" xfId="22383" xr:uid="{00000000-0005-0000-0000-000042B00000}"/>
    <cellStyle name="Note 4 2 2 4 3 2 2 2" xfId="44985" xr:uid="{00000000-0005-0000-0000-000043B00000}"/>
    <cellStyle name="Note 4 2 2 4 3 2 3" xfId="33684" xr:uid="{00000000-0005-0000-0000-000044B00000}"/>
    <cellStyle name="Note 4 2 2 4 3 3" xfId="16733" xr:uid="{00000000-0005-0000-0000-000045B00000}"/>
    <cellStyle name="Note 4 2 2 4 3 3 2" xfId="39335" xr:uid="{00000000-0005-0000-0000-000046B00000}"/>
    <cellStyle name="Note 4 2 2 4 3 4" xfId="28034" xr:uid="{00000000-0005-0000-0000-000047B00000}"/>
    <cellStyle name="Note 4 2 2 4 4" xfId="8005" xr:uid="{00000000-0005-0000-0000-000048B00000}"/>
    <cellStyle name="Note 4 2 2 4 4 2" xfId="19306" xr:uid="{00000000-0005-0000-0000-000049B00000}"/>
    <cellStyle name="Note 4 2 2 4 4 2 2" xfId="41908" xr:uid="{00000000-0005-0000-0000-00004AB00000}"/>
    <cellStyle name="Note 4 2 2 4 4 3" xfId="30607" xr:uid="{00000000-0005-0000-0000-00004BB00000}"/>
    <cellStyle name="Note 4 2 2 4 5" xfId="13656" xr:uid="{00000000-0005-0000-0000-00004CB00000}"/>
    <cellStyle name="Note 4 2 2 4 5 2" xfId="36258" xr:uid="{00000000-0005-0000-0000-00004DB00000}"/>
    <cellStyle name="Note 4 2 2 4 6" xfId="24957" xr:uid="{00000000-0005-0000-0000-00004EB00000}"/>
    <cellStyle name="Note 4 2 2 5" xfId="2413" xr:uid="{00000000-0005-0000-0000-00004FB00000}"/>
    <cellStyle name="Note 4 2 2 5 2" xfId="8249" xr:uid="{00000000-0005-0000-0000-000050B00000}"/>
    <cellStyle name="Note 4 2 2 5 2 2" xfId="19550" xr:uid="{00000000-0005-0000-0000-000051B00000}"/>
    <cellStyle name="Note 4 2 2 5 2 2 2" xfId="42152" xr:uid="{00000000-0005-0000-0000-000052B00000}"/>
    <cellStyle name="Note 4 2 2 5 2 3" xfId="30851" xr:uid="{00000000-0005-0000-0000-000053B00000}"/>
    <cellStyle name="Note 4 2 2 5 3" xfId="13900" xr:uid="{00000000-0005-0000-0000-000054B00000}"/>
    <cellStyle name="Note 4 2 2 5 3 2" xfId="36502" xr:uid="{00000000-0005-0000-0000-000055B00000}"/>
    <cellStyle name="Note 4 2 2 5 4" xfId="25201" xr:uid="{00000000-0005-0000-0000-000056B00000}"/>
    <cellStyle name="Note 4 2 2 6" xfId="4198" xr:uid="{00000000-0005-0000-0000-000057B00000}"/>
    <cellStyle name="Note 4 2 2 6 2" xfId="9848" xr:uid="{00000000-0005-0000-0000-000058B00000}"/>
    <cellStyle name="Note 4 2 2 6 2 2" xfId="21149" xr:uid="{00000000-0005-0000-0000-000059B00000}"/>
    <cellStyle name="Note 4 2 2 6 2 2 2" xfId="43751" xr:uid="{00000000-0005-0000-0000-00005AB00000}"/>
    <cellStyle name="Note 4 2 2 6 2 3" xfId="32450" xr:uid="{00000000-0005-0000-0000-00005BB00000}"/>
    <cellStyle name="Note 4 2 2 6 3" xfId="15499" xr:uid="{00000000-0005-0000-0000-00005CB00000}"/>
    <cellStyle name="Note 4 2 2 6 3 2" xfId="38101" xr:uid="{00000000-0005-0000-0000-00005DB00000}"/>
    <cellStyle name="Note 4 2 2 6 4" xfId="26800" xr:uid="{00000000-0005-0000-0000-00005EB00000}"/>
    <cellStyle name="Note 4 2 2 7" xfId="6678" xr:uid="{00000000-0005-0000-0000-00005FB00000}"/>
    <cellStyle name="Note 4 2 2 7 2" xfId="17979" xr:uid="{00000000-0005-0000-0000-000060B00000}"/>
    <cellStyle name="Note 4 2 2 7 2 2" xfId="40581" xr:uid="{00000000-0005-0000-0000-000061B00000}"/>
    <cellStyle name="Note 4 2 2 7 3" xfId="29280" xr:uid="{00000000-0005-0000-0000-000062B00000}"/>
    <cellStyle name="Note 4 2 2 8" xfId="12329" xr:uid="{00000000-0005-0000-0000-000063B00000}"/>
    <cellStyle name="Note 4 2 2 8 2" xfId="34931" xr:uid="{00000000-0005-0000-0000-000064B00000}"/>
    <cellStyle name="Note 4 2 2 9" xfId="23630" xr:uid="{00000000-0005-0000-0000-000065B00000}"/>
    <cellStyle name="Note 4 2 3" xfId="1185" xr:uid="{00000000-0005-0000-0000-000066B00000}"/>
    <cellStyle name="Note 4 2 3 2" xfId="2151" xr:uid="{00000000-0005-0000-0000-000067B00000}"/>
    <cellStyle name="Note 4 2 3 2 2" xfId="3253" xr:uid="{00000000-0005-0000-0000-000068B00000}"/>
    <cellStyle name="Note 4 2 3 2 2 2" xfId="6225" xr:uid="{00000000-0005-0000-0000-000069B00000}"/>
    <cellStyle name="Note 4 2 3 2 2 2 2" xfId="11875" xr:uid="{00000000-0005-0000-0000-00006AB00000}"/>
    <cellStyle name="Note 4 2 3 2 2 2 2 2" xfId="23176" xr:uid="{00000000-0005-0000-0000-00006BB00000}"/>
    <cellStyle name="Note 4 2 3 2 2 2 2 2 2" xfId="45778" xr:uid="{00000000-0005-0000-0000-00006CB00000}"/>
    <cellStyle name="Note 4 2 3 2 2 2 2 3" xfId="34477" xr:uid="{00000000-0005-0000-0000-00006DB00000}"/>
    <cellStyle name="Note 4 2 3 2 2 2 3" xfId="17526" xr:uid="{00000000-0005-0000-0000-00006EB00000}"/>
    <cellStyle name="Note 4 2 3 2 2 2 3 2" xfId="40128" xr:uid="{00000000-0005-0000-0000-00006FB00000}"/>
    <cellStyle name="Note 4 2 3 2 2 2 4" xfId="28827" xr:uid="{00000000-0005-0000-0000-000070B00000}"/>
    <cellStyle name="Note 4 2 3 2 2 3" xfId="9043" xr:uid="{00000000-0005-0000-0000-000071B00000}"/>
    <cellStyle name="Note 4 2 3 2 2 3 2" xfId="20344" xr:uid="{00000000-0005-0000-0000-000072B00000}"/>
    <cellStyle name="Note 4 2 3 2 2 3 2 2" xfId="42946" xr:uid="{00000000-0005-0000-0000-000073B00000}"/>
    <cellStyle name="Note 4 2 3 2 2 3 3" xfId="31645" xr:uid="{00000000-0005-0000-0000-000074B00000}"/>
    <cellStyle name="Note 4 2 3 2 2 4" xfId="14694" xr:uid="{00000000-0005-0000-0000-000075B00000}"/>
    <cellStyle name="Note 4 2 3 2 2 4 2" xfId="37296" xr:uid="{00000000-0005-0000-0000-000076B00000}"/>
    <cellStyle name="Note 4 2 3 2 2 5" xfId="25995" xr:uid="{00000000-0005-0000-0000-000077B00000}"/>
    <cellStyle name="Note 4 2 3 2 3" xfId="4991" xr:uid="{00000000-0005-0000-0000-000078B00000}"/>
    <cellStyle name="Note 4 2 3 2 3 2" xfId="10641" xr:uid="{00000000-0005-0000-0000-000079B00000}"/>
    <cellStyle name="Note 4 2 3 2 3 2 2" xfId="21942" xr:uid="{00000000-0005-0000-0000-00007AB00000}"/>
    <cellStyle name="Note 4 2 3 2 3 2 2 2" xfId="44544" xr:uid="{00000000-0005-0000-0000-00007BB00000}"/>
    <cellStyle name="Note 4 2 3 2 3 2 3" xfId="33243" xr:uid="{00000000-0005-0000-0000-00007CB00000}"/>
    <cellStyle name="Note 4 2 3 2 3 3" xfId="16292" xr:uid="{00000000-0005-0000-0000-00007DB00000}"/>
    <cellStyle name="Note 4 2 3 2 3 3 2" xfId="38894" xr:uid="{00000000-0005-0000-0000-00007EB00000}"/>
    <cellStyle name="Note 4 2 3 2 3 4" xfId="27593" xr:uid="{00000000-0005-0000-0000-00007FB00000}"/>
    <cellStyle name="Note 4 2 3 2 4" xfId="8007" xr:uid="{00000000-0005-0000-0000-000080B00000}"/>
    <cellStyle name="Note 4 2 3 2 4 2" xfId="19308" xr:uid="{00000000-0005-0000-0000-000081B00000}"/>
    <cellStyle name="Note 4 2 3 2 4 2 2" xfId="41910" xr:uid="{00000000-0005-0000-0000-000082B00000}"/>
    <cellStyle name="Note 4 2 3 2 4 3" xfId="30609" xr:uid="{00000000-0005-0000-0000-000083B00000}"/>
    <cellStyle name="Note 4 2 3 2 5" xfId="13658" xr:uid="{00000000-0005-0000-0000-000084B00000}"/>
    <cellStyle name="Note 4 2 3 2 5 2" xfId="36260" xr:uid="{00000000-0005-0000-0000-000085B00000}"/>
    <cellStyle name="Note 4 2 3 2 6" xfId="24959" xr:uid="{00000000-0005-0000-0000-000086B00000}"/>
    <cellStyle name="Note 4 2 3 3" xfId="2582" xr:uid="{00000000-0005-0000-0000-000087B00000}"/>
    <cellStyle name="Note 4 2 3 3 2" xfId="5601" xr:uid="{00000000-0005-0000-0000-000088B00000}"/>
    <cellStyle name="Note 4 2 3 3 2 2" xfId="11251" xr:uid="{00000000-0005-0000-0000-000089B00000}"/>
    <cellStyle name="Note 4 2 3 3 2 2 2" xfId="22552" xr:uid="{00000000-0005-0000-0000-00008AB00000}"/>
    <cellStyle name="Note 4 2 3 3 2 2 2 2" xfId="45154" xr:uid="{00000000-0005-0000-0000-00008BB00000}"/>
    <cellStyle name="Note 4 2 3 3 2 2 3" xfId="33853" xr:uid="{00000000-0005-0000-0000-00008CB00000}"/>
    <cellStyle name="Note 4 2 3 3 2 3" xfId="16902" xr:uid="{00000000-0005-0000-0000-00008DB00000}"/>
    <cellStyle name="Note 4 2 3 3 2 3 2" xfId="39504" xr:uid="{00000000-0005-0000-0000-00008EB00000}"/>
    <cellStyle name="Note 4 2 3 3 2 4" xfId="28203" xr:uid="{00000000-0005-0000-0000-00008FB00000}"/>
    <cellStyle name="Note 4 2 3 3 3" xfId="8418" xr:uid="{00000000-0005-0000-0000-000090B00000}"/>
    <cellStyle name="Note 4 2 3 3 3 2" xfId="19719" xr:uid="{00000000-0005-0000-0000-000091B00000}"/>
    <cellStyle name="Note 4 2 3 3 3 2 2" xfId="42321" xr:uid="{00000000-0005-0000-0000-000092B00000}"/>
    <cellStyle name="Note 4 2 3 3 3 3" xfId="31020" xr:uid="{00000000-0005-0000-0000-000093B00000}"/>
    <cellStyle name="Note 4 2 3 3 4" xfId="14069" xr:uid="{00000000-0005-0000-0000-000094B00000}"/>
    <cellStyle name="Note 4 2 3 3 4 2" xfId="36671" xr:uid="{00000000-0005-0000-0000-000095B00000}"/>
    <cellStyle name="Note 4 2 3 3 5" xfId="25370" xr:uid="{00000000-0005-0000-0000-000096B00000}"/>
    <cellStyle name="Note 4 2 3 4" xfId="4367" xr:uid="{00000000-0005-0000-0000-000097B00000}"/>
    <cellStyle name="Note 4 2 3 4 2" xfId="10017" xr:uid="{00000000-0005-0000-0000-000098B00000}"/>
    <cellStyle name="Note 4 2 3 4 2 2" xfId="21318" xr:uid="{00000000-0005-0000-0000-000099B00000}"/>
    <cellStyle name="Note 4 2 3 4 2 2 2" xfId="43920" xr:uid="{00000000-0005-0000-0000-00009AB00000}"/>
    <cellStyle name="Note 4 2 3 4 2 3" xfId="32619" xr:uid="{00000000-0005-0000-0000-00009BB00000}"/>
    <cellStyle name="Note 4 2 3 4 3" xfId="15668" xr:uid="{00000000-0005-0000-0000-00009CB00000}"/>
    <cellStyle name="Note 4 2 3 4 3 2" xfId="38270" xr:uid="{00000000-0005-0000-0000-00009DB00000}"/>
    <cellStyle name="Note 4 2 3 4 4" xfId="26969" xr:uid="{00000000-0005-0000-0000-00009EB00000}"/>
    <cellStyle name="Note 4 2 3 5" xfId="7164" xr:uid="{00000000-0005-0000-0000-00009FB00000}"/>
    <cellStyle name="Note 4 2 3 5 2" xfId="18465" xr:uid="{00000000-0005-0000-0000-0000A0B00000}"/>
    <cellStyle name="Note 4 2 3 5 2 2" xfId="41067" xr:uid="{00000000-0005-0000-0000-0000A1B00000}"/>
    <cellStyle name="Note 4 2 3 5 3" xfId="29766" xr:uid="{00000000-0005-0000-0000-0000A2B00000}"/>
    <cellStyle name="Note 4 2 3 6" xfId="12815" xr:uid="{00000000-0005-0000-0000-0000A3B00000}"/>
    <cellStyle name="Note 4 2 3 6 2" xfId="35417" xr:uid="{00000000-0005-0000-0000-0000A4B00000}"/>
    <cellStyle name="Note 4 2 3 7" xfId="24116" xr:uid="{00000000-0005-0000-0000-0000A5B00000}"/>
    <cellStyle name="Note 4 2 4" xfId="875" xr:uid="{00000000-0005-0000-0000-0000A6B00000}"/>
    <cellStyle name="Note 4 2 4 2" xfId="2946" xr:uid="{00000000-0005-0000-0000-0000A7B00000}"/>
    <cellStyle name="Note 4 2 4 2 2" xfId="5918" xr:uid="{00000000-0005-0000-0000-0000A8B00000}"/>
    <cellStyle name="Note 4 2 4 2 2 2" xfId="11568" xr:uid="{00000000-0005-0000-0000-0000A9B00000}"/>
    <cellStyle name="Note 4 2 4 2 2 2 2" xfId="22869" xr:uid="{00000000-0005-0000-0000-0000AAB00000}"/>
    <cellStyle name="Note 4 2 4 2 2 2 2 2" xfId="45471" xr:uid="{00000000-0005-0000-0000-0000ABB00000}"/>
    <cellStyle name="Note 4 2 4 2 2 2 3" xfId="34170" xr:uid="{00000000-0005-0000-0000-0000ACB00000}"/>
    <cellStyle name="Note 4 2 4 2 2 3" xfId="17219" xr:uid="{00000000-0005-0000-0000-0000ADB00000}"/>
    <cellStyle name="Note 4 2 4 2 2 3 2" xfId="39821" xr:uid="{00000000-0005-0000-0000-0000AEB00000}"/>
    <cellStyle name="Note 4 2 4 2 2 4" xfId="28520" xr:uid="{00000000-0005-0000-0000-0000AFB00000}"/>
    <cellStyle name="Note 4 2 4 2 3" xfId="8736" xr:uid="{00000000-0005-0000-0000-0000B0B00000}"/>
    <cellStyle name="Note 4 2 4 2 3 2" xfId="20037" xr:uid="{00000000-0005-0000-0000-0000B1B00000}"/>
    <cellStyle name="Note 4 2 4 2 3 2 2" xfId="42639" xr:uid="{00000000-0005-0000-0000-0000B2B00000}"/>
    <cellStyle name="Note 4 2 4 2 3 3" xfId="31338" xr:uid="{00000000-0005-0000-0000-0000B3B00000}"/>
    <cellStyle name="Note 4 2 4 2 4" xfId="14387" xr:uid="{00000000-0005-0000-0000-0000B4B00000}"/>
    <cellStyle name="Note 4 2 4 2 4 2" xfId="36989" xr:uid="{00000000-0005-0000-0000-0000B5B00000}"/>
    <cellStyle name="Note 4 2 4 2 5" xfId="25688" xr:uid="{00000000-0005-0000-0000-0000B6B00000}"/>
    <cellStyle name="Note 4 2 4 3" xfId="4684" xr:uid="{00000000-0005-0000-0000-0000B7B00000}"/>
    <cellStyle name="Note 4 2 4 3 2" xfId="10334" xr:uid="{00000000-0005-0000-0000-0000B8B00000}"/>
    <cellStyle name="Note 4 2 4 3 2 2" xfId="21635" xr:uid="{00000000-0005-0000-0000-0000B9B00000}"/>
    <cellStyle name="Note 4 2 4 3 2 2 2" xfId="44237" xr:uid="{00000000-0005-0000-0000-0000BAB00000}"/>
    <cellStyle name="Note 4 2 4 3 2 3" xfId="32936" xr:uid="{00000000-0005-0000-0000-0000BBB00000}"/>
    <cellStyle name="Note 4 2 4 3 3" xfId="15985" xr:uid="{00000000-0005-0000-0000-0000BCB00000}"/>
    <cellStyle name="Note 4 2 4 3 3 2" xfId="38587" xr:uid="{00000000-0005-0000-0000-0000BDB00000}"/>
    <cellStyle name="Note 4 2 4 3 4" xfId="27286" xr:uid="{00000000-0005-0000-0000-0000BEB00000}"/>
    <cellStyle name="Note 4 2 4 4" xfId="6871" xr:uid="{00000000-0005-0000-0000-0000BFB00000}"/>
    <cellStyle name="Note 4 2 4 4 2" xfId="18172" xr:uid="{00000000-0005-0000-0000-0000C0B00000}"/>
    <cellStyle name="Note 4 2 4 4 2 2" xfId="40774" xr:uid="{00000000-0005-0000-0000-0000C1B00000}"/>
    <cellStyle name="Note 4 2 4 4 3" xfId="29473" xr:uid="{00000000-0005-0000-0000-0000C2B00000}"/>
    <cellStyle name="Note 4 2 4 5" xfId="12522" xr:uid="{00000000-0005-0000-0000-0000C3B00000}"/>
    <cellStyle name="Note 4 2 4 5 2" xfId="35124" xr:uid="{00000000-0005-0000-0000-0000C4B00000}"/>
    <cellStyle name="Note 4 2 4 6" xfId="23823" xr:uid="{00000000-0005-0000-0000-0000C5B00000}"/>
    <cellStyle name="Note 4 2 5" xfId="2148" xr:uid="{00000000-0005-0000-0000-0000C6B00000}"/>
    <cellStyle name="Note 4 2 5 2" xfId="3880" xr:uid="{00000000-0005-0000-0000-0000C7B00000}"/>
    <cellStyle name="Note 4 2 5 2 2" xfId="9588" xr:uid="{00000000-0005-0000-0000-0000C8B00000}"/>
    <cellStyle name="Note 4 2 5 2 2 2" xfId="20889" xr:uid="{00000000-0005-0000-0000-0000C9B00000}"/>
    <cellStyle name="Note 4 2 5 2 2 2 2" xfId="43491" xr:uid="{00000000-0005-0000-0000-0000CAB00000}"/>
    <cellStyle name="Note 4 2 5 2 2 3" xfId="32190" xr:uid="{00000000-0005-0000-0000-0000CBB00000}"/>
    <cellStyle name="Note 4 2 5 2 3" xfId="15239" xr:uid="{00000000-0005-0000-0000-0000CCB00000}"/>
    <cellStyle name="Note 4 2 5 2 3 2" xfId="37841" xr:uid="{00000000-0005-0000-0000-0000CDB00000}"/>
    <cellStyle name="Note 4 2 5 2 4" xfId="26540" xr:uid="{00000000-0005-0000-0000-0000CEB00000}"/>
    <cellStyle name="Note 4 2 5 3" xfId="5294" xr:uid="{00000000-0005-0000-0000-0000CFB00000}"/>
    <cellStyle name="Note 4 2 5 3 2" xfId="10944" xr:uid="{00000000-0005-0000-0000-0000D0B00000}"/>
    <cellStyle name="Note 4 2 5 3 2 2" xfId="22245" xr:uid="{00000000-0005-0000-0000-0000D1B00000}"/>
    <cellStyle name="Note 4 2 5 3 2 2 2" xfId="44847" xr:uid="{00000000-0005-0000-0000-0000D2B00000}"/>
    <cellStyle name="Note 4 2 5 3 2 3" xfId="33546" xr:uid="{00000000-0005-0000-0000-0000D3B00000}"/>
    <cellStyle name="Note 4 2 5 3 3" xfId="16595" xr:uid="{00000000-0005-0000-0000-0000D4B00000}"/>
    <cellStyle name="Note 4 2 5 3 3 2" xfId="39197" xr:uid="{00000000-0005-0000-0000-0000D5B00000}"/>
    <cellStyle name="Note 4 2 5 3 4" xfId="27896" xr:uid="{00000000-0005-0000-0000-0000D6B00000}"/>
    <cellStyle name="Note 4 2 5 4" xfId="8004" xr:uid="{00000000-0005-0000-0000-0000D7B00000}"/>
    <cellStyle name="Note 4 2 5 4 2" xfId="19305" xr:uid="{00000000-0005-0000-0000-0000D8B00000}"/>
    <cellStyle name="Note 4 2 5 4 2 2" xfId="41907" xr:uid="{00000000-0005-0000-0000-0000D9B00000}"/>
    <cellStyle name="Note 4 2 5 4 3" xfId="30606" xr:uid="{00000000-0005-0000-0000-0000DAB00000}"/>
    <cellStyle name="Note 4 2 5 5" xfId="13655" xr:uid="{00000000-0005-0000-0000-0000DBB00000}"/>
    <cellStyle name="Note 4 2 5 5 2" xfId="36257" xr:uid="{00000000-0005-0000-0000-0000DCB00000}"/>
    <cellStyle name="Note 4 2 5 6" xfId="24956" xr:uid="{00000000-0005-0000-0000-0000DDB00000}"/>
    <cellStyle name="Note 4 2 6" xfId="2273" xr:uid="{00000000-0005-0000-0000-0000DEB00000}"/>
    <cellStyle name="Note 4 2 6 2" xfId="8109" xr:uid="{00000000-0005-0000-0000-0000DFB00000}"/>
    <cellStyle name="Note 4 2 6 2 2" xfId="19410" xr:uid="{00000000-0005-0000-0000-0000E0B00000}"/>
    <cellStyle name="Note 4 2 6 2 2 2" xfId="42012" xr:uid="{00000000-0005-0000-0000-0000E1B00000}"/>
    <cellStyle name="Note 4 2 6 2 3" xfId="30711" xr:uid="{00000000-0005-0000-0000-0000E2B00000}"/>
    <cellStyle name="Note 4 2 6 3" xfId="13760" xr:uid="{00000000-0005-0000-0000-0000E3B00000}"/>
    <cellStyle name="Note 4 2 6 3 2" xfId="36362" xr:uid="{00000000-0005-0000-0000-0000E4B00000}"/>
    <cellStyle name="Note 4 2 6 4" xfId="25061" xr:uid="{00000000-0005-0000-0000-0000E5B00000}"/>
    <cellStyle name="Note 4 2 7" xfId="4060" xr:uid="{00000000-0005-0000-0000-0000E6B00000}"/>
    <cellStyle name="Note 4 2 7 2" xfId="9710" xr:uid="{00000000-0005-0000-0000-0000E7B00000}"/>
    <cellStyle name="Note 4 2 7 2 2" xfId="21011" xr:uid="{00000000-0005-0000-0000-0000E8B00000}"/>
    <cellStyle name="Note 4 2 7 2 2 2" xfId="43613" xr:uid="{00000000-0005-0000-0000-0000E9B00000}"/>
    <cellStyle name="Note 4 2 7 2 3" xfId="32312" xr:uid="{00000000-0005-0000-0000-0000EAB00000}"/>
    <cellStyle name="Note 4 2 7 3" xfId="15361" xr:uid="{00000000-0005-0000-0000-0000EBB00000}"/>
    <cellStyle name="Note 4 2 7 3 2" xfId="37963" xr:uid="{00000000-0005-0000-0000-0000ECB00000}"/>
    <cellStyle name="Note 4 2 7 4" xfId="26662" xr:uid="{00000000-0005-0000-0000-0000EDB00000}"/>
    <cellStyle name="Note 4 2 8" xfId="6511" xr:uid="{00000000-0005-0000-0000-0000EEB00000}"/>
    <cellStyle name="Note 4 2 8 2" xfId="17812" xr:uid="{00000000-0005-0000-0000-0000EFB00000}"/>
    <cellStyle name="Note 4 2 8 2 2" xfId="40414" xr:uid="{00000000-0005-0000-0000-0000F0B00000}"/>
    <cellStyle name="Note 4 2 8 3" xfId="29113" xr:uid="{00000000-0005-0000-0000-0000F1B00000}"/>
    <cellStyle name="Note 4 2 9" xfId="12162" xr:uid="{00000000-0005-0000-0000-0000F2B00000}"/>
    <cellStyle name="Note 4 2 9 2" xfId="34764" xr:uid="{00000000-0005-0000-0000-0000F3B00000}"/>
    <cellStyle name="Note 4 3" xfId="417" xr:uid="{00000000-0005-0000-0000-0000F4B00000}"/>
    <cellStyle name="Note 4 3 10" xfId="23512" xr:uid="{00000000-0005-0000-0000-0000F5B00000}"/>
    <cellStyle name="Note 4 3 2" xfId="662" xr:uid="{00000000-0005-0000-0000-0000F6B00000}"/>
    <cellStyle name="Note 4 3 2 2" xfId="1372" xr:uid="{00000000-0005-0000-0000-0000F7B00000}"/>
    <cellStyle name="Note 4 3 2 2 2" xfId="2154" xr:uid="{00000000-0005-0000-0000-0000F8B00000}"/>
    <cellStyle name="Note 4 3 2 2 2 2" xfId="3441" xr:uid="{00000000-0005-0000-0000-0000F9B00000}"/>
    <cellStyle name="Note 4 3 2 2 2 2 2" xfId="6413" xr:uid="{00000000-0005-0000-0000-0000FAB00000}"/>
    <cellStyle name="Note 4 3 2 2 2 2 2 2" xfId="12063" xr:uid="{00000000-0005-0000-0000-0000FBB00000}"/>
    <cellStyle name="Note 4 3 2 2 2 2 2 2 2" xfId="23364" xr:uid="{00000000-0005-0000-0000-0000FCB00000}"/>
    <cellStyle name="Note 4 3 2 2 2 2 2 2 2 2" xfId="45966" xr:uid="{00000000-0005-0000-0000-0000FDB00000}"/>
    <cellStyle name="Note 4 3 2 2 2 2 2 2 3" xfId="34665" xr:uid="{00000000-0005-0000-0000-0000FEB00000}"/>
    <cellStyle name="Note 4 3 2 2 2 2 2 3" xfId="17714" xr:uid="{00000000-0005-0000-0000-0000FFB00000}"/>
    <cellStyle name="Note 4 3 2 2 2 2 2 3 2" xfId="40316" xr:uid="{00000000-0005-0000-0000-000000B10000}"/>
    <cellStyle name="Note 4 3 2 2 2 2 2 4" xfId="29015" xr:uid="{00000000-0005-0000-0000-000001B10000}"/>
    <cellStyle name="Note 4 3 2 2 2 2 3" xfId="9231" xr:uid="{00000000-0005-0000-0000-000002B10000}"/>
    <cellStyle name="Note 4 3 2 2 2 2 3 2" xfId="20532" xr:uid="{00000000-0005-0000-0000-000003B10000}"/>
    <cellStyle name="Note 4 3 2 2 2 2 3 2 2" xfId="43134" xr:uid="{00000000-0005-0000-0000-000004B10000}"/>
    <cellStyle name="Note 4 3 2 2 2 2 3 3" xfId="31833" xr:uid="{00000000-0005-0000-0000-000005B10000}"/>
    <cellStyle name="Note 4 3 2 2 2 2 4" xfId="14882" xr:uid="{00000000-0005-0000-0000-000006B10000}"/>
    <cellStyle name="Note 4 3 2 2 2 2 4 2" xfId="37484" xr:uid="{00000000-0005-0000-0000-000007B10000}"/>
    <cellStyle name="Note 4 3 2 2 2 2 5" xfId="26183" xr:uid="{00000000-0005-0000-0000-000008B10000}"/>
    <cellStyle name="Note 4 3 2 2 2 3" xfId="5179" xr:uid="{00000000-0005-0000-0000-000009B10000}"/>
    <cellStyle name="Note 4 3 2 2 2 3 2" xfId="10829" xr:uid="{00000000-0005-0000-0000-00000AB10000}"/>
    <cellStyle name="Note 4 3 2 2 2 3 2 2" xfId="22130" xr:uid="{00000000-0005-0000-0000-00000BB10000}"/>
    <cellStyle name="Note 4 3 2 2 2 3 2 2 2" xfId="44732" xr:uid="{00000000-0005-0000-0000-00000CB10000}"/>
    <cellStyle name="Note 4 3 2 2 2 3 2 3" xfId="33431" xr:uid="{00000000-0005-0000-0000-00000DB10000}"/>
    <cellStyle name="Note 4 3 2 2 2 3 3" xfId="16480" xr:uid="{00000000-0005-0000-0000-00000EB10000}"/>
    <cellStyle name="Note 4 3 2 2 2 3 3 2" xfId="39082" xr:uid="{00000000-0005-0000-0000-00000FB10000}"/>
    <cellStyle name="Note 4 3 2 2 2 3 4" xfId="27781" xr:uid="{00000000-0005-0000-0000-000010B10000}"/>
    <cellStyle name="Note 4 3 2 2 2 4" xfId="8010" xr:uid="{00000000-0005-0000-0000-000011B10000}"/>
    <cellStyle name="Note 4 3 2 2 2 4 2" xfId="19311" xr:uid="{00000000-0005-0000-0000-000012B10000}"/>
    <cellStyle name="Note 4 3 2 2 2 4 2 2" xfId="41913" xr:uid="{00000000-0005-0000-0000-000013B10000}"/>
    <cellStyle name="Note 4 3 2 2 2 4 3" xfId="30612" xr:uid="{00000000-0005-0000-0000-000014B10000}"/>
    <cellStyle name="Note 4 3 2 2 2 5" xfId="13661" xr:uid="{00000000-0005-0000-0000-000015B10000}"/>
    <cellStyle name="Note 4 3 2 2 2 5 2" xfId="36263" xr:uid="{00000000-0005-0000-0000-000016B10000}"/>
    <cellStyle name="Note 4 3 2 2 2 6" xfId="24962" xr:uid="{00000000-0005-0000-0000-000017B10000}"/>
    <cellStyle name="Note 4 3 2 2 3" xfId="2770" xr:uid="{00000000-0005-0000-0000-000018B10000}"/>
    <cellStyle name="Note 4 3 2 2 3 2" xfId="5789" xr:uid="{00000000-0005-0000-0000-000019B10000}"/>
    <cellStyle name="Note 4 3 2 2 3 2 2" xfId="11439" xr:uid="{00000000-0005-0000-0000-00001AB10000}"/>
    <cellStyle name="Note 4 3 2 2 3 2 2 2" xfId="22740" xr:uid="{00000000-0005-0000-0000-00001BB10000}"/>
    <cellStyle name="Note 4 3 2 2 3 2 2 2 2" xfId="45342" xr:uid="{00000000-0005-0000-0000-00001CB10000}"/>
    <cellStyle name="Note 4 3 2 2 3 2 2 3" xfId="34041" xr:uid="{00000000-0005-0000-0000-00001DB10000}"/>
    <cellStyle name="Note 4 3 2 2 3 2 3" xfId="17090" xr:uid="{00000000-0005-0000-0000-00001EB10000}"/>
    <cellStyle name="Note 4 3 2 2 3 2 3 2" xfId="39692" xr:uid="{00000000-0005-0000-0000-00001FB10000}"/>
    <cellStyle name="Note 4 3 2 2 3 2 4" xfId="28391" xr:uid="{00000000-0005-0000-0000-000020B10000}"/>
    <cellStyle name="Note 4 3 2 2 3 3" xfId="8606" xr:uid="{00000000-0005-0000-0000-000021B10000}"/>
    <cellStyle name="Note 4 3 2 2 3 3 2" xfId="19907" xr:uid="{00000000-0005-0000-0000-000022B10000}"/>
    <cellStyle name="Note 4 3 2 2 3 3 2 2" xfId="42509" xr:uid="{00000000-0005-0000-0000-000023B10000}"/>
    <cellStyle name="Note 4 3 2 2 3 3 3" xfId="31208" xr:uid="{00000000-0005-0000-0000-000024B10000}"/>
    <cellStyle name="Note 4 3 2 2 3 4" xfId="14257" xr:uid="{00000000-0005-0000-0000-000025B10000}"/>
    <cellStyle name="Note 4 3 2 2 3 4 2" xfId="36859" xr:uid="{00000000-0005-0000-0000-000026B10000}"/>
    <cellStyle name="Note 4 3 2 2 3 5" xfId="25558" xr:uid="{00000000-0005-0000-0000-000027B10000}"/>
    <cellStyle name="Note 4 3 2 2 4" xfId="4555" xr:uid="{00000000-0005-0000-0000-000028B10000}"/>
    <cellStyle name="Note 4 3 2 2 4 2" xfId="10205" xr:uid="{00000000-0005-0000-0000-000029B10000}"/>
    <cellStyle name="Note 4 3 2 2 4 2 2" xfId="21506" xr:uid="{00000000-0005-0000-0000-00002AB10000}"/>
    <cellStyle name="Note 4 3 2 2 4 2 2 2" xfId="44108" xr:uid="{00000000-0005-0000-0000-00002BB10000}"/>
    <cellStyle name="Note 4 3 2 2 4 2 3" xfId="32807" xr:uid="{00000000-0005-0000-0000-00002CB10000}"/>
    <cellStyle name="Note 4 3 2 2 4 3" xfId="15856" xr:uid="{00000000-0005-0000-0000-00002DB10000}"/>
    <cellStyle name="Note 4 3 2 2 4 3 2" xfId="38458" xr:uid="{00000000-0005-0000-0000-00002EB10000}"/>
    <cellStyle name="Note 4 3 2 2 4 4" xfId="27157" xr:uid="{00000000-0005-0000-0000-00002FB10000}"/>
    <cellStyle name="Note 4 3 2 2 5" xfId="7351" xr:uid="{00000000-0005-0000-0000-000030B10000}"/>
    <cellStyle name="Note 4 3 2 2 5 2" xfId="18652" xr:uid="{00000000-0005-0000-0000-000031B10000}"/>
    <cellStyle name="Note 4 3 2 2 5 2 2" xfId="41254" xr:uid="{00000000-0005-0000-0000-000032B10000}"/>
    <cellStyle name="Note 4 3 2 2 5 3" xfId="29953" xr:uid="{00000000-0005-0000-0000-000033B10000}"/>
    <cellStyle name="Note 4 3 2 2 6" xfId="13002" xr:uid="{00000000-0005-0000-0000-000034B10000}"/>
    <cellStyle name="Note 4 3 2 2 6 2" xfId="35604" xr:uid="{00000000-0005-0000-0000-000035B10000}"/>
    <cellStyle name="Note 4 3 2 2 7" xfId="24303" xr:uid="{00000000-0005-0000-0000-000036B10000}"/>
    <cellStyle name="Note 4 3 2 3" xfId="1070" xr:uid="{00000000-0005-0000-0000-000037B10000}"/>
    <cellStyle name="Note 4 3 2 3 2" xfId="3133" xr:uid="{00000000-0005-0000-0000-000038B10000}"/>
    <cellStyle name="Note 4 3 2 3 2 2" xfId="6105" xr:uid="{00000000-0005-0000-0000-000039B10000}"/>
    <cellStyle name="Note 4 3 2 3 2 2 2" xfId="11755" xr:uid="{00000000-0005-0000-0000-00003AB10000}"/>
    <cellStyle name="Note 4 3 2 3 2 2 2 2" xfId="23056" xr:uid="{00000000-0005-0000-0000-00003BB10000}"/>
    <cellStyle name="Note 4 3 2 3 2 2 2 2 2" xfId="45658" xr:uid="{00000000-0005-0000-0000-00003CB10000}"/>
    <cellStyle name="Note 4 3 2 3 2 2 2 3" xfId="34357" xr:uid="{00000000-0005-0000-0000-00003DB10000}"/>
    <cellStyle name="Note 4 3 2 3 2 2 3" xfId="17406" xr:uid="{00000000-0005-0000-0000-00003EB10000}"/>
    <cellStyle name="Note 4 3 2 3 2 2 3 2" xfId="40008" xr:uid="{00000000-0005-0000-0000-00003FB10000}"/>
    <cellStyle name="Note 4 3 2 3 2 2 4" xfId="28707" xr:uid="{00000000-0005-0000-0000-000040B10000}"/>
    <cellStyle name="Note 4 3 2 3 2 3" xfId="8923" xr:uid="{00000000-0005-0000-0000-000041B10000}"/>
    <cellStyle name="Note 4 3 2 3 2 3 2" xfId="20224" xr:uid="{00000000-0005-0000-0000-000042B10000}"/>
    <cellStyle name="Note 4 3 2 3 2 3 2 2" xfId="42826" xr:uid="{00000000-0005-0000-0000-000043B10000}"/>
    <cellStyle name="Note 4 3 2 3 2 3 3" xfId="31525" xr:uid="{00000000-0005-0000-0000-000044B10000}"/>
    <cellStyle name="Note 4 3 2 3 2 4" xfId="14574" xr:uid="{00000000-0005-0000-0000-000045B10000}"/>
    <cellStyle name="Note 4 3 2 3 2 4 2" xfId="37176" xr:uid="{00000000-0005-0000-0000-000046B10000}"/>
    <cellStyle name="Note 4 3 2 3 2 5" xfId="25875" xr:uid="{00000000-0005-0000-0000-000047B10000}"/>
    <cellStyle name="Note 4 3 2 3 3" xfId="4871" xr:uid="{00000000-0005-0000-0000-000048B10000}"/>
    <cellStyle name="Note 4 3 2 3 3 2" xfId="10521" xr:uid="{00000000-0005-0000-0000-000049B10000}"/>
    <cellStyle name="Note 4 3 2 3 3 2 2" xfId="21822" xr:uid="{00000000-0005-0000-0000-00004AB10000}"/>
    <cellStyle name="Note 4 3 2 3 3 2 2 2" xfId="44424" xr:uid="{00000000-0005-0000-0000-00004BB10000}"/>
    <cellStyle name="Note 4 3 2 3 3 2 3" xfId="33123" xr:uid="{00000000-0005-0000-0000-00004CB10000}"/>
    <cellStyle name="Note 4 3 2 3 3 3" xfId="16172" xr:uid="{00000000-0005-0000-0000-00004DB10000}"/>
    <cellStyle name="Note 4 3 2 3 3 3 2" xfId="38774" xr:uid="{00000000-0005-0000-0000-00004EB10000}"/>
    <cellStyle name="Note 4 3 2 3 3 4" xfId="27473" xr:uid="{00000000-0005-0000-0000-00004FB10000}"/>
    <cellStyle name="Note 4 3 2 3 4" xfId="7058" xr:uid="{00000000-0005-0000-0000-000050B10000}"/>
    <cellStyle name="Note 4 3 2 3 4 2" xfId="18359" xr:uid="{00000000-0005-0000-0000-000051B10000}"/>
    <cellStyle name="Note 4 3 2 3 4 2 2" xfId="40961" xr:uid="{00000000-0005-0000-0000-000052B10000}"/>
    <cellStyle name="Note 4 3 2 3 4 3" xfId="29660" xr:uid="{00000000-0005-0000-0000-000053B10000}"/>
    <cellStyle name="Note 4 3 2 3 5" xfId="12709" xr:uid="{00000000-0005-0000-0000-000054B10000}"/>
    <cellStyle name="Note 4 3 2 3 5 2" xfId="35311" xr:uid="{00000000-0005-0000-0000-000055B10000}"/>
    <cellStyle name="Note 4 3 2 3 6" xfId="24010" xr:uid="{00000000-0005-0000-0000-000056B10000}"/>
    <cellStyle name="Note 4 3 2 4" xfId="2153" xr:uid="{00000000-0005-0000-0000-000057B10000}"/>
    <cellStyle name="Note 4 3 2 4 2" xfId="3883" xr:uid="{00000000-0005-0000-0000-000058B10000}"/>
    <cellStyle name="Note 4 3 2 4 2 2" xfId="9591" xr:uid="{00000000-0005-0000-0000-000059B10000}"/>
    <cellStyle name="Note 4 3 2 4 2 2 2" xfId="20892" xr:uid="{00000000-0005-0000-0000-00005AB10000}"/>
    <cellStyle name="Note 4 3 2 4 2 2 2 2" xfId="43494" xr:uid="{00000000-0005-0000-0000-00005BB10000}"/>
    <cellStyle name="Note 4 3 2 4 2 2 3" xfId="32193" xr:uid="{00000000-0005-0000-0000-00005CB10000}"/>
    <cellStyle name="Note 4 3 2 4 2 3" xfId="15242" xr:uid="{00000000-0005-0000-0000-00005DB10000}"/>
    <cellStyle name="Note 4 3 2 4 2 3 2" xfId="37844" xr:uid="{00000000-0005-0000-0000-00005EB10000}"/>
    <cellStyle name="Note 4 3 2 4 2 4" xfId="26543" xr:uid="{00000000-0005-0000-0000-00005FB10000}"/>
    <cellStyle name="Note 4 3 2 4 3" xfId="5481" xr:uid="{00000000-0005-0000-0000-000060B10000}"/>
    <cellStyle name="Note 4 3 2 4 3 2" xfId="11131" xr:uid="{00000000-0005-0000-0000-000061B10000}"/>
    <cellStyle name="Note 4 3 2 4 3 2 2" xfId="22432" xr:uid="{00000000-0005-0000-0000-000062B10000}"/>
    <cellStyle name="Note 4 3 2 4 3 2 2 2" xfId="45034" xr:uid="{00000000-0005-0000-0000-000063B10000}"/>
    <cellStyle name="Note 4 3 2 4 3 2 3" xfId="33733" xr:uid="{00000000-0005-0000-0000-000064B10000}"/>
    <cellStyle name="Note 4 3 2 4 3 3" xfId="16782" xr:uid="{00000000-0005-0000-0000-000065B10000}"/>
    <cellStyle name="Note 4 3 2 4 3 3 2" xfId="39384" xr:uid="{00000000-0005-0000-0000-000066B10000}"/>
    <cellStyle name="Note 4 3 2 4 3 4" xfId="28083" xr:uid="{00000000-0005-0000-0000-000067B10000}"/>
    <cellStyle name="Note 4 3 2 4 4" xfId="8009" xr:uid="{00000000-0005-0000-0000-000068B10000}"/>
    <cellStyle name="Note 4 3 2 4 4 2" xfId="19310" xr:uid="{00000000-0005-0000-0000-000069B10000}"/>
    <cellStyle name="Note 4 3 2 4 4 2 2" xfId="41912" xr:uid="{00000000-0005-0000-0000-00006AB10000}"/>
    <cellStyle name="Note 4 3 2 4 4 3" xfId="30611" xr:uid="{00000000-0005-0000-0000-00006BB10000}"/>
    <cellStyle name="Note 4 3 2 4 5" xfId="13660" xr:uid="{00000000-0005-0000-0000-00006CB10000}"/>
    <cellStyle name="Note 4 3 2 4 5 2" xfId="36262" xr:uid="{00000000-0005-0000-0000-00006DB10000}"/>
    <cellStyle name="Note 4 3 2 4 6" xfId="24961" xr:uid="{00000000-0005-0000-0000-00006EB10000}"/>
    <cellStyle name="Note 4 3 2 5" xfId="2462" xr:uid="{00000000-0005-0000-0000-00006FB10000}"/>
    <cellStyle name="Note 4 3 2 5 2" xfId="8298" xr:uid="{00000000-0005-0000-0000-000070B10000}"/>
    <cellStyle name="Note 4 3 2 5 2 2" xfId="19599" xr:uid="{00000000-0005-0000-0000-000071B10000}"/>
    <cellStyle name="Note 4 3 2 5 2 2 2" xfId="42201" xr:uid="{00000000-0005-0000-0000-000072B10000}"/>
    <cellStyle name="Note 4 3 2 5 2 3" xfId="30900" xr:uid="{00000000-0005-0000-0000-000073B10000}"/>
    <cellStyle name="Note 4 3 2 5 3" xfId="13949" xr:uid="{00000000-0005-0000-0000-000074B10000}"/>
    <cellStyle name="Note 4 3 2 5 3 2" xfId="36551" xr:uid="{00000000-0005-0000-0000-000075B10000}"/>
    <cellStyle name="Note 4 3 2 5 4" xfId="25250" xr:uid="{00000000-0005-0000-0000-000076B10000}"/>
    <cellStyle name="Note 4 3 2 6" xfId="4247" xr:uid="{00000000-0005-0000-0000-000077B10000}"/>
    <cellStyle name="Note 4 3 2 6 2" xfId="9897" xr:uid="{00000000-0005-0000-0000-000078B10000}"/>
    <cellStyle name="Note 4 3 2 6 2 2" xfId="21198" xr:uid="{00000000-0005-0000-0000-000079B10000}"/>
    <cellStyle name="Note 4 3 2 6 2 2 2" xfId="43800" xr:uid="{00000000-0005-0000-0000-00007AB10000}"/>
    <cellStyle name="Note 4 3 2 6 2 3" xfId="32499" xr:uid="{00000000-0005-0000-0000-00007BB10000}"/>
    <cellStyle name="Note 4 3 2 6 3" xfId="15548" xr:uid="{00000000-0005-0000-0000-00007CB10000}"/>
    <cellStyle name="Note 4 3 2 6 3 2" xfId="38150" xr:uid="{00000000-0005-0000-0000-00007DB10000}"/>
    <cellStyle name="Note 4 3 2 6 4" xfId="26849" xr:uid="{00000000-0005-0000-0000-00007EB10000}"/>
    <cellStyle name="Note 4 3 2 7" xfId="6727" xr:uid="{00000000-0005-0000-0000-00007FB10000}"/>
    <cellStyle name="Note 4 3 2 7 2" xfId="18028" xr:uid="{00000000-0005-0000-0000-000080B10000}"/>
    <cellStyle name="Note 4 3 2 7 2 2" xfId="40630" xr:uid="{00000000-0005-0000-0000-000081B10000}"/>
    <cellStyle name="Note 4 3 2 7 3" xfId="29329" xr:uid="{00000000-0005-0000-0000-000082B10000}"/>
    <cellStyle name="Note 4 3 2 8" xfId="12378" xr:uid="{00000000-0005-0000-0000-000083B10000}"/>
    <cellStyle name="Note 4 3 2 8 2" xfId="34980" xr:uid="{00000000-0005-0000-0000-000084B10000}"/>
    <cellStyle name="Note 4 3 2 9" xfId="23679" xr:uid="{00000000-0005-0000-0000-000085B10000}"/>
    <cellStyle name="Note 4 3 3" xfId="1234" xr:uid="{00000000-0005-0000-0000-000086B10000}"/>
    <cellStyle name="Note 4 3 3 2" xfId="2155" xr:uid="{00000000-0005-0000-0000-000087B10000}"/>
    <cellStyle name="Note 4 3 3 2 2" xfId="3302" xr:uid="{00000000-0005-0000-0000-000088B10000}"/>
    <cellStyle name="Note 4 3 3 2 2 2" xfId="6274" xr:uid="{00000000-0005-0000-0000-000089B10000}"/>
    <cellStyle name="Note 4 3 3 2 2 2 2" xfId="11924" xr:uid="{00000000-0005-0000-0000-00008AB10000}"/>
    <cellStyle name="Note 4 3 3 2 2 2 2 2" xfId="23225" xr:uid="{00000000-0005-0000-0000-00008BB10000}"/>
    <cellStyle name="Note 4 3 3 2 2 2 2 2 2" xfId="45827" xr:uid="{00000000-0005-0000-0000-00008CB10000}"/>
    <cellStyle name="Note 4 3 3 2 2 2 2 3" xfId="34526" xr:uid="{00000000-0005-0000-0000-00008DB10000}"/>
    <cellStyle name="Note 4 3 3 2 2 2 3" xfId="17575" xr:uid="{00000000-0005-0000-0000-00008EB10000}"/>
    <cellStyle name="Note 4 3 3 2 2 2 3 2" xfId="40177" xr:uid="{00000000-0005-0000-0000-00008FB10000}"/>
    <cellStyle name="Note 4 3 3 2 2 2 4" xfId="28876" xr:uid="{00000000-0005-0000-0000-000090B10000}"/>
    <cellStyle name="Note 4 3 3 2 2 3" xfId="9092" xr:uid="{00000000-0005-0000-0000-000091B10000}"/>
    <cellStyle name="Note 4 3 3 2 2 3 2" xfId="20393" xr:uid="{00000000-0005-0000-0000-000092B10000}"/>
    <cellStyle name="Note 4 3 3 2 2 3 2 2" xfId="42995" xr:uid="{00000000-0005-0000-0000-000093B10000}"/>
    <cellStyle name="Note 4 3 3 2 2 3 3" xfId="31694" xr:uid="{00000000-0005-0000-0000-000094B10000}"/>
    <cellStyle name="Note 4 3 3 2 2 4" xfId="14743" xr:uid="{00000000-0005-0000-0000-000095B10000}"/>
    <cellStyle name="Note 4 3 3 2 2 4 2" xfId="37345" xr:uid="{00000000-0005-0000-0000-000096B10000}"/>
    <cellStyle name="Note 4 3 3 2 2 5" xfId="26044" xr:uid="{00000000-0005-0000-0000-000097B10000}"/>
    <cellStyle name="Note 4 3 3 2 3" xfId="5040" xr:uid="{00000000-0005-0000-0000-000098B10000}"/>
    <cellStyle name="Note 4 3 3 2 3 2" xfId="10690" xr:uid="{00000000-0005-0000-0000-000099B10000}"/>
    <cellStyle name="Note 4 3 3 2 3 2 2" xfId="21991" xr:uid="{00000000-0005-0000-0000-00009AB10000}"/>
    <cellStyle name="Note 4 3 3 2 3 2 2 2" xfId="44593" xr:uid="{00000000-0005-0000-0000-00009BB10000}"/>
    <cellStyle name="Note 4 3 3 2 3 2 3" xfId="33292" xr:uid="{00000000-0005-0000-0000-00009CB10000}"/>
    <cellStyle name="Note 4 3 3 2 3 3" xfId="16341" xr:uid="{00000000-0005-0000-0000-00009DB10000}"/>
    <cellStyle name="Note 4 3 3 2 3 3 2" xfId="38943" xr:uid="{00000000-0005-0000-0000-00009EB10000}"/>
    <cellStyle name="Note 4 3 3 2 3 4" xfId="27642" xr:uid="{00000000-0005-0000-0000-00009FB10000}"/>
    <cellStyle name="Note 4 3 3 2 4" xfId="8011" xr:uid="{00000000-0005-0000-0000-0000A0B10000}"/>
    <cellStyle name="Note 4 3 3 2 4 2" xfId="19312" xr:uid="{00000000-0005-0000-0000-0000A1B10000}"/>
    <cellStyle name="Note 4 3 3 2 4 2 2" xfId="41914" xr:uid="{00000000-0005-0000-0000-0000A2B10000}"/>
    <cellStyle name="Note 4 3 3 2 4 3" xfId="30613" xr:uid="{00000000-0005-0000-0000-0000A3B10000}"/>
    <cellStyle name="Note 4 3 3 2 5" xfId="13662" xr:uid="{00000000-0005-0000-0000-0000A4B10000}"/>
    <cellStyle name="Note 4 3 3 2 5 2" xfId="36264" xr:uid="{00000000-0005-0000-0000-0000A5B10000}"/>
    <cellStyle name="Note 4 3 3 2 6" xfId="24963" xr:uid="{00000000-0005-0000-0000-0000A6B10000}"/>
    <cellStyle name="Note 4 3 3 3" xfId="2631" xr:uid="{00000000-0005-0000-0000-0000A7B10000}"/>
    <cellStyle name="Note 4 3 3 3 2" xfId="5650" xr:uid="{00000000-0005-0000-0000-0000A8B10000}"/>
    <cellStyle name="Note 4 3 3 3 2 2" xfId="11300" xr:uid="{00000000-0005-0000-0000-0000A9B10000}"/>
    <cellStyle name="Note 4 3 3 3 2 2 2" xfId="22601" xr:uid="{00000000-0005-0000-0000-0000AAB10000}"/>
    <cellStyle name="Note 4 3 3 3 2 2 2 2" xfId="45203" xr:uid="{00000000-0005-0000-0000-0000ABB10000}"/>
    <cellStyle name="Note 4 3 3 3 2 2 3" xfId="33902" xr:uid="{00000000-0005-0000-0000-0000ACB10000}"/>
    <cellStyle name="Note 4 3 3 3 2 3" xfId="16951" xr:uid="{00000000-0005-0000-0000-0000ADB10000}"/>
    <cellStyle name="Note 4 3 3 3 2 3 2" xfId="39553" xr:uid="{00000000-0005-0000-0000-0000AEB10000}"/>
    <cellStyle name="Note 4 3 3 3 2 4" xfId="28252" xr:uid="{00000000-0005-0000-0000-0000AFB10000}"/>
    <cellStyle name="Note 4 3 3 3 3" xfId="8467" xr:uid="{00000000-0005-0000-0000-0000B0B10000}"/>
    <cellStyle name="Note 4 3 3 3 3 2" xfId="19768" xr:uid="{00000000-0005-0000-0000-0000B1B10000}"/>
    <cellStyle name="Note 4 3 3 3 3 2 2" xfId="42370" xr:uid="{00000000-0005-0000-0000-0000B2B10000}"/>
    <cellStyle name="Note 4 3 3 3 3 3" xfId="31069" xr:uid="{00000000-0005-0000-0000-0000B3B10000}"/>
    <cellStyle name="Note 4 3 3 3 4" xfId="14118" xr:uid="{00000000-0005-0000-0000-0000B4B10000}"/>
    <cellStyle name="Note 4 3 3 3 4 2" xfId="36720" xr:uid="{00000000-0005-0000-0000-0000B5B10000}"/>
    <cellStyle name="Note 4 3 3 3 5" xfId="25419" xr:uid="{00000000-0005-0000-0000-0000B6B10000}"/>
    <cellStyle name="Note 4 3 3 4" xfId="4416" xr:uid="{00000000-0005-0000-0000-0000B7B10000}"/>
    <cellStyle name="Note 4 3 3 4 2" xfId="10066" xr:uid="{00000000-0005-0000-0000-0000B8B10000}"/>
    <cellStyle name="Note 4 3 3 4 2 2" xfId="21367" xr:uid="{00000000-0005-0000-0000-0000B9B10000}"/>
    <cellStyle name="Note 4 3 3 4 2 2 2" xfId="43969" xr:uid="{00000000-0005-0000-0000-0000BAB10000}"/>
    <cellStyle name="Note 4 3 3 4 2 3" xfId="32668" xr:uid="{00000000-0005-0000-0000-0000BBB10000}"/>
    <cellStyle name="Note 4 3 3 4 3" xfId="15717" xr:uid="{00000000-0005-0000-0000-0000BCB10000}"/>
    <cellStyle name="Note 4 3 3 4 3 2" xfId="38319" xr:uid="{00000000-0005-0000-0000-0000BDB10000}"/>
    <cellStyle name="Note 4 3 3 4 4" xfId="27018" xr:uid="{00000000-0005-0000-0000-0000BEB10000}"/>
    <cellStyle name="Note 4 3 3 5" xfId="7213" xr:uid="{00000000-0005-0000-0000-0000BFB10000}"/>
    <cellStyle name="Note 4 3 3 5 2" xfId="18514" xr:uid="{00000000-0005-0000-0000-0000C0B10000}"/>
    <cellStyle name="Note 4 3 3 5 2 2" xfId="41116" xr:uid="{00000000-0005-0000-0000-0000C1B10000}"/>
    <cellStyle name="Note 4 3 3 5 3" xfId="29815" xr:uid="{00000000-0005-0000-0000-0000C2B10000}"/>
    <cellStyle name="Note 4 3 3 6" xfId="12864" xr:uid="{00000000-0005-0000-0000-0000C3B10000}"/>
    <cellStyle name="Note 4 3 3 6 2" xfId="35466" xr:uid="{00000000-0005-0000-0000-0000C4B10000}"/>
    <cellStyle name="Note 4 3 3 7" xfId="24165" xr:uid="{00000000-0005-0000-0000-0000C5B10000}"/>
    <cellStyle name="Note 4 3 4" xfId="925" xr:uid="{00000000-0005-0000-0000-0000C6B10000}"/>
    <cellStyle name="Note 4 3 4 2" xfId="2995" xr:uid="{00000000-0005-0000-0000-0000C7B10000}"/>
    <cellStyle name="Note 4 3 4 2 2" xfId="5967" xr:uid="{00000000-0005-0000-0000-0000C8B10000}"/>
    <cellStyle name="Note 4 3 4 2 2 2" xfId="11617" xr:uid="{00000000-0005-0000-0000-0000C9B10000}"/>
    <cellStyle name="Note 4 3 4 2 2 2 2" xfId="22918" xr:uid="{00000000-0005-0000-0000-0000CAB10000}"/>
    <cellStyle name="Note 4 3 4 2 2 2 2 2" xfId="45520" xr:uid="{00000000-0005-0000-0000-0000CBB10000}"/>
    <cellStyle name="Note 4 3 4 2 2 2 3" xfId="34219" xr:uid="{00000000-0005-0000-0000-0000CCB10000}"/>
    <cellStyle name="Note 4 3 4 2 2 3" xfId="17268" xr:uid="{00000000-0005-0000-0000-0000CDB10000}"/>
    <cellStyle name="Note 4 3 4 2 2 3 2" xfId="39870" xr:uid="{00000000-0005-0000-0000-0000CEB10000}"/>
    <cellStyle name="Note 4 3 4 2 2 4" xfId="28569" xr:uid="{00000000-0005-0000-0000-0000CFB10000}"/>
    <cellStyle name="Note 4 3 4 2 3" xfId="8785" xr:uid="{00000000-0005-0000-0000-0000D0B10000}"/>
    <cellStyle name="Note 4 3 4 2 3 2" xfId="20086" xr:uid="{00000000-0005-0000-0000-0000D1B10000}"/>
    <cellStyle name="Note 4 3 4 2 3 2 2" xfId="42688" xr:uid="{00000000-0005-0000-0000-0000D2B10000}"/>
    <cellStyle name="Note 4 3 4 2 3 3" xfId="31387" xr:uid="{00000000-0005-0000-0000-0000D3B10000}"/>
    <cellStyle name="Note 4 3 4 2 4" xfId="14436" xr:uid="{00000000-0005-0000-0000-0000D4B10000}"/>
    <cellStyle name="Note 4 3 4 2 4 2" xfId="37038" xr:uid="{00000000-0005-0000-0000-0000D5B10000}"/>
    <cellStyle name="Note 4 3 4 2 5" xfId="25737" xr:uid="{00000000-0005-0000-0000-0000D6B10000}"/>
    <cellStyle name="Note 4 3 4 3" xfId="4733" xr:uid="{00000000-0005-0000-0000-0000D7B10000}"/>
    <cellStyle name="Note 4 3 4 3 2" xfId="10383" xr:uid="{00000000-0005-0000-0000-0000D8B10000}"/>
    <cellStyle name="Note 4 3 4 3 2 2" xfId="21684" xr:uid="{00000000-0005-0000-0000-0000D9B10000}"/>
    <cellStyle name="Note 4 3 4 3 2 2 2" xfId="44286" xr:uid="{00000000-0005-0000-0000-0000DAB10000}"/>
    <cellStyle name="Note 4 3 4 3 2 3" xfId="32985" xr:uid="{00000000-0005-0000-0000-0000DBB10000}"/>
    <cellStyle name="Note 4 3 4 3 3" xfId="16034" xr:uid="{00000000-0005-0000-0000-0000DCB10000}"/>
    <cellStyle name="Note 4 3 4 3 3 2" xfId="38636" xr:uid="{00000000-0005-0000-0000-0000DDB10000}"/>
    <cellStyle name="Note 4 3 4 3 4" xfId="27335" xr:uid="{00000000-0005-0000-0000-0000DEB10000}"/>
    <cellStyle name="Note 4 3 4 4" xfId="6920" xr:uid="{00000000-0005-0000-0000-0000DFB10000}"/>
    <cellStyle name="Note 4 3 4 4 2" xfId="18221" xr:uid="{00000000-0005-0000-0000-0000E0B10000}"/>
    <cellStyle name="Note 4 3 4 4 2 2" xfId="40823" xr:uid="{00000000-0005-0000-0000-0000E1B10000}"/>
    <cellStyle name="Note 4 3 4 4 3" xfId="29522" xr:uid="{00000000-0005-0000-0000-0000E2B10000}"/>
    <cellStyle name="Note 4 3 4 5" xfId="12571" xr:uid="{00000000-0005-0000-0000-0000E3B10000}"/>
    <cellStyle name="Note 4 3 4 5 2" xfId="35173" xr:uid="{00000000-0005-0000-0000-0000E4B10000}"/>
    <cellStyle name="Note 4 3 4 6" xfId="23872" xr:uid="{00000000-0005-0000-0000-0000E5B10000}"/>
    <cellStyle name="Note 4 3 5" xfId="2152" xr:uid="{00000000-0005-0000-0000-0000E6B10000}"/>
    <cellStyle name="Note 4 3 5 2" xfId="3882" xr:uid="{00000000-0005-0000-0000-0000E7B10000}"/>
    <cellStyle name="Note 4 3 5 2 2" xfId="9590" xr:uid="{00000000-0005-0000-0000-0000E8B10000}"/>
    <cellStyle name="Note 4 3 5 2 2 2" xfId="20891" xr:uid="{00000000-0005-0000-0000-0000E9B10000}"/>
    <cellStyle name="Note 4 3 5 2 2 2 2" xfId="43493" xr:uid="{00000000-0005-0000-0000-0000EAB10000}"/>
    <cellStyle name="Note 4 3 5 2 2 3" xfId="32192" xr:uid="{00000000-0005-0000-0000-0000EBB10000}"/>
    <cellStyle name="Note 4 3 5 2 3" xfId="15241" xr:uid="{00000000-0005-0000-0000-0000ECB10000}"/>
    <cellStyle name="Note 4 3 5 2 3 2" xfId="37843" xr:uid="{00000000-0005-0000-0000-0000EDB10000}"/>
    <cellStyle name="Note 4 3 5 2 4" xfId="26542" xr:uid="{00000000-0005-0000-0000-0000EEB10000}"/>
    <cellStyle name="Note 4 3 5 3" xfId="5343" xr:uid="{00000000-0005-0000-0000-0000EFB10000}"/>
    <cellStyle name="Note 4 3 5 3 2" xfId="10993" xr:uid="{00000000-0005-0000-0000-0000F0B10000}"/>
    <cellStyle name="Note 4 3 5 3 2 2" xfId="22294" xr:uid="{00000000-0005-0000-0000-0000F1B10000}"/>
    <cellStyle name="Note 4 3 5 3 2 2 2" xfId="44896" xr:uid="{00000000-0005-0000-0000-0000F2B10000}"/>
    <cellStyle name="Note 4 3 5 3 2 3" xfId="33595" xr:uid="{00000000-0005-0000-0000-0000F3B10000}"/>
    <cellStyle name="Note 4 3 5 3 3" xfId="16644" xr:uid="{00000000-0005-0000-0000-0000F4B10000}"/>
    <cellStyle name="Note 4 3 5 3 3 2" xfId="39246" xr:uid="{00000000-0005-0000-0000-0000F5B10000}"/>
    <cellStyle name="Note 4 3 5 3 4" xfId="27945" xr:uid="{00000000-0005-0000-0000-0000F6B10000}"/>
    <cellStyle name="Note 4 3 5 4" xfId="8008" xr:uid="{00000000-0005-0000-0000-0000F7B10000}"/>
    <cellStyle name="Note 4 3 5 4 2" xfId="19309" xr:uid="{00000000-0005-0000-0000-0000F8B10000}"/>
    <cellStyle name="Note 4 3 5 4 2 2" xfId="41911" xr:uid="{00000000-0005-0000-0000-0000F9B10000}"/>
    <cellStyle name="Note 4 3 5 4 3" xfId="30610" xr:uid="{00000000-0005-0000-0000-0000FAB10000}"/>
    <cellStyle name="Note 4 3 5 5" xfId="13659" xr:uid="{00000000-0005-0000-0000-0000FBB10000}"/>
    <cellStyle name="Note 4 3 5 5 2" xfId="36261" xr:uid="{00000000-0005-0000-0000-0000FCB10000}"/>
    <cellStyle name="Note 4 3 5 6" xfId="24960" xr:uid="{00000000-0005-0000-0000-0000FDB10000}"/>
    <cellStyle name="Note 4 3 6" xfId="2322" xr:uid="{00000000-0005-0000-0000-0000FEB10000}"/>
    <cellStyle name="Note 4 3 6 2" xfId="8158" xr:uid="{00000000-0005-0000-0000-0000FFB10000}"/>
    <cellStyle name="Note 4 3 6 2 2" xfId="19459" xr:uid="{00000000-0005-0000-0000-000000B20000}"/>
    <cellStyle name="Note 4 3 6 2 2 2" xfId="42061" xr:uid="{00000000-0005-0000-0000-000001B20000}"/>
    <cellStyle name="Note 4 3 6 2 3" xfId="30760" xr:uid="{00000000-0005-0000-0000-000002B20000}"/>
    <cellStyle name="Note 4 3 6 3" xfId="13809" xr:uid="{00000000-0005-0000-0000-000003B20000}"/>
    <cellStyle name="Note 4 3 6 3 2" xfId="36411" xr:uid="{00000000-0005-0000-0000-000004B20000}"/>
    <cellStyle name="Note 4 3 6 4" xfId="25110" xr:uid="{00000000-0005-0000-0000-000005B20000}"/>
    <cellStyle name="Note 4 3 7" xfId="4109" xr:uid="{00000000-0005-0000-0000-000006B20000}"/>
    <cellStyle name="Note 4 3 7 2" xfId="9759" xr:uid="{00000000-0005-0000-0000-000007B20000}"/>
    <cellStyle name="Note 4 3 7 2 2" xfId="21060" xr:uid="{00000000-0005-0000-0000-000008B20000}"/>
    <cellStyle name="Note 4 3 7 2 2 2" xfId="43662" xr:uid="{00000000-0005-0000-0000-000009B20000}"/>
    <cellStyle name="Note 4 3 7 2 3" xfId="32361" xr:uid="{00000000-0005-0000-0000-00000AB20000}"/>
    <cellStyle name="Note 4 3 7 3" xfId="15410" xr:uid="{00000000-0005-0000-0000-00000BB20000}"/>
    <cellStyle name="Note 4 3 7 3 2" xfId="38012" xr:uid="{00000000-0005-0000-0000-00000CB20000}"/>
    <cellStyle name="Note 4 3 7 4" xfId="26711" xr:uid="{00000000-0005-0000-0000-00000DB20000}"/>
    <cellStyle name="Note 4 3 8" xfId="6560" xr:uid="{00000000-0005-0000-0000-00000EB20000}"/>
    <cellStyle name="Note 4 3 8 2" xfId="17861" xr:uid="{00000000-0005-0000-0000-00000FB20000}"/>
    <cellStyle name="Note 4 3 8 2 2" xfId="40463" xr:uid="{00000000-0005-0000-0000-000010B20000}"/>
    <cellStyle name="Note 4 3 8 3" xfId="29162" xr:uid="{00000000-0005-0000-0000-000011B20000}"/>
    <cellStyle name="Note 4 3 9" xfId="12211" xr:uid="{00000000-0005-0000-0000-000012B20000}"/>
    <cellStyle name="Note 4 3 9 2" xfId="34813" xr:uid="{00000000-0005-0000-0000-000013B20000}"/>
    <cellStyle name="Note 4 4" xfId="564" xr:uid="{00000000-0005-0000-0000-000014B20000}"/>
    <cellStyle name="Note 4 4 2" xfId="1290" xr:uid="{00000000-0005-0000-0000-000015B20000}"/>
    <cellStyle name="Note 4 4 2 2" xfId="2157" xr:uid="{00000000-0005-0000-0000-000016B20000}"/>
    <cellStyle name="Note 4 4 2 2 2" xfId="3359" xr:uid="{00000000-0005-0000-0000-000017B20000}"/>
    <cellStyle name="Note 4 4 2 2 2 2" xfId="6331" xr:uid="{00000000-0005-0000-0000-000018B20000}"/>
    <cellStyle name="Note 4 4 2 2 2 2 2" xfId="11981" xr:uid="{00000000-0005-0000-0000-000019B20000}"/>
    <cellStyle name="Note 4 4 2 2 2 2 2 2" xfId="23282" xr:uid="{00000000-0005-0000-0000-00001AB20000}"/>
    <cellStyle name="Note 4 4 2 2 2 2 2 2 2" xfId="45884" xr:uid="{00000000-0005-0000-0000-00001BB20000}"/>
    <cellStyle name="Note 4 4 2 2 2 2 2 3" xfId="34583" xr:uid="{00000000-0005-0000-0000-00001CB20000}"/>
    <cellStyle name="Note 4 4 2 2 2 2 3" xfId="17632" xr:uid="{00000000-0005-0000-0000-00001DB20000}"/>
    <cellStyle name="Note 4 4 2 2 2 2 3 2" xfId="40234" xr:uid="{00000000-0005-0000-0000-00001EB20000}"/>
    <cellStyle name="Note 4 4 2 2 2 2 4" xfId="28933" xr:uid="{00000000-0005-0000-0000-00001FB20000}"/>
    <cellStyle name="Note 4 4 2 2 2 3" xfId="9149" xr:uid="{00000000-0005-0000-0000-000020B20000}"/>
    <cellStyle name="Note 4 4 2 2 2 3 2" xfId="20450" xr:uid="{00000000-0005-0000-0000-000021B20000}"/>
    <cellStyle name="Note 4 4 2 2 2 3 2 2" xfId="43052" xr:uid="{00000000-0005-0000-0000-000022B20000}"/>
    <cellStyle name="Note 4 4 2 2 2 3 3" xfId="31751" xr:uid="{00000000-0005-0000-0000-000023B20000}"/>
    <cellStyle name="Note 4 4 2 2 2 4" xfId="14800" xr:uid="{00000000-0005-0000-0000-000024B20000}"/>
    <cellStyle name="Note 4 4 2 2 2 4 2" xfId="37402" xr:uid="{00000000-0005-0000-0000-000025B20000}"/>
    <cellStyle name="Note 4 4 2 2 2 5" xfId="26101" xr:uid="{00000000-0005-0000-0000-000026B20000}"/>
    <cellStyle name="Note 4 4 2 2 3" xfId="5097" xr:uid="{00000000-0005-0000-0000-000027B20000}"/>
    <cellStyle name="Note 4 4 2 2 3 2" xfId="10747" xr:uid="{00000000-0005-0000-0000-000028B20000}"/>
    <cellStyle name="Note 4 4 2 2 3 2 2" xfId="22048" xr:uid="{00000000-0005-0000-0000-000029B20000}"/>
    <cellStyle name="Note 4 4 2 2 3 2 2 2" xfId="44650" xr:uid="{00000000-0005-0000-0000-00002AB20000}"/>
    <cellStyle name="Note 4 4 2 2 3 2 3" xfId="33349" xr:uid="{00000000-0005-0000-0000-00002BB20000}"/>
    <cellStyle name="Note 4 4 2 2 3 3" xfId="16398" xr:uid="{00000000-0005-0000-0000-00002CB20000}"/>
    <cellStyle name="Note 4 4 2 2 3 3 2" xfId="39000" xr:uid="{00000000-0005-0000-0000-00002DB20000}"/>
    <cellStyle name="Note 4 4 2 2 3 4" xfId="27699" xr:uid="{00000000-0005-0000-0000-00002EB20000}"/>
    <cellStyle name="Note 4 4 2 2 4" xfId="8013" xr:uid="{00000000-0005-0000-0000-00002FB20000}"/>
    <cellStyle name="Note 4 4 2 2 4 2" xfId="19314" xr:uid="{00000000-0005-0000-0000-000030B20000}"/>
    <cellStyle name="Note 4 4 2 2 4 2 2" xfId="41916" xr:uid="{00000000-0005-0000-0000-000031B20000}"/>
    <cellStyle name="Note 4 4 2 2 4 3" xfId="30615" xr:uid="{00000000-0005-0000-0000-000032B20000}"/>
    <cellStyle name="Note 4 4 2 2 5" xfId="13664" xr:uid="{00000000-0005-0000-0000-000033B20000}"/>
    <cellStyle name="Note 4 4 2 2 5 2" xfId="36266" xr:uid="{00000000-0005-0000-0000-000034B20000}"/>
    <cellStyle name="Note 4 4 2 2 6" xfId="24965" xr:uid="{00000000-0005-0000-0000-000035B20000}"/>
    <cellStyle name="Note 4 4 2 3" xfId="2688" xr:uid="{00000000-0005-0000-0000-000036B20000}"/>
    <cellStyle name="Note 4 4 2 3 2" xfId="5707" xr:uid="{00000000-0005-0000-0000-000037B20000}"/>
    <cellStyle name="Note 4 4 2 3 2 2" xfId="11357" xr:uid="{00000000-0005-0000-0000-000038B20000}"/>
    <cellStyle name="Note 4 4 2 3 2 2 2" xfId="22658" xr:uid="{00000000-0005-0000-0000-000039B20000}"/>
    <cellStyle name="Note 4 4 2 3 2 2 2 2" xfId="45260" xr:uid="{00000000-0005-0000-0000-00003AB20000}"/>
    <cellStyle name="Note 4 4 2 3 2 2 3" xfId="33959" xr:uid="{00000000-0005-0000-0000-00003BB20000}"/>
    <cellStyle name="Note 4 4 2 3 2 3" xfId="17008" xr:uid="{00000000-0005-0000-0000-00003CB20000}"/>
    <cellStyle name="Note 4 4 2 3 2 3 2" xfId="39610" xr:uid="{00000000-0005-0000-0000-00003DB20000}"/>
    <cellStyle name="Note 4 4 2 3 2 4" xfId="28309" xr:uid="{00000000-0005-0000-0000-00003EB20000}"/>
    <cellStyle name="Note 4 4 2 3 3" xfId="8524" xr:uid="{00000000-0005-0000-0000-00003FB20000}"/>
    <cellStyle name="Note 4 4 2 3 3 2" xfId="19825" xr:uid="{00000000-0005-0000-0000-000040B20000}"/>
    <cellStyle name="Note 4 4 2 3 3 2 2" xfId="42427" xr:uid="{00000000-0005-0000-0000-000041B20000}"/>
    <cellStyle name="Note 4 4 2 3 3 3" xfId="31126" xr:uid="{00000000-0005-0000-0000-000042B20000}"/>
    <cellStyle name="Note 4 4 2 3 4" xfId="14175" xr:uid="{00000000-0005-0000-0000-000043B20000}"/>
    <cellStyle name="Note 4 4 2 3 4 2" xfId="36777" xr:uid="{00000000-0005-0000-0000-000044B20000}"/>
    <cellStyle name="Note 4 4 2 3 5" xfId="25476" xr:uid="{00000000-0005-0000-0000-000045B20000}"/>
    <cellStyle name="Note 4 4 2 4" xfId="4473" xr:uid="{00000000-0005-0000-0000-000046B20000}"/>
    <cellStyle name="Note 4 4 2 4 2" xfId="10123" xr:uid="{00000000-0005-0000-0000-000047B20000}"/>
    <cellStyle name="Note 4 4 2 4 2 2" xfId="21424" xr:uid="{00000000-0005-0000-0000-000048B20000}"/>
    <cellStyle name="Note 4 4 2 4 2 2 2" xfId="44026" xr:uid="{00000000-0005-0000-0000-000049B20000}"/>
    <cellStyle name="Note 4 4 2 4 2 3" xfId="32725" xr:uid="{00000000-0005-0000-0000-00004AB20000}"/>
    <cellStyle name="Note 4 4 2 4 3" xfId="15774" xr:uid="{00000000-0005-0000-0000-00004BB20000}"/>
    <cellStyle name="Note 4 4 2 4 3 2" xfId="38376" xr:uid="{00000000-0005-0000-0000-00004CB20000}"/>
    <cellStyle name="Note 4 4 2 4 4" xfId="27075" xr:uid="{00000000-0005-0000-0000-00004DB20000}"/>
    <cellStyle name="Note 4 4 2 5" xfId="7269" xr:uid="{00000000-0005-0000-0000-00004EB20000}"/>
    <cellStyle name="Note 4 4 2 5 2" xfId="18570" xr:uid="{00000000-0005-0000-0000-00004FB20000}"/>
    <cellStyle name="Note 4 4 2 5 2 2" xfId="41172" xr:uid="{00000000-0005-0000-0000-000050B20000}"/>
    <cellStyle name="Note 4 4 2 5 3" xfId="29871" xr:uid="{00000000-0005-0000-0000-000051B20000}"/>
    <cellStyle name="Note 4 4 2 6" xfId="12920" xr:uid="{00000000-0005-0000-0000-000052B20000}"/>
    <cellStyle name="Note 4 4 2 6 2" xfId="35522" xr:uid="{00000000-0005-0000-0000-000053B20000}"/>
    <cellStyle name="Note 4 4 2 7" xfId="24221" xr:uid="{00000000-0005-0000-0000-000054B20000}"/>
    <cellStyle name="Note 4 4 3" xfId="988" xr:uid="{00000000-0005-0000-0000-000055B20000}"/>
    <cellStyle name="Note 4 4 3 2" xfId="3051" xr:uid="{00000000-0005-0000-0000-000056B20000}"/>
    <cellStyle name="Note 4 4 3 2 2" xfId="6023" xr:uid="{00000000-0005-0000-0000-000057B20000}"/>
    <cellStyle name="Note 4 4 3 2 2 2" xfId="11673" xr:uid="{00000000-0005-0000-0000-000058B20000}"/>
    <cellStyle name="Note 4 4 3 2 2 2 2" xfId="22974" xr:uid="{00000000-0005-0000-0000-000059B20000}"/>
    <cellStyle name="Note 4 4 3 2 2 2 2 2" xfId="45576" xr:uid="{00000000-0005-0000-0000-00005AB20000}"/>
    <cellStyle name="Note 4 4 3 2 2 2 3" xfId="34275" xr:uid="{00000000-0005-0000-0000-00005BB20000}"/>
    <cellStyle name="Note 4 4 3 2 2 3" xfId="17324" xr:uid="{00000000-0005-0000-0000-00005CB20000}"/>
    <cellStyle name="Note 4 4 3 2 2 3 2" xfId="39926" xr:uid="{00000000-0005-0000-0000-00005DB20000}"/>
    <cellStyle name="Note 4 4 3 2 2 4" xfId="28625" xr:uid="{00000000-0005-0000-0000-00005EB20000}"/>
    <cellStyle name="Note 4 4 3 2 3" xfId="8841" xr:uid="{00000000-0005-0000-0000-00005FB20000}"/>
    <cellStyle name="Note 4 4 3 2 3 2" xfId="20142" xr:uid="{00000000-0005-0000-0000-000060B20000}"/>
    <cellStyle name="Note 4 4 3 2 3 2 2" xfId="42744" xr:uid="{00000000-0005-0000-0000-000061B20000}"/>
    <cellStyle name="Note 4 4 3 2 3 3" xfId="31443" xr:uid="{00000000-0005-0000-0000-000062B20000}"/>
    <cellStyle name="Note 4 4 3 2 4" xfId="14492" xr:uid="{00000000-0005-0000-0000-000063B20000}"/>
    <cellStyle name="Note 4 4 3 2 4 2" xfId="37094" xr:uid="{00000000-0005-0000-0000-000064B20000}"/>
    <cellStyle name="Note 4 4 3 2 5" xfId="25793" xr:uid="{00000000-0005-0000-0000-000065B20000}"/>
    <cellStyle name="Note 4 4 3 3" xfId="4789" xr:uid="{00000000-0005-0000-0000-000066B20000}"/>
    <cellStyle name="Note 4 4 3 3 2" xfId="10439" xr:uid="{00000000-0005-0000-0000-000067B20000}"/>
    <cellStyle name="Note 4 4 3 3 2 2" xfId="21740" xr:uid="{00000000-0005-0000-0000-000068B20000}"/>
    <cellStyle name="Note 4 4 3 3 2 2 2" xfId="44342" xr:uid="{00000000-0005-0000-0000-000069B20000}"/>
    <cellStyle name="Note 4 4 3 3 2 3" xfId="33041" xr:uid="{00000000-0005-0000-0000-00006AB20000}"/>
    <cellStyle name="Note 4 4 3 3 3" xfId="16090" xr:uid="{00000000-0005-0000-0000-00006BB20000}"/>
    <cellStyle name="Note 4 4 3 3 3 2" xfId="38692" xr:uid="{00000000-0005-0000-0000-00006CB20000}"/>
    <cellStyle name="Note 4 4 3 3 4" xfId="27391" xr:uid="{00000000-0005-0000-0000-00006DB20000}"/>
    <cellStyle name="Note 4 4 3 4" xfId="6976" xr:uid="{00000000-0005-0000-0000-00006EB20000}"/>
    <cellStyle name="Note 4 4 3 4 2" xfId="18277" xr:uid="{00000000-0005-0000-0000-00006FB20000}"/>
    <cellStyle name="Note 4 4 3 4 2 2" xfId="40879" xr:uid="{00000000-0005-0000-0000-000070B20000}"/>
    <cellStyle name="Note 4 4 3 4 3" xfId="29578" xr:uid="{00000000-0005-0000-0000-000071B20000}"/>
    <cellStyle name="Note 4 4 3 5" xfId="12627" xr:uid="{00000000-0005-0000-0000-000072B20000}"/>
    <cellStyle name="Note 4 4 3 5 2" xfId="35229" xr:uid="{00000000-0005-0000-0000-000073B20000}"/>
    <cellStyle name="Note 4 4 3 6" xfId="23928" xr:uid="{00000000-0005-0000-0000-000074B20000}"/>
    <cellStyle name="Note 4 4 4" xfId="2156" xr:uid="{00000000-0005-0000-0000-000075B20000}"/>
    <cellStyle name="Note 4 4 4 2" xfId="3884" xr:uid="{00000000-0005-0000-0000-000076B20000}"/>
    <cellStyle name="Note 4 4 4 2 2" xfId="9592" xr:uid="{00000000-0005-0000-0000-000077B20000}"/>
    <cellStyle name="Note 4 4 4 2 2 2" xfId="20893" xr:uid="{00000000-0005-0000-0000-000078B20000}"/>
    <cellStyle name="Note 4 4 4 2 2 2 2" xfId="43495" xr:uid="{00000000-0005-0000-0000-000079B20000}"/>
    <cellStyle name="Note 4 4 4 2 2 3" xfId="32194" xr:uid="{00000000-0005-0000-0000-00007AB20000}"/>
    <cellStyle name="Note 4 4 4 2 3" xfId="15243" xr:uid="{00000000-0005-0000-0000-00007BB20000}"/>
    <cellStyle name="Note 4 4 4 2 3 2" xfId="37845" xr:uid="{00000000-0005-0000-0000-00007CB20000}"/>
    <cellStyle name="Note 4 4 4 2 4" xfId="26544" xr:uid="{00000000-0005-0000-0000-00007DB20000}"/>
    <cellStyle name="Note 4 4 4 3" xfId="5399" xr:uid="{00000000-0005-0000-0000-00007EB20000}"/>
    <cellStyle name="Note 4 4 4 3 2" xfId="11049" xr:uid="{00000000-0005-0000-0000-00007FB20000}"/>
    <cellStyle name="Note 4 4 4 3 2 2" xfId="22350" xr:uid="{00000000-0005-0000-0000-000080B20000}"/>
    <cellStyle name="Note 4 4 4 3 2 2 2" xfId="44952" xr:uid="{00000000-0005-0000-0000-000081B20000}"/>
    <cellStyle name="Note 4 4 4 3 2 3" xfId="33651" xr:uid="{00000000-0005-0000-0000-000082B20000}"/>
    <cellStyle name="Note 4 4 4 3 3" xfId="16700" xr:uid="{00000000-0005-0000-0000-000083B20000}"/>
    <cellStyle name="Note 4 4 4 3 3 2" xfId="39302" xr:uid="{00000000-0005-0000-0000-000084B20000}"/>
    <cellStyle name="Note 4 4 4 3 4" xfId="28001" xr:uid="{00000000-0005-0000-0000-000085B20000}"/>
    <cellStyle name="Note 4 4 4 4" xfId="8012" xr:uid="{00000000-0005-0000-0000-000086B20000}"/>
    <cellStyle name="Note 4 4 4 4 2" xfId="19313" xr:uid="{00000000-0005-0000-0000-000087B20000}"/>
    <cellStyle name="Note 4 4 4 4 2 2" xfId="41915" xr:uid="{00000000-0005-0000-0000-000088B20000}"/>
    <cellStyle name="Note 4 4 4 4 3" xfId="30614" xr:uid="{00000000-0005-0000-0000-000089B20000}"/>
    <cellStyle name="Note 4 4 4 5" xfId="13663" xr:uid="{00000000-0005-0000-0000-00008AB20000}"/>
    <cellStyle name="Note 4 4 4 5 2" xfId="36265" xr:uid="{00000000-0005-0000-0000-00008BB20000}"/>
    <cellStyle name="Note 4 4 4 6" xfId="24964" xr:uid="{00000000-0005-0000-0000-00008CB20000}"/>
    <cellStyle name="Note 4 4 5" xfId="2380" xr:uid="{00000000-0005-0000-0000-00008DB20000}"/>
    <cellStyle name="Note 4 4 5 2" xfId="8216" xr:uid="{00000000-0005-0000-0000-00008EB20000}"/>
    <cellStyle name="Note 4 4 5 2 2" xfId="19517" xr:uid="{00000000-0005-0000-0000-00008FB20000}"/>
    <cellStyle name="Note 4 4 5 2 2 2" xfId="42119" xr:uid="{00000000-0005-0000-0000-000090B20000}"/>
    <cellStyle name="Note 4 4 5 2 3" xfId="30818" xr:uid="{00000000-0005-0000-0000-000091B20000}"/>
    <cellStyle name="Note 4 4 5 3" xfId="13867" xr:uid="{00000000-0005-0000-0000-000092B20000}"/>
    <cellStyle name="Note 4 4 5 3 2" xfId="36469" xr:uid="{00000000-0005-0000-0000-000093B20000}"/>
    <cellStyle name="Note 4 4 5 4" xfId="25168" xr:uid="{00000000-0005-0000-0000-000094B20000}"/>
    <cellStyle name="Note 4 4 6" xfId="4165" xr:uid="{00000000-0005-0000-0000-000095B20000}"/>
    <cellStyle name="Note 4 4 6 2" xfId="9815" xr:uid="{00000000-0005-0000-0000-000096B20000}"/>
    <cellStyle name="Note 4 4 6 2 2" xfId="21116" xr:uid="{00000000-0005-0000-0000-000097B20000}"/>
    <cellStyle name="Note 4 4 6 2 2 2" xfId="43718" xr:uid="{00000000-0005-0000-0000-000098B20000}"/>
    <cellStyle name="Note 4 4 6 2 3" xfId="32417" xr:uid="{00000000-0005-0000-0000-000099B20000}"/>
    <cellStyle name="Note 4 4 6 3" xfId="15466" xr:uid="{00000000-0005-0000-0000-00009AB20000}"/>
    <cellStyle name="Note 4 4 6 3 2" xfId="38068" xr:uid="{00000000-0005-0000-0000-00009BB20000}"/>
    <cellStyle name="Note 4 4 6 4" xfId="26767" xr:uid="{00000000-0005-0000-0000-00009CB20000}"/>
    <cellStyle name="Note 4 4 7" xfId="6631" xr:uid="{00000000-0005-0000-0000-00009DB20000}"/>
    <cellStyle name="Note 4 4 7 2" xfId="17932" xr:uid="{00000000-0005-0000-0000-00009EB20000}"/>
    <cellStyle name="Note 4 4 7 2 2" xfId="40534" xr:uid="{00000000-0005-0000-0000-00009FB20000}"/>
    <cellStyle name="Note 4 4 7 3" xfId="29233" xr:uid="{00000000-0005-0000-0000-0000A0B20000}"/>
    <cellStyle name="Note 4 4 8" xfId="12282" xr:uid="{00000000-0005-0000-0000-0000A1B20000}"/>
    <cellStyle name="Note 4 4 8 2" xfId="34884" xr:uid="{00000000-0005-0000-0000-0000A2B20000}"/>
    <cellStyle name="Note 4 4 9" xfId="23583" xr:uid="{00000000-0005-0000-0000-0000A3B20000}"/>
    <cellStyle name="Note 4 5" xfId="1138" xr:uid="{00000000-0005-0000-0000-0000A4B20000}"/>
    <cellStyle name="Note 4 5 2" xfId="2158" xr:uid="{00000000-0005-0000-0000-0000A5B20000}"/>
    <cellStyle name="Note 4 5 2 2" xfId="3206" xr:uid="{00000000-0005-0000-0000-0000A6B20000}"/>
    <cellStyle name="Note 4 5 2 2 2" xfId="6178" xr:uid="{00000000-0005-0000-0000-0000A7B20000}"/>
    <cellStyle name="Note 4 5 2 2 2 2" xfId="11828" xr:uid="{00000000-0005-0000-0000-0000A8B20000}"/>
    <cellStyle name="Note 4 5 2 2 2 2 2" xfId="23129" xr:uid="{00000000-0005-0000-0000-0000A9B20000}"/>
    <cellStyle name="Note 4 5 2 2 2 2 2 2" xfId="45731" xr:uid="{00000000-0005-0000-0000-0000AAB20000}"/>
    <cellStyle name="Note 4 5 2 2 2 2 3" xfId="34430" xr:uid="{00000000-0005-0000-0000-0000ABB20000}"/>
    <cellStyle name="Note 4 5 2 2 2 3" xfId="17479" xr:uid="{00000000-0005-0000-0000-0000ACB20000}"/>
    <cellStyle name="Note 4 5 2 2 2 3 2" xfId="40081" xr:uid="{00000000-0005-0000-0000-0000ADB20000}"/>
    <cellStyle name="Note 4 5 2 2 2 4" xfId="28780" xr:uid="{00000000-0005-0000-0000-0000AEB20000}"/>
    <cellStyle name="Note 4 5 2 2 3" xfId="8996" xr:uid="{00000000-0005-0000-0000-0000AFB20000}"/>
    <cellStyle name="Note 4 5 2 2 3 2" xfId="20297" xr:uid="{00000000-0005-0000-0000-0000B0B20000}"/>
    <cellStyle name="Note 4 5 2 2 3 2 2" xfId="42899" xr:uid="{00000000-0005-0000-0000-0000B1B20000}"/>
    <cellStyle name="Note 4 5 2 2 3 3" xfId="31598" xr:uid="{00000000-0005-0000-0000-0000B2B20000}"/>
    <cellStyle name="Note 4 5 2 2 4" xfId="14647" xr:uid="{00000000-0005-0000-0000-0000B3B20000}"/>
    <cellStyle name="Note 4 5 2 2 4 2" xfId="37249" xr:uid="{00000000-0005-0000-0000-0000B4B20000}"/>
    <cellStyle name="Note 4 5 2 2 5" xfId="25948" xr:uid="{00000000-0005-0000-0000-0000B5B20000}"/>
    <cellStyle name="Note 4 5 2 3" xfId="4944" xr:uid="{00000000-0005-0000-0000-0000B6B20000}"/>
    <cellStyle name="Note 4 5 2 3 2" xfId="10594" xr:uid="{00000000-0005-0000-0000-0000B7B20000}"/>
    <cellStyle name="Note 4 5 2 3 2 2" xfId="21895" xr:uid="{00000000-0005-0000-0000-0000B8B20000}"/>
    <cellStyle name="Note 4 5 2 3 2 2 2" xfId="44497" xr:uid="{00000000-0005-0000-0000-0000B9B20000}"/>
    <cellStyle name="Note 4 5 2 3 2 3" xfId="33196" xr:uid="{00000000-0005-0000-0000-0000BAB20000}"/>
    <cellStyle name="Note 4 5 2 3 3" xfId="16245" xr:uid="{00000000-0005-0000-0000-0000BBB20000}"/>
    <cellStyle name="Note 4 5 2 3 3 2" xfId="38847" xr:uid="{00000000-0005-0000-0000-0000BCB20000}"/>
    <cellStyle name="Note 4 5 2 3 4" xfId="27546" xr:uid="{00000000-0005-0000-0000-0000BDB20000}"/>
    <cellStyle name="Note 4 5 2 4" xfId="8014" xr:uid="{00000000-0005-0000-0000-0000BEB20000}"/>
    <cellStyle name="Note 4 5 2 4 2" xfId="19315" xr:uid="{00000000-0005-0000-0000-0000BFB20000}"/>
    <cellStyle name="Note 4 5 2 4 2 2" xfId="41917" xr:uid="{00000000-0005-0000-0000-0000C0B20000}"/>
    <cellStyle name="Note 4 5 2 4 3" xfId="30616" xr:uid="{00000000-0005-0000-0000-0000C1B20000}"/>
    <cellStyle name="Note 4 5 2 5" xfId="13665" xr:uid="{00000000-0005-0000-0000-0000C2B20000}"/>
    <cellStyle name="Note 4 5 2 5 2" xfId="36267" xr:uid="{00000000-0005-0000-0000-0000C3B20000}"/>
    <cellStyle name="Note 4 5 2 6" xfId="24966" xr:uid="{00000000-0005-0000-0000-0000C4B20000}"/>
    <cellStyle name="Note 4 5 3" xfId="2535" xr:uid="{00000000-0005-0000-0000-0000C5B20000}"/>
    <cellStyle name="Note 4 5 3 2" xfId="5554" xr:uid="{00000000-0005-0000-0000-0000C6B20000}"/>
    <cellStyle name="Note 4 5 3 2 2" xfId="11204" xr:uid="{00000000-0005-0000-0000-0000C7B20000}"/>
    <cellStyle name="Note 4 5 3 2 2 2" xfId="22505" xr:uid="{00000000-0005-0000-0000-0000C8B20000}"/>
    <cellStyle name="Note 4 5 3 2 2 2 2" xfId="45107" xr:uid="{00000000-0005-0000-0000-0000C9B20000}"/>
    <cellStyle name="Note 4 5 3 2 2 3" xfId="33806" xr:uid="{00000000-0005-0000-0000-0000CAB20000}"/>
    <cellStyle name="Note 4 5 3 2 3" xfId="16855" xr:uid="{00000000-0005-0000-0000-0000CBB20000}"/>
    <cellStyle name="Note 4 5 3 2 3 2" xfId="39457" xr:uid="{00000000-0005-0000-0000-0000CCB20000}"/>
    <cellStyle name="Note 4 5 3 2 4" xfId="28156" xr:uid="{00000000-0005-0000-0000-0000CDB20000}"/>
    <cellStyle name="Note 4 5 3 3" xfId="8371" xr:uid="{00000000-0005-0000-0000-0000CEB20000}"/>
    <cellStyle name="Note 4 5 3 3 2" xfId="19672" xr:uid="{00000000-0005-0000-0000-0000CFB20000}"/>
    <cellStyle name="Note 4 5 3 3 2 2" xfId="42274" xr:uid="{00000000-0005-0000-0000-0000D0B20000}"/>
    <cellStyle name="Note 4 5 3 3 3" xfId="30973" xr:uid="{00000000-0005-0000-0000-0000D1B20000}"/>
    <cellStyle name="Note 4 5 3 4" xfId="14022" xr:uid="{00000000-0005-0000-0000-0000D2B20000}"/>
    <cellStyle name="Note 4 5 3 4 2" xfId="36624" xr:uid="{00000000-0005-0000-0000-0000D3B20000}"/>
    <cellStyle name="Note 4 5 3 5" xfId="25323" xr:uid="{00000000-0005-0000-0000-0000D4B20000}"/>
    <cellStyle name="Note 4 5 4" xfId="4320" xr:uid="{00000000-0005-0000-0000-0000D5B20000}"/>
    <cellStyle name="Note 4 5 4 2" xfId="9970" xr:uid="{00000000-0005-0000-0000-0000D6B20000}"/>
    <cellStyle name="Note 4 5 4 2 2" xfId="21271" xr:uid="{00000000-0005-0000-0000-0000D7B20000}"/>
    <cellStyle name="Note 4 5 4 2 2 2" xfId="43873" xr:uid="{00000000-0005-0000-0000-0000D8B20000}"/>
    <cellStyle name="Note 4 5 4 2 3" xfId="32572" xr:uid="{00000000-0005-0000-0000-0000D9B20000}"/>
    <cellStyle name="Note 4 5 4 3" xfId="15621" xr:uid="{00000000-0005-0000-0000-0000DAB20000}"/>
    <cellStyle name="Note 4 5 4 3 2" xfId="38223" xr:uid="{00000000-0005-0000-0000-0000DBB20000}"/>
    <cellStyle name="Note 4 5 4 4" xfId="26922" xr:uid="{00000000-0005-0000-0000-0000DCB20000}"/>
    <cellStyle name="Note 4 5 5" xfId="7117" xr:uid="{00000000-0005-0000-0000-0000DDB20000}"/>
    <cellStyle name="Note 4 5 5 2" xfId="18418" xr:uid="{00000000-0005-0000-0000-0000DEB20000}"/>
    <cellStyle name="Note 4 5 5 2 2" xfId="41020" xr:uid="{00000000-0005-0000-0000-0000DFB20000}"/>
    <cellStyle name="Note 4 5 5 3" xfId="29719" xr:uid="{00000000-0005-0000-0000-0000E0B20000}"/>
    <cellStyle name="Note 4 5 6" xfId="12768" xr:uid="{00000000-0005-0000-0000-0000E1B20000}"/>
    <cellStyle name="Note 4 5 6 2" xfId="35370" xr:uid="{00000000-0005-0000-0000-0000E2B20000}"/>
    <cellStyle name="Note 4 5 7" xfId="24069" xr:uid="{00000000-0005-0000-0000-0000E3B20000}"/>
    <cellStyle name="Note 4 6" xfId="812" xr:uid="{00000000-0005-0000-0000-0000E4B20000}"/>
    <cellStyle name="Note 4 6 2" xfId="2899" xr:uid="{00000000-0005-0000-0000-0000E5B20000}"/>
    <cellStyle name="Note 4 6 2 2" xfId="5871" xr:uid="{00000000-0005-0000-0000-0000E6B20000}"/>
    <cellStyle name="Note 4 6 2 2 2" xfId="11521" xr:uid="{00000000-0005-0000-0000-0000E7B20000}"/>
    <cellStyle name="Note 4 6 2 2 2 2" xfId="22822" xr:uid="{00000000-0005-0000-0000-0000E8B20000}"/>
    <cellStyle name="Note 4 6 2 2 2 2 2" xfId="45424" xr:uid="{00000000-0005-0000-0000-0000E9B20000}"/>
    <cellStyle name="Note 4 6 2 2 2 3" xfId="34123" xr:uid="{00000000-0005-0000-0000-0000EAB20000}"/>
    <cellStyle name="Note 4 6 2 2 3" xfId="17172" xr:uid="{00000000-0005-0000-0000-0000EBB20000}"/>
    <cellStyle name="Note 4 6 2 2 3 2" xfId="39774" xr:uid="{00000000-0005-0000-0000-0000ECB20000}"/>
    <cellStyle name="Note 4 6 2 2 4" xfId="28473" xr:uid="{00000000-0005-0000-0000-0000EDB20000}"/>
    <cellStyle name="Note 4 6 2 3" xfId="8689" xr:uid="{00000000-0005-0000-0000-0000EEB20000}"/>
    <cellStyle name="Note 4 6 2 3 2" xfId="19990" xr:uid="{00000000-0005-0000-0000-0000EFB20000}"/>
    <cellStyle name="Note 4 6 2 3 2 2" xfId="42592" xr:uid="{00000000-0005-0000-0000-0000F0B20000}"/>
    <cellStyle name="Note 4 6 2 3 3" xfId="31291" xr:uid="{00000000-0005-0000-0000-0000F1B20000}"/>
    <cellStyle name="Note 4 6 2 4" xfId="14340" xr:uid="{00000000-0005-0000-0000-0000F2B20000}"/>
    <cellStyle name="Note 4 6 2 4 2" xfId="36942" xr:uid="{00000000-0005-0000-0000-0000F3B20000}"/>
    <cellStyle name="Note 4 6 2 5" xfId="25641" xr:uid="{00000000-0005-0000-0000-0000F4B20000}"/>
    <cellStyle name="Note 4 6 3" xfId="4637" xr:uid="{00000000-0005-0000-0000-0000F5B20000}"/>
    <cellStyle name="Note 4 6 3 2" xfId="10287" xr:uid="{00000000-0005-0000-0000-0000F6B20000}"/>
    <cellStyle name="Note 4 6 3 2 2" xfId="21588" xr:uid="{00000000-0005-0000-0000-0000F7B20000}"/>
    <cellStyle name="Note 4 6 3 2 2 2" xfId="44190" xr:uid="{00000000-0005-0000-0000-0000F8B20000}"/>
    <cellStyle name="Note 4 6 3 2 3" xfId="32889" xr:uid="{00000000-0005-0000-0000-0000F9B20000}"/>
    <cellStyle name="Note 4 6 3 3" xfId="15938" xr:uid="{00000000-0005-0000-0000-0000FAB20000}"/>
    <cellStyle name="Note 4 6 3 3 2" xfId="38540" xr:uid="{00000000-0005-0000-0000-0000FBB20000}"/>
    <cellStyle name="Note 4 6 3 4" xfId="27239" xr:uid="{00000000-0005-0000-0000-0000FCB20000}"/>
    <cellStyle name="Note 4 6 4" xfId="6820" xr:uid="{00000000-0005-0000-0000-0000FDB20000}"/>
    <cellStyle name="Note 4 6 4 2" xfId="18121" xr:uid="{00000000-0005-0000-0000-0000FEB20000}"/>
    <cellStyle name="Note 4 6 4 2 2" xfId="40723" xr:uid="{00000000-0005-0000-0000-0000FFB20000}"/>
    <cellStyle name="Note 4 6 4 3" xfId="29422" xr:uid="{00000000-0005-0000-0000-000000B30000}"/>
    <cellStyle name="Note 4 6 5" xfId="12471" xr:uid="{00000000-0005-0000-0000-000001B30000}"/>
    <cellStyle name="Note 4 6 5 2" xfId="35073" xr:uid="{00000000-0005-0000-0000-000002B30000}"/>
    <cellStyle name="Note 4 6 6" xfId="23772" xr:uid="{00000000-0005-0000-0000-000003B30000}"/>
    <cellStyle name="Note 4 7" xfId="2147" xr:uid="{00000000-0005-0000-0000-000004B30000}"/>
    <cellStyle name="Note 4 7 2" xfId="3879" xr:uid="{00000000-0005-0000-0000-000005B30000}"/>
    <cellStyle name="Note 4 7 2 2" xfId="9587" xr:uid="{00000000-0005-0000-0000-000006B30000}"/>
    <cellStyle name="Note 4 7 2 2 2" xfId="20888" xr:uid="{00000000-0005-0000-0000-000007B30000}"/>
    <cellStyle name="Note 4 7 2 2 2 2" xfId="43490" xr:uid="{00000000-0005-0000-0000-000008B30000}"/>
    <cellStyle name="Note 4 7 2 2 3" xfId="32189" xr:uid="{00000000-0005-0000-0000-000009B30000}"/>
    <cellStyle name="Note 4 7 2 3" xfId="15238" xr:uid="{00000000-0005-0000-0000-00000AB30000}"/>
    <cellStyle name="Note 4 7 2 3 2" xfId="37840" xr:uid="{00000000-0005-0000-0000-00000BB30000}"/>
    <cellStyle name="Note 4 7 2 4" xfId="26539" xr:uid="{00000000-0005-0000-0000-00000CB30000}"/>
    <cellStyle name="Note 4 7 3" xfId="5247" xr:uid="{00000000-0005-0000-0000-00000DB30000}"/>
    <cellStyle name="Note 4 7 3 2" xfId="10897" xr:uid="{00000000-0005-0000-0000-00000EB30000}"/>
    <cellStyle name="Note 4 7 3 2 2" xfId="22198" xr:uid="{00000000-0005-0000-0000-00000FB30000}"/>
    <cellStyle name="Note 4 7 3 2 2 2" xfId="44800" xr:uid="{00000000-0005-0000-0000-000010B30000}"/>
    <cellStyle name="Note 4 7 3 2 3" xfId="33499" xr:uid="{00000000-0005-0000-0000-000011B30000}"/>
    <cellStyle name="Note 4 7 3 3" xfId="16548" xr:uid="{00000000-0005-0000-0000-000012B30000}"/>
    <cellStyle name="Note 4 7 3 3 2" xfId="39150" xr:uid="{00000000-0005-0000-0000-000013B30000}"/>
    <cellStyle name="Note 4 7 3 4" xfId="27849" xr:uid="{00000000-0005-0000-0000-000014B30000}"/>
    <cellStyle name="Note 4 7 4" xfId="8003" xr:uid="{00000000-0005-0000-0000-000015B30000}"/>
    <cellStyle name="Note 4 7 4 2" xfId="19304" xr:uid="{00000000-0005-0000-0000-000016B30000}"/>
    <cellStyle name="Note 4 7 4 2 2" xfId="41906" xr:uid="{00000000-0005-0000-0000-000017B30000}"/>
    <cellStyle name="Note 4 7 4 3" xfId="30605" xr:uid="{00000000-0005-0000-0000-000018B30000}"/>
    <cellStyle name="Note 4 7 5" xfId="13654" xr:uid="{00000000-0005-0000-0000-000019B30000}"/>
    <cellStyle name="Note 4 7 5 2" xfId="36256" xr:uid="{00000000-0005-0000-0000-00001AB30000}"/>
    <cellStyle name="Note 4 7 6" xfId="24955" xr:uid="{00000000-0005-0000-0000-00001BB30000}"/>
    <cellStyle name="Note 4 8" xfId="2219" xr:uid="{00000000-0005-0000-0000-00001CB30000}"/>
    <cellStyle name="Note 4 8 2" xfId="8061" xr:uid="{00000000-0005-0000-0000-00001DB30000}"/>
    <cellStyle name="Note 4 8 2 2" xfId="19362" xr:uid="{00000000-0005-0000-0000-00001EB30000}"/>
    <cellStyle name="Note 4 8 2 2 2" xfId="41964" xr:uid="{00000000-0005-0000-0000-00001FB30000}"/>
    <cellStyle name="Note 4 8 2 3" xfId="30663" xr:uid="{00000000-0005-0000-0000-000020B30000}"/>
    <cellStyle name="Note 4 8 3" xfId="13712" xr:uid="{00000000-0005-0000-0000-000021B30000}"/>
    <cellStyle name="Note 4 8 3 2" xfId="36314" xr:uid="{00000000-0005-0000-0000-000022B30000}"/>
    <cellStyle name="Note 4 8 4" xfId="25013" xr:uid="{00000000-0005-0000-0000-000023B30000}"/>
    <cellStyle name="Note 4 9" xfId="4013" xr:uid="{00000000-0005-0000-0000-000024B30000}"/>
    <cellStyle name="Note 4 9 2" xfId="9663" xr:uid="{00000000-0005-0000-0000-000025B30000}"/>
    <cellStyle name="Note 4 9 2 2" xfId="20964" xr:uid="{00000000-0005-0000-0000-000026B30000}"/>
    <cellStyle name="Note 4 9 2 2 2" xfId="43566" xr:uid="{00000000-0005-0000-0000-000027B30000}"/>
    <cellStyle name="Note 4 9 2 3" xfId="32265" xr:uid="{00000000-0005-0000-0000-000028B30000}"/>
    <cellStyle name="Note 4 9 3" xfId="15314" xr:uid="{00000000-0005-0000-0000-000029B30000}"/>
    <cellStyle name="Note 4 9 3 2" xfId="37916" xr:uid="{00000000-0005-0000-0000-00002AB30000}"/>
    <cellStyle name="Note 4 9 4" xfId="26615" xr:uid="{00000000-0005-0000-0000-00002BB30000}"/>
    <cellStyle name="Note 5" xfId="321" xr:uid="{00000000-0005-0000-0000-00002CB30000}"/>
    <cellStyle name="Note 6" xfId="1528" xr:uid="{00000000-0005-0000-0000-00002DB30000}"/>
    <cellStyle name="Note 7" xfId="3493" xr:uid="{00000000-0005-0000-0000-00002EB30000}"/>
    <cellStyle name="Note 8" xfId="140" xr:uid="{00000000-0005-0000-0000-00002FB30000}"/>
    <cellStyle name="Output" xfId="10" builtinId="21" customBuiltin="1"/>
    <cellStyle name="Output 10" xfId="141" xr:uid="{00000000-0005-0000-0000-000031B30000}"/>
    <cellStyle name="Output 2" xfId="183" xr:uid="{00000000-0005-0000-0000-000032B30000}"/>
    <cellStyle name="Output 2 2" xfId="336" xr:uid="{00000000-0005-0000-0000-000033B30000}"/>
    <cellStyle name="Output 2 3" xfId="2863" xr:uid="{00000000-0005-0000-0000-000034B30000}"/>
    <cellStyle name="Output 2 4" xfId="3534" xr:uid="{00000000-0005-0000-0000-000035B30000}"/>
    <cellStyle name="Output 3" xfId="198" xr:uid="{00000000-0005-0000-0000-000036B30000}"/>
    <cellStyle name="Output 3 2" xfId="531" xr:uid="{00000000-0005-0000-0000-000037B30000}"/>
    <cellStyle name="Output 3 3" xfId="483" xr:uid="{00000000-0005-0000-0000-000038B30000}"/>
    <cellStyle name="Output 3 4" xfId="1461" xr:uid="{00000000-0005-0000-0000-000039B30000}"/>
    <cellStyle name="Output 4" xfId="322" xr:uid="{00000000-0005-0000-0000-00003AB30000}"/>
    <cellStyle name="Output 5" xfId="740" xr:uid="{00000000-0005-0000-0000-00003BB30000}"/>
    <cellStyle name="Output 6" xfId="1510" xr:uid="{00000000-0005-0000-0000-00003CB30000}"/>
    <cellStyle name="Output 7" xfId="1413" xr:uid="{00000000-0005-0000-0000-00003DB30000}"/>
    <cellStyle name="Output 8" xfId="954" xr:uid="{00000000-0005-0000-0000-00003EB30000}"/>
    <cellStyle name="Output 8 2" xfId="3935" xr:uid="{00000000-0005-0000-0000-00003FB30000}"/>
    <cellStyle name="Output 9" xfId="2167" xr:uid="{00000000-0005-0000-0000-000040B30000}"/>
    <cellStyle name="p-blue" xfId="71" xr:uid="{00000000-0005-0000-0000-000041B30000}"/>
    <cellStyle name="Percent" xfId="46002" builtinId="5"/>
    <cellStyle name="Percent 10" xfId="72" xr:uid="{00000000-0005-0000-0000-000043B30000}"/>
    <cellStyle name="Percent 2" xfId="91" xr:uid="{00000000-0005-0000-0000-000044B30000}"/>
    <cellStyle name="Percent 2 2" xfId="184" xr:uid="{00000000-0005-0000-0000-000045B30000}"/>
    <cellStyle name="Percent 3" xfId="323" xr:uid="{00000000-0005-0000-0000-000046B30000}"/>
    <cellStyle name="Percent 3 2" xfId="595" xr:uid="{00000000-0005-0000-0000-000047B30000}"/>
    <cellStyle name="Percent 3 3" xfId="488" xr:uid="{00000000-0005-0000-0000-000048B30000}"/>
    <cellStyle name="Percent 3 4" xfId="1420" xr:uid="{00000000-0005-0000-0000-000049B30000}"/>
    <cellStyle name="Percent 4" xfId="444" xr:uid="{00000000-0005-0000-0000-00004AB30000}"/>
    <cellStyle name="Percent 4 2" xfId="689" xr:uid="{00000000-0005-0000-0000-00004BB30000}"/>
    <cellStyle name="Percent 4 3" xfId="506" xr:uid="{00000000-0005-0000-0000-00004CB30000}"/>
    <cellStyle name="Percent 5" xfId="1097" xr:uid="{00000000-0005-0000-0000-00004DB30000}"/>
    <cellStyle name="Percent 5 2" xfId="1399" xr:uid="{00000000-0005-0000-0000-00004EB30000}"/>
    <cellStyle name="Percent 6" xfId="1513" xr:uid="{00000000-0005-0000-0000-00004FB30000}"/>
    <cellStyle name="Percent 7" xfId="1523" xr:uid="{00000000-0005-0000-0000-000050B30000}"/>
    <cellStyle name="Percent 8" xfId="3514" xr:uid="{00000000-0005-0000-0000-000051B30000}"/>
    <cellStyle name="Percent 9" xfId="3966" xr:uid="{00000000-0005-0000-0000-000052B30000}"/>
    <cellStyle name="Percent(0)" xfId="73" xr:uid="{00000000-0005-0000-0000-000053B30000}"/>
    <cellStyle name="Percent(0) 2" xfId="92" xr:uid="{00000000-0005-0000-0000-000054B30000}"/>
    <cellStyle name="Percent(0) 2 2" xfId="801" xr:uid="{00000000-0005-0000-0000-000055B30000}"/>
    <cellStyle name="Percent(0) 2 3" xfId="256" xr:uid="{00000000-0005-0000-0000-000056B30000}"/>
    <cellStyle name="Percent(0) 3" xfId="1103" xr:uid="{00000000-0005-0000-0000-000057B30000}"/>
    <cellStyle name="Percent(0) 3 2" xfId="1405" xr:uid="{00000000-0005-0000-0000-000058B30000}"/>
    <cellStyle name="Percent(0) 4" xfId="1411" xr:uid="{00000000-0005-0000-0000-000059B30000}"/>
    <cellStyle name="Percent(0) 5" xfId="3967" xr:uid="{00000000-0005-0000-0000-00005AB30000}"/>
    <cellStyle name="p-green" xfId="74" xr:uid="{00000000-0005-0000-0000-00005BB30000}"/>
    <cellStyle name="p-green 2" xfId="93" xr:uid="{00000000-0005-0000-0000-00005CB30000}"/>
    <cellStyle name="p-green 2 2" xfId="1522" xr:uid="{00000000-0005-0000-0000-00005DB30000}"/>
    <cellStyle name="p-green 2 3" xfId="257" xr:uid="{00000000-0005-0000-0000-00005EB30000}"/>
    <cellStyle name="p-green 3" xfId="1104" xr:uid="{00000000-0005-0000-0000-00005FB30000}"/>
    <cellStyle name="p-green 3 2" xfId="1406" xr:uid="{00000000-0005-0000-0000-000060B30000}"/>
    <cellStyle name="p-green 4" xfId="1502" xr:uid="{00000000-0005-0000-0000-000061B30000}"/>
    <cellStyle name="p-green 5" xfId="3968" xr:uid="{00000000-0005-0000-0000-000062B30000}"/>
    <cellStyle name="p-red" xfId="75" xr:uid="{00000000-0005-0000-0000-000063B30000}"/>
    <cellStyle name="p-red 2" xfId="484" xr:uid="{00000000-0005-0000-0000-000064B30000}"/>
    <cellStyle name="p-red 3" xfId="507" xr:uid="{00000000-0005-0000-0000-000065B30000}"/>
    <cellStyle name="p-red 4" xfId="445" xr:uid="{00000000-0005-0000-0000-000066B30000}"/>
    <cellStyle name="p-red 5" xfId="711" xr:uid="{00000000-0005-0000-0000-000067B30000}"/>
    <cellStyle name="p-red 6" xfId="1414" xr:uid="{00000000-0005-0000-0000-000068B30000}"/>
    <cellStyle name="p-red 7" xfId="1432" xr:uid="{00000000-0005-0000-0000-000069B30000}"/>
    <cellStyle name="p-red 8" xfId="2161" xr:uid="{00000000-0005-0000-0000-00006AB30000}"/>
    <cellStyle name="p-red 9" xfId="3821" xr:uid="{00000000-0005-0000-0000-00006BB30000}"/>
    <cellStyle name="p-white" xfId="76" xr:uid="{00000000-0005-0000-0000-00006CB30000}"/>
    <cellStyle name="p-yellow" xfId="77" xr:uid="{00000000-0005-0000-0000-00006DB30000}"/>
    <cellStyle name="Title" xfId="1" builtinId="15" customBuiltin="1"/>
    <cellStyle name="Title 2" xfId="185" xr:uid="{00000000-0005-0000-0000-00006FB30000}"/>
    <cellStyle name="Title 2 2" xfId="380" xr:uid="{00000000-0005-0000-0000-000070B30000}"/>
    <cellStyle name="Title 2 3" xfId="2864" xr:uid="{00000000-0005-0000-0000-000071B30000}"/>
    <cellStyle name="Title 2 4" xfId="3948" xr:uid="{00000000-0005-0000-0000-000072B30000}"/>
    <cellStyle name="Title 3" xfId="189" xr:uid="{00000000-0005-0000-0000-000073B30000}"/>
    <cellStyle name="Title 3 2" xfId="522" xr:uid="{00000000-0005-0000-0000-000074B30000}"/>
    <cellStyle name="Title 3 3" xfId="485" xr:uid="{00000000-0005-0000-0000-000075B30000}"/>
    <cellStyle name="Title 3 4" xfId="1464" xr:uid="{00000000-0005-0000-0000-000076B30000}"/>
    <cellStyle name="Title 4" xfId="324" xr:uid="{00000000-0005-0000-0000-000077B30000}"/>
    <cellStyle name="Title 5" xfId="1529" xr:uid="{00000000-0005-0000-0000-000078B30000}"/>
    <cellStyle name="Title 6" xfId="3532" xr:uid="{00000000-0005-0000-0000-000079B30000}"/>
    <cellStyle name="Title 7" xfId="142" xr:uid="{00000000-0005-0000-0000-00007AB30000}"/>
    <cellStyle name="Total" xfId="17" builtinId="25" customBuiltin="1"/>
    <cellStyle name="Total 10" xfId="2257" xr:uid="{00000000-0005-0000-0000-00007CB30000}"/>
    <cellStyle name="Total 11" xfId="143" xr:uid="{00000000-0005-0000-0000-00007DB30000}"/>
    <cellStyle name="Total 2" xfId="186" xr:uid="{00000000-0005-0000-0000-00007EB30000}"/>
    <cellStyle name="Total 2 2" xfId="350" xr:uid="{00000000-0005-0000-0000-00007FB30000}"/>
    <cellStyle name="Total 2 3" xfId="2865" xr:uid="{00000000-0005-0000-0000-000080B30000}"/>
    <cellStyle name="Total 2 4" xfId="3576" xr:uid="{00000000-0005-0000-0000-000081B30000}"/>
    <cellStyle name="Total 3" xfId="205" xr:uid="{00000000-0005-0000-0000-000082B30000}"/>
    <cellStyle name="Total 3 2" xfId="538" xr:uid="{00000000-0005-0000-0000-000083B30000}"/>
    <cellStyle name="Total 3 3" xfId="486" xr:uid="{00000000-0005-0000-0000-000084B30000}"/>
    <cellStyle name="Total 3 4" xfId="1483" xr:uid="{00000000-0005-0000-0000-000085B30000}"/>
    <cellStyle name="Total 4" xfId="325" xr:uid="{00000000-0005-0000-0000-000086B30000}"/>
    <cellStyle name="Total 5" xfId="746" xr:uid="{00000000-0005-0000-0000-000087B30000}"/>
    <cellStyle name="Total 6" xfId="1474" xr:uid="{00000000-0005-0000-0000-000088B30000}"/>
    <cellStyle name="Total 7" xfId="1520" xr:uid="{00000000-0005-0000-0000-000089B30000}"/>
    <cellStyle name="Total 8" xfId="1460" xr:uid="{00000000-0005-0000-0000-00008AB30000}"/>
    <cellStyle name="Total 8 2" xfId="3941" xr:uid="{00000000-0005-0000-0000-00008BB30000}"/>
    <cellStyle name="Total 9" xfId="2808" xr:uid="{00000000-0005-0000-0000-00008CB30000}"/>
    <cellStyle name="Warning Text" xfId="14" builtinId="11" customBuiltin="1"/>
    <cellStyle name="Warning Text 10" xfId="144" xr:uid="{00000000-0005-0000-0000-00008EB30000}"/>
    <cellStyle name="Warning Text 2" xfId="187" xr:uid="{00000000-0005-0000-0000-00008FB30000}"/>
    <cellStyle name="Warning Text 2 2" xfId="374" xr:uid="{00000000-0005-0000-0000-000090B30000}"/>
    <cellStyle name="Warning Text 2 3" xfId="2866" xr:uid="{00000000-0005-0000-0000-000091B30000}"/>
    <cellStyle name="Warning Text 2 4" xfId="3934" xr:uid="{00000000-0005-0000-0000-000092B30000}"/>
    <cellStyle name="Warning Text 3" xfId="202" xr:uid="{00000000-0005-0000-0000-000093B30000}"/>
    <cellStyle name="Warning Text 3 2" xfId="535" xr:uid="{00000000-0005-0000-0000-000094B30000}"/>
    <cellStyle name="Warning Text 3 3" xfId="487" xr:uid="{00000000-0005-0000-0000-000095B30000}"/>
    <cellStyle name="Warning Text 3 4" xfId="1462" xr:uid="{00000000-0005-0000-0000-000096B30000}"/>
    <cellStyle name="Warning Text 4" xfId="326" xr:uid="{00000000-0005-0000-0000-000097B30000}"/>
    <cellStyle name="Warning Text 5" xfId="744" xr:uid="{00000000-0005-0000-0000-000098B30000}"/>
    <cellStyle name="Warning Text 6" xfId="800" xr:uid="{00000000-0005-0000-0000-000099B30000}"/>
    <cellStyle name="Warning Text 7" xfId="1508" xr:uid="{00000000-0005-0000-0000-00009AB30000}"/>
    <cellStyle name="Warning Text 8" xfId="827" xr:uid="{00000000-0005-0000-0000-00009BB30000}"/>
    <cellStyle name="Warning Text 8 2" xfId="3949" xr:uid="{00000000-0005-0000-0000-00009CB30000}"/>
    <cellStyle name="Warning Text 9" xfId="3480" xr:uid="{00000000-0005-0000-0000-00009DB30000}"/>
    <cellStyle name="x-Courier" xfId="2165" xr:uid="{00000000-0005-0000-0000-00009EB30000}"/>
    <cellStyle name="y-Blk-on-Grn" xfId="3594" xr:uid="{00000000-0005-0000-0000-00009FB30000}"/>
    <cellStyle name="y-Blk-on-Grn 2" xfId="3925" xr:uid="{00000000-0005-0000-0000-0000A0B30000}"/>
    <cellStyle name="y-Blk-on-Pnk" xfId="78" xr:uid="{00000000-0005-0000-0000-0000A1B30000}"/>
    <cellStyle name="y-Blk-on-Pnk 2" xfId="3501" xr:uid="{00000000-0005-0000-0000-0000A2B30000}"/>
    <cellStyle name="y-Blk-on-Pnk 3" xfId="3506" xr:uid="{00000000-0005-0000-0000-0000A3B30000}"/>
    <cellStyle name="y-Blk-on-Wht" xfId="3561" xr:uid="{00000000-0005-0000-0000-0000A4B30000}"/>
    <cellStyle name="y-Blu-on-Yel" xfId="79" xr:uid="{00000000-0005-0000-0000-0000A5B30000}"/>
    <cellStyle name="y-Blu-on-Yel 2" xfId="490" xr:uid="{00000000-0005-0000-0000-0000A6B30000}"/>
    <cellStyle name="y-Blu-on-Yel 3" xfId="2170" xr:uid="{00000000-0005-0000-0000-0000A7B30000}"/>
    <cellStyle name="y-Blu-on-Yel 4" xfId="3568" xr:uid="{00000000-0005-0000-0000-0000A8B30000}"/>
    <cellStyle name="y-Blu-on-Yel 5" xfId="230" xr:uid="{00000000-0005-0000-0000-0000A9B30000}"/>
    <cellStyle name="y-Wht-on-Red" xfId="80" xr:uid="{00000000-0005-0000-0000-0000AAB30000}"/>
    <cellStyle name="y-Wht-on-Red 2" xfId="3592" xr:uid="{00000000-0005-0000-0000-0000ABB30000}"/>
    <cellStyle name="y-Wht-on-Red 3" xfId="3520" xr:uid="{00000000-0005-0000-0000-0000ACB30000}"/>
    <cellStyle name="y-Yel-on-Blu" xfId="81" xr:uid="{00000000-0005-0000-0000-0000ADB30000}"/>
    <cellStyle name="y-Yel-on-Blu 2" xfId="3478" xr:uid="{00000000-0005-0000-0000-0000AEB30000}"/>
    <cellStyle name="y-Yel-on-Blu 3" xfId="3593" xr:uid="{00000000-0005-0000-0000-0000AFB30000}"/>
    <cellStyle name="zCurrency0" xfId="3481" xr:uid="{00000000-0005-0000-0000-0000B0B30000}"/>
    <cellStyle name="zCurrency2" xfId="3527" xr:uid="{00000000-0005-0000-0000-0000B1B30000}"/>
    <cellStyle name="zDate" xfId="3498" xr:uid="{00000000-0005-0000-0000-0000B2B30000}"/>
  </cellStyles>
  <dxfs count="0"/>
  <tableStyles count="0" defaultTableStyle="TableStyleMedium9" defaultPivotStyle="PivotStyleLight16"/>
  <colors>
    <mruColors>
      <color rgb="FF66FFCC"/>
      <color rgb="FF66FFFF"/>
      <color rgb="FFFF66CC"/>
      <color rgb="FF66CCFF"/>
      <color rgb="FFFF9999"/>
      <color rgb="FFFF99FF"/>
      <color rgb="FFFF66FF"/>
      <color rgb="FFCCFFFF"/>
      <color rgb="FF99FF99"/>
      <color rgb="FFCC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microsoft.com/office/2017/10/relationships/person" Target="persons/perso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7" Type="http://schemas.openxmlformats.org/officeDocument/2006/relationships/image" Target="../media/image5.jpg"/><Relationship Id="rId2" Type="http://schemas.openxmlformats.org/officeDocument/2006/relationships/image" Target="../media/image2.emf"/><Relationship Id="rId1" Type="http://schemas.openxmlformats.org/officeDocument/2006/relationships/image" Target="../media/image1.emf"/><Relationship Id="rId6" Type="http://schemas.openxmlformats.org/officeDocument/2006/relationships/hyperlink" Target="https://eps.wustl.edu/" TargetMode="External"/><Relationship Id="rId5" Type="http://schemas.openxmlformats.org/officeDocument/2006/relationships/image" Target="../media/image4.jpg"/><Relationship Id="rId4" Type="http://schemas.openxmlformats.org/officeDocument/2006/relationships/hyperlink" Target="https://wustl.edu/" TargetMode="External"/></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692</xdr:row>
      <xdr:rowOff>0</xdr:rowOff>
    </xdr:from>
    <xdr:to>
      <xdr:col>3</xdr:col>
      <xdr:colOff>19051</xdr:colOff>
      <xdr:row>693</xdr:row>
      <xdr:rowOff>53977</xdr:rowOff>
    </xdr:to>
    <xdr:pic>
      <xdr:nvPicPr>
        <xdr:cNvPr id="1146" name="Picture 122" hidden="1">
          <a:extLst>
            <a:ext uri="{FF2B5EF4-FFF2-40B4-BE49-F238E27FC236}">
              <a16:creationId xmlns:a16="http://schemas.microsoft.com/office/drawing/2014/main" id="{00000000-0008-0000-0000-00007A040000}"/>
            </a:ext>
          </a:extLst>
        </xdr:cNvPr>
        <xdr:cNvPicPr preferRelativeResize="0">
          <a:picLocks noChangeArrowheads="1" noChangeShapeType="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08000" y="93491050"/>
          <a:ext cx="958850" cy="209550"/>
        </a:xfrm>
        <a:prstGeom prst="rect">
          <a:avLst/>
        </a:prstGeom>
        <a:noFill/>
        <a:ln w="9525">
          <a:miter lim="800000"/>
          <a:headEnd/>
          <a:tailEnd/>
        </a:ln>
      </xdr:spPr>
    </xdr:pic>
    <xdr:clientData/>
  </xdr:twoCellAnchor>
  <xdr:twoCellAnchor editAs="oneCell">
    <xdr:from>
      <xdr:col>1</xdr:col>
      <xdr:colOff>412750</xdr:colOff>
      <xdr:row>692</xdr:row>
      <xdr:rowOff>0</xdr:rowOff>
    </xdr:from>
    <xdr:to>
      <xdr:col>3</xdr:col>
      <xdr:colOff>311151</xdr:colOff>
      <xdr:row>693</xdr:row>
      <xdr:rowOff>53977</xdr:rowOff>
    </xdr:to>
    <xdr:pic>
      <xdr:nvPicPr>
        <xdr:cNvPr id="1147" name="Picture 123" hidden="1">
          <a:extLst>
            <a:ext uri="{FF2B5EF4-FFF2-40B4-BE49-F238E27FC236}">
              <a16:creationId xmlns:a16="http://schemas.microsoft.com/office/drawing/2014/main" id="{00000000-0008-0000-0000-00007B040000}"/>
            </a:ext>
          </a:extLst>
        </xdr:cNvPr>
        <xdr:cNvPicPr preferRelativeResize="0">
          <a:picLocks noChangeArrowheads="1" noChangeShapeType="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20750" y="93491050"/>
          <a:ext cx="838200" cy="209550"/>
        </a:xfrm>
        <a:prstGeom prst="rect">
          <a:avLst/>
        </a:prstGeom>
        <a:noFill/>
        <a:ln w="9525">
          <a:miter lim="800000"/>
          <a:headEnd/>
          <a:tailEnd/>
        </a:ln>
      </xdr:spPr>
    </xdr:pic>
    <xdr:clientData/>
  </xdr:twoCellAnchor>
  <xdr:twoCellAnchor editAs="oneCell">
    <xdr:from>
      <xdr:col>5</xdr:col>
      <xdr:colOff>825500</xdr:colOff>
      <xdr:row>692</xdr:row>
      <xdr:rowOff>0</xdr:rowOff>
    </xdr:from>
    <xdr:to>
      <xdr:col>7</xdr:col>
      <xdr:colOff>50800</xdr:colOff>
      <xdr:row>693</xdr:row>
      <xdr:rowOff>53977</xdr:rowOff>
    </xdr:to>
    <xdr:pic>
      <xdr:nvPicPr>
        <xdr:cNvPr id="1151" name="Picture 127" hidden="1">
          <a:extLst>
            <a:ext uri="{FF2B5EF4-FFF2-40B4-BE49-F238E27FC236}">
              <a16:creationId xmlns:a16="http://schemas.microsoft.com/office/drawing/2014/main" id="{00000000-0008-0000-0000-00007F040000}"/>
            </a:ext>
          </a:extLst>
        </xdr:cNvPr>
        <xdr:cNvPicPr preferRelativeResize="0">
          <a:picLocks noChangeArrowheads="1" noChangeShapeType="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4051300" y="93491050"/>
          <a:ext cx="1003300" cy="209550"/>
        </a:xfrm>
        <a:prstGeom prst="rect">
          <a:avLst/>
        </a:prstGeom>
        <a:noFill/>
        <a:ln w="9525">
          <a:miter lim="800000"/>
          <a:headEnd/>
          <a:tailEnd/>
        </a:ln>
      </xdr:spPr>
    </xdr:pic>
    <xdr:clientData/>
  </xdr:twoCellAnchor>
  <xdr:twoCellAnchor editAs="oneCell">
    <xdr:from>
      <xdr:col>1</xdr:col>
      <xdr:colOff>95249</xdr:colOff>
      <xdr:row>0</xdr:row>
      <xdr:rowOff>0</xdr:rowOff>
    </xdr:from>
    <xdr:to>
      <xdr:col>13</xdr:col>
      <xdr:colOff>767194</xdr:colOff>
      <xdr:row>0</xdr:row>
      <xdr:rowOff>339711</xdr:rowOff>
    </xdr:to>
    <xdr:pic>
      <xdr:nvPicPr>
        <xdr:cNvPr id="3" name="Picture 2">
          <a:hlinkClick xmlns:r="http://schemas.openxmlformats.org/officeDocument/2006/relationships" r:id="rId4"/>
          <a:extLst>
            <a:ext uri="{FF2B5EF4-FFF2-40B4-BE49-F238E27FC236}">
              <a16:creationId xmlns:a16="http://schemas.microsoft.com/office/drawing/2014/main" id="{6EC2166D-A1E3-4047-9837-692584D521B6}"/>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tretch>
          <a:fillRect/>
        </a:stretch>
      </xdr:blipFill>
      <xdr:spPr>
        <a:xfrm>
          <a:off x="580158" y="0"/>
          <a:ext cx="10058400" cy="339711"/>
        </a:xfrm>
        <a:prstGeom prst="rect">
          <a:avLst/>
        </a:prstGeom>
      </xdr:spPr>
    </xdr:pic>
    <xdr:clientData/>
  </xdr:twoCellAnchor>
  <xdr:twoCellAnchor editAs="oneCell">
    <xdr:from>
      <xdr:col>1</xdr:col>
      <xdr:colOff>95249</xdr:colOff>
      <xdr:row>1</xdr:row>
      <xdr:rowOff>0</xdr:rowOff>
    </xdr:from>
    <xdr:to>
      <xdr:col>13</xdr:col>
      <xdr:colOff>767194</xdr:colOff>
      <xdr:row>2</xdr:row>
      <xdr:rowOff>32561</xdr:rowOff>
    </xdr:to>
    <xdr:pic>
      <xdr:nvPicPr>
        <xdr:cNvPr id="5" name="Picture 4">
          <a:hlinkClick xmlns:r="http://schemas.openxmlformats.org/officeDocument/2006/relationships" r:id="rId6"/>
          <a:extLst>
            <a:ext uri="{FF2B5EF4-FFF2-40B4-BE49-F238E27FC236}">
              <a16:creationId xmlns:a16="http://schemas.microsoft.com/office/drawing/2014/main" id="{AF97FCF3-AEEF-44D7-9FE0-A72B366710CC}"/>
            </a:ext>
          </a:extLst>
        </xdr:cNvPr>
        <xdr:cNvPicPr>
          <a:picLocks noChangeAspect="1"/>
        </xdr:cNvPicPr>
      </xdr:nvPicPr>
      <xdr:blipFill>
        <a:blip xmlns:r="http://schemas.openxmlformats.org/officeDocument/2006/relationships" r:embed="rId7">
          <a:extLst>
            <a:ext uri="{28A0092B-C50C-407E-A947-70E740481C1C}">
              <a14:useLocalDpi xmlns:a14="http://schemas.microsoft.com/office/drawing/2010/main" val="0"/>
            </a:ext>
          </a:extLst>
        </a:blip>
        <a:stretch>
          <a:fillRect/>
        </a:stretch>
      </xdr:blipFill>
      <xdr:spPr>
        <a:xfrm>
          <a:off x="580158" y="346364"/>
          <a:ext cx="10058400" cy="413561"/>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RLKor\Box\B_WORK\Lunar%20Meteorites%20Website%20-%20working\moon_meteorites_list_alpha.xlsx" TargetMode="External"/><Relationship Id="rId1" Type="http://schemas.openxmlformats.org/officeDocument/2006/relationships/externalLinkPath" Target="moon_meteorites_list_alph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moon_meteorites_list_alpha"/>
    </sheetNames>
    <sheetDataSet>
      <sheetData sheetId="0">
        <row r="871">
          <cell r="Y871">
            <v>1956581.872</v>
          </cell>
        </row>
      </sheetData>
    </sheetDataSet>
  </externalBook>
</externalLink>
</file>

<file path=xl/persons/person.xml><?xml version="1.0" encoding="utf-8"?>
<personList xmlns="http://schemas.microsoft.com/office/spreadsheetml/2018/threadedcomments" xmlns:x="http://schemas.openxmlformats.org/spreadsheetml/2006/main">
  <person displayName="Randy Korotev" id="{EE55BCF8-DB1A-4E9D-A9F4-28C009792DDB}" userId="4325047d236f4677" providerId="Windows Live"/>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Z289" dT="2019-11-09T17:23:57.35" personId="{EE55BCF8-DB1A-4E9D-A9F4-28C009792DDB}" id="{47AFB013-4BFA-4C61-B77A-F1893539F5C3}">
    <text>2402</text>
  </threadedComment>
</ThreadedComments>
</file>

<file path=xl/worksheets/_rels/sheet1.xml.rels><?xml version="1.0" encoding="UTF-8" standalone="yes"?>
<Relationships xmlns="http://schemas.openxmlformats.org/package/2006/relationships"><Relationship Id="rId8" Type="http://schemas.openxmlformats.org/officeDocument/2006/relationships/hyperlink" Target="https://meteorites.wustl.edu/lunar/moon_meteorites_list_alpha.htm" TargetMode="External"/><Relationship Id="rId13" Type="http://schemas.openxmlformats.org/officeDocument/2006/relationships/hyperlink" Target="https://sites.wustl.edu/meteoritesite/identification/" TargetMode="External"/><Relationship Id="rId18" Type="http://schemas.microsoft.com/office/2017/10/relationships/threadedComment" Target="../threadedComments/threadedComment1.xml"/><Relationship Id="rId3" Type="http://schemas.openxmlformats.org/officeDocument/2006/relationships/hyperlink" Target="http://www-curator.jsc.nasa.gov/antmet/map.cfm" TargetMode="External"/><Relationship Id="rId7" Type="http://schemas.openxmlformats.org/officeDocument/2006/relationships/hyperlink" Target="https://eps.wustl.edu/people/randy-l-korotev" TargetMode="External"/><Relationship Id="rId12" Type="http://schemas.openxmlformats.org/officeDocument/2006/relationships/hyperlink" Target="https://sites.wustl.edu/meteoritesite/" TargetMode="External"/><Relationship Id="rId17" Type="http://schemas.openxmlformats.org/officeDocument/2006/relationships/comments" Target="../comments1.xml"/><Relationship Id="rId2" Type="http://schemas.openxmlformats.org/officeDocument/2006/relationships/hyperlink" Target="http://www.imca.cc/mars/martian-meteorites-list.htm" TargetMode="External"/><Relationship Id="rId16" Type="http://schemas.openxmlformats.org/officeDocument/2006/relationships/vmlDrawing" Target="../drawings/vmlDrawing1.vml"/><Relationship Id="rId1" Type="http://schemas.openxmlformats.org/officeDocument/2006/relationships/hyperlink" Target="http://www.lpi.usra.edu/meteor/metbull.php" TargetMode="External"/><Relationship Id="rId6" Type="http://schemas.openxmlformats.org/officeDocument/2006/relationships/hyperlink" Target="https://wustl.edu/" TargetMode="External"/><Relationship Id="rId11" Type="http://schemas.openxmlformats.org/officeDocument/2006/relationships/hyperlink" Target="https://sites.wustl.edu/meteoritesite/items/how-do-we-know-that-its-a-rock-from-the-moon/" TargetMode="External"/><Relationship Id="rId5" Type="http://schemas.openxmlformats.org/officeDocument/2006/relationships/hyperlink" Target="http://eps.wustl.edu/" TargetMode="External"/><Relationship Id="rId15" Type="http://schemas.openxmlformats.org/officeDocument/2006/relationships/drawing" Target="../drawings/drawing1.xml"/><Relationship Id="rId10" Type="http://schemas.openxmlformats.org/officeDocument/2006/relationships/hyperlink" Target="https://eeps.wustl.edu/" TargetMode="External"/><Relationship Id="rId4" Type="http://schemas.openxmlformats.org/officeDocument/2006/relationships/hyperlink" Target="http://www.lpi.usra.edu/publications/books/lunar_sourcebook/" TargetMode="External"/><Relationship Id="rId9" Type="http://schemas.openxmlformats.org/officeDocument/2006/relationships/hyperlink" Target="https://meteorites.wustl.edu/lunar/moon_meteorites_list_alpha.htm" TargetMode="External"/><Relationship Id="rId14"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DC695"/>
  <sheetViews>
    <sheetView tabSelected="1" topLeftCell="A17" zoomScale="110" zoomScaleNormal="110" zoomScaleSheetLayoutView="89" workbookViewId="0">
      <selection activeCell="Q42" sqref="Q42:Q43"/>
    </sheetView>
  </sheetViews>
  <sheetFormatPr defaultColWidth="9.140625" defaultRowHeight="12.75" customHeight="1" x14ac:dyDescent="0.25"/>
  <cols>
    <col min="1" max="1" width="3.140625" customWidth="1"/>
    <col min="2" max="3" width="6.7109375" style="15" customWidth="1"/>
    <col min="4" max="12" width="12.7109375" style="15" customWidth="1"/>
    <col min="13" max="14" width="12.7109375" style="42" customWidth="1"/>
    <col min="15" max="15" width="4" style="15" customWidth="1"/>
    <col min="16" max="16" width="17.42578125" style="127" customWidth="1"/>
    <col min="17" max="17" width="26.28515625" style="55" customWidth="1"/>
    <col min="18" max="19" width="7.7109375" style="15" customWidth="1"/>
    <col min="20" max="20" width="13.5703125" style="50" customWidth="1"/>
    <col min="21" max="21" width="3" style="9" customWidth="1"/>
    <col min="22" max="22" width="13.5703125" style="9" bestFit="1" customWidth="1"/>
    <col min="23" max="23" width="11.42578125" style="9" customWidth="1"/>
    <col min="24" max="24" width="9.7109375" style="9" customWidth="1"/>
    <col min="25" max="25" width="9.140625" style="9" customWidth="1"/>
    <col min="26" max="26" width="10.42578125" style="9" customWidth="1"/>
    <col min="27" max="69" width="9.140625" style="9" customWidth="1"/>
    <col min="70" max="71" width="5.140625" style="9" customWidth="1"/>
    <col min="72" max="72" width="39" style="63" customWidth="1"/>
    <col min="73" max="73" width="3.28515625" style="15" customWidth="1"/>
    <col min="74" max="74" width="2.5703125" style="15" bestFit="1" customWidth="1"/>
    <col min="75" max="76" width="2.85546875" style="15" bestFit="1" customWidth="1"/>
    <col min="77" max="78" width="2.5703125" style="15" bestFit="1" customWidth="1"/>
    <col min="79" max="80" width="2.85546875" style="15" bestFit="1" customWidth="1"/>
    <col min="81" max="82" width="2.5703125" style="15" bestFit="1" customWidth="1"/>
    <col min="83" max="83" width="2.7109375" style="15" bestFit="1" customWidth="1"/>
    <col min="84" max="84" width="2.5703125" style="15" bestFit="1" customWidth="1"/>
    <col min="85" max="85" width="3.140625" style="15" bestFit="1" customWidth="1"/>
    <col min="86" max="86" width="2.85546875" style="15" bestFit="1" customWidth="1"/>
    <col min="87" max="87" width="4.140625" style="15" bestFit="1" customWidth="1"/>
    <col min="88" max="16384" width="9.140625" style="15"/>
  </cols>
  <sheetData>
    <row r="1" spans="1:107" ht="27" customHeight="1" x14ac:dyDescent="0.25">
      <c r="B1" s="12"/>
      <c r="C1" s="13"/>
      <c r="D1" s="13"/>
      <c r="E1" s="13"/>
      <c r="F1" s="13"/>
      <c r="G1" s="13"/>
      <c r="H1" s="13"/>
      <c r="I1" s="13"/>
      <c r="J1" s="13"/>
      <c r="K1" s="13"/>
      <c r="L1" s="13"/>
      <c r="M1" s="34"/>
      <c r="N1" s="34"/>
      <c r="Q1" s="26"/>
      <c r="BU1" s="25" t="s">
        <v>230</v>
      </c>
    </row>
    <row r="2" spans="1:107" ht="30" customHeight="1" x14ac:dyDescent="0.25">
      <c r="B2" s="295"/>
      <c r="C2" s="295"/>
      <c r="D2" s="295"/>
      <c r="E2" s="295"/>
      <c r="F2" s="295"/>
      <c r="G2" s="295"/>
      <c r="H2" s="295"/>
      <c r="I2" s="295"/>
      <c r="J2" s="295"/>
      <c r="K2" s="295"/>
      <c r="L2" s="295"/>
      <c r="M2" s="295"/>
      <c r="N2" s="295"/>
      <c r="Q2" s="26"/>
      <c r="BU2" s="25" t="s">
        <v>230</v>
      </c>
    </row>
    <row r="3" spans="1:107" s="8" customFormat="1" ht="30" customHeight="1" thickBot="1" x14ac:dyDescent="0.3">
      <c r="A3"/>
      <c r="B3" s="71"/>
      <c r="C3" s="72"/>
      <c r="D3" s="72"/>
      <c r="E3" s="72"/>
      <c r="F3" s="72"/>
      <c r="G3" s="72"/>
      <c r="H3" s="72"/>
      <c r="I3" s="72"/>
      <c r="J3" s="73"/>
      <c r="K3" s="72"/>
      <c r="L3" s="73" t="s">
        <v>107</v>
      </c>
      <c r="M3" s="296" t="str">
        <f>HYPERLINK("https://sites.wustl.edu/meteoritesite/items/lunar-meteorites/","Lunar Meteorites")</f>
        <v>Lunar Meteorites</v>
      </c>
      <c r="N3" s="297"/>
      <c r="P3" s="128"/>
      <c r="Q3" s="26"/>
      <c r="T3" s="50"/>
      <c r="U3" s="9"/>
      <c r="V3" s="9"/>
      <c r="W3" s="9"/>
      <c r="X3" s="9"/>
      <c r="Y3" s="9"/>
      <c r="Z3" s="9"/>
      <c r="AA3" s="9"/>
      <c r="AB3" s="9"/>
      <c r="AC3" s="9"/>
      <c r="AD3" s="9"/>
      <c r="AE3" s="9"/>
      <c r="AF3" s="9"/>
      <c r="AG3" s="9"/>
      <c r="AH3" s="9"/>
      <c r="AI3" s="9"/>
      <c r="AJ3" s="9"/>
      <c r="AK3" s="9"/>
      <c r="AL3" s="9"/>
      <c r="AM3" s="9"/>
      <c r="AN3" s="9"/>
      <c r="AO3" s="9"/>
      <c r="AP3" s="9"/>
      <c r="AQ3" s="9"/>
      <c r="AR3" s="9"/>
      <c r="AS3" s="9"/>
      <c r="AT3" s="9"/>
      <c r="AU3" s="9"/>
      <c r="AV3" s="9"/>
      <c r="AW3" s="9"/>
      <c r="AX3" s="9"/>
      <c r="AY3" s="9"/>
      <c r="AZ3" s="9"/>
      <c r="BA3" s="9"/>
      <c r="BB3" s="9"/>
      <c r="BC3" s="9"/>
      <c r="BD3" s="9"/>
      <c r="BE3" s="9"/>
      <c r="BF3" s="9"/>
      <c r="BG3" s="9"/>
      <c r="BH3" s="9"/>
      <c r="BI3" s="9"/>
      <c r="BJ3" s="9"/>
      <c r="BK3" s="9"/>
      <c r="BL3" s="9"/>
      <c r="BM3" s="9"/>
      <c r="BN3" s="9"/>
      <c r="BO3" s="9"/>
      <c r="BP3" s="9"/>
      <c r="BQ3" s="9"/>
      <c r="BR3" s="9"/>
      <c r="BS3" s="9"/>
      <c r="BT3" s="53"/>
      <c r="BU3" s="56" t="s">
        <v>230</v>
      </c>
    </row>
    <row r="4" spans="1:107" ht="12.75" customHeight="1" x14ac:dyDescent="0.25">
      <c r="B4" s="295"/>
      <c r="C4" s="295"/>
      <c r="D4" s="295"/>
      <c r="E4" s="298"/>
      <c r="F4" s="299"/>
      <c r="G4" s="299"/>
      <c r="H4" s="299"/>
      <c r="I4" s="299"/>
      <c r="J4" s="299"/>
      <c r="K4" s="299"/>
      <c r="L4" s="300"/>
      <c r="M4" s="35"/>
      <c r="N4" s="35"/>
      <c r="Q4" s="26"/>
      <c r="BU4" s="25" t="s">
        <v>230</v>
      </c>
    </row>
    <row r="5" spans="1:107" s="8" customFormat="1" ht="18" customHeight="1" x14ac:dyDescent="0.25">
      <c r="A5"/>
      <c r="B5" s="301"/>
      <c r="C5" s="301"/>
      <c r="D5" s="301"/>
      <c r="E5" s="308" t="s">
        <v>0</v>
      </c>
      <c r="F5" s="309"/>
      <c r="G5" s="309"/>
      <c r="H5" s="309"/>
      <c r="I5" s="309"/>
      <c r="J5" s="309"/>
      <c r="K5" s="309"/>
      <c r="L5" s="310"/>
      <c r="M5" s="36"/>
      <c r="N5" s="36"/>
      <c r="O5" s="15"/>
      <c r="P5" s="127"/>
      <c r="Q5" s="26"/>
      <c r="R5" s="15"/>
      <c r="S5" s="15"/>
      <c r="T5" s="50"/>
      <c r="U5" s="9"/>
      <c r="V5" s="9"/>
      <c r="W5" s="9"/>
      <c r="X5" s="9"/>
      <c r="Y5" s="9"/>
      <c r="Z5" s="9"/>
      <c r="AA5" s="9"/>
      <c r="AB5" s="9"/>
      <c r="AC5" s="9"/>
      <c r="AD5" s="9"/>
      <c r="AE5" s="9"/>
      <c r="AF5" s="9"/>
      <c r="AG5" s="9"/>
      <c r="AH5" s="9"/>
      <c r="AI5" s="9"/>
      <c r="AJ5" s="9"/>
      <c r="AK5" s="9"/>
      <c r="AL5" s="9"/>
      <c r="AM5" s="9"/>
      <c r="AN5" s="9"/>
      <c r="AO5" s="9"/>
      <c r="AP5" s="9"/>
      <c r="AQ5" s="9"/>
      <c r="AR5" s="9"/>
      <c r="AS5" s="9"/>
      <c r="AT5" s="9"/>
      <c r="AU5" s="9"/>
      <c r="AV5" s="9"/>
      <c r="AW5" s="9"/>
      <c r="AX5" s="9"/>
      <c r="AY5" s="9"/>
      <c r="AZ5" s="9"/>
      <c r="BA5" s="9"/>
      <c r="BB5" s="9"/>
      <c r="BC5" s="9"/>
      <c r="BD5" s="9"/>
      <c r="BE5" s="9"/>
      <c r="BF5" s="9"/>
      <c r="BG5" s="9"/>
      <c r="BH5" s="9"/>
      <c r="BI5" s="9"/>
      <c r="BJ5" s="9"/>
      <c r="BK5" s="9"/>
      <c r="BL5" s="9"/>
      <c r="BM5" s="9"/>
      <c r="BN5" s="9"/>
      <c r="BO5" s="9"/>
      <c r="BP5" s="9"/>
      <c r="BQ5" s="9"/>
      <c r="BR5" s="9"/>
      <c r="BS5" s="9"/>
      <c r="BT5" s="53"/>
      <c r="BU5" s="25" t="s">
        <v>230</v>
      </c>
    </row>
    <row r="6" spans="1:107" ht="12.75" customHeight="1" x14ac:dyDescent="0.25">
      <c r="B6" s="302"/>
      <c r="C6" s="302"/>
      <c r="D6" s="302"/>
      <c r="E6" s="311"/>
      <c r="F6" s="312"/>
      <c r="G6" s="312"/>
      <c r="H6" s="312"/>
      <c r="I6" s="312"/>
      <c r="J6" s="312"/>
      <c r="K6" s="312"/>
      <c r="L6" s="313"/>
      <c r="M6" s="37"/>
      <c r="N6" s="37"/>
      <c r="Q6" s="26"/>
      <c r="BU6" s="25" t="s">
        <v>230</v>
      </c>
    </row>
    <row r="7" spans="1:107" ht="33.950000000000003" customHeight="1" x14ac:dyDescent="0.25">
      <c r="B7" s="307"/>
      <c r="C7" s="307"/>
      <c r="D7" s="307"/>
      <c r="E7" s="303" t="s">
        <v>1</v>
      </c>
      <c r="F7" s="304"/>
      <c r="G7" s="304"/>
      <c r="H7" s="304"/>
      <c r="I7" s="304"/>
      <c r="J7" s="304"/>
      <c r="K7" s="304"/>
      <c r="L7" s="305"/>
      <c r="M7" s="38"/>
      <c r="N7" s="38"/>
      <c r="Q7" s="26"/>
      <c r="BU7" s="25" t="s">
        <v>230</v>
      </c>
    </row>
    <row r="8" spans="1:107" ht="12.75" customHeight="1" x14ac:dyDescent="0.25">
      <c r="B8" s="306"/>
      <c r="C8" s="306"/>
      <c r="D8" s="306"/>
      <c r="E8" s="16"/>
      <c r="F8" s="17"/>
      <c r="G8" s="17"/>
      <c r="H8" s="17"/>
      <c r="I8" s="17"/>
      <c r="J8" s="17"/>
      <c r="K8" s="17"/>
      <c r="L8" s="18"/>
      <c r="M8" s="37"/>
      <c r="N8" s="37"/>
      <c r="Q8" s="26"/>
      <c r="BU8" s="25" t="s">
        <v>230</v>
      </c>
    </row>
    <row r="9" spans="1:107" ht="18" customHeight="1" x14ac:dyDescent="0.25">
      <c r="B9" s="301"/>
      <c r="C9" s="301"/>
      <c r="D9" s="301"/>
      <c r="E9" s="308" t="s">
        <v>203</v>
      </c>
      <c r="F9" s="309"/>
      <c r="G9" s="309"/>
      <c r="H9" s="309"/>
      <c r="I9" s="309"/>
      <c r="J9" s="309"/>
      <c r="K9" s="309"/>
      <c r="L9" s="310"/>
      <c r="M9" s="36"/>
      <c r="N9" s="36"/>
      <c r="Q9" s="26"/>
      <c r="BU9" s="25" t="s">
        <v>230</v>
      </c>
    </row>
    <row r="10" spans="1:107" ht="12.75" customHeight="1" thickBot="1" x14ac:dyDescent="0.3">
      <c r="B10" s="301"/>
      <c r="C10" s="301"/>
      <c r="D10" s="301"/>
      <c r="E10" s="314"/>
      <c r="F10" s="315"/>
      <c r="G10" s="315"/>
      <c r="H10" s="315"/>
      <c r="I10" s="315"/>
      <c r="J10" s="315"/>
      <c r="K10" s="315"/>
      <c r="L10" s="316"/>
      <c r="M10" s="39"/>
      <c r="N10" s="39"/>
      <c r="Q10" s="26"/>
      <c r="BU10" s="25" t="s">
        <v>230</v>
      </c>
    </row>
    <row r="11" spans="1:107" s="8" customFormat="1" ht="23.25" customHeight="1" x14ac:dyDescent="0.25">
      <c r="A11"/>
      <c r="B11" s="317" t="s">
        <v>537</v>
      </c>
      <c r="C11" s="317"/>
      <c r="D11" s="317"/>
      <c r="E11" s="317"/>
      <c r="F11" s="317"/>
      <c r="G11" s="317"/>
      <c r="H11" s="317"/>
      <c r="I11" s="317"/>
      <c r="J11" s="317"/>
      <c r="K11" s="317"/>
      <c r="L11" s="317"/>
      <c r="M11" s="317"/>
      <c r="N11" s="317"/>
      <c r="O11" s="15"/>
      <c r="P11" s="127"/>
      <c r="Q11" s="15"/>
      <c r="R11" s="15"/>
      <c r="S11" s="15"/>
      <c r="T11" s="15"/>
      <c r="U11" s="15"/>
      <c r="V11" s="15"/>
      <c r="W11" s="15"/>
      <c r="X11" s="15"/>
      <c r="Y11" s="15"/>
      <c r="Z11" s="15"/>
      <c r="AA11" s="15"/>
      <c r="AB11" s="15"/>
      <c r="AC11" s="15"/>
      <c r="AD11" s="15"/>
      <c r="AE11" s="15"/>
      <c r="AF11" s="15"/>
      <c r="AG11" s="15"/>
      <c r="AH11" s="15"/>
      <c r="AI11" s="15"/>
      <c r="AJ11" s="15"/>
      <c r="AK11" s="15"/>
      <c r="AL11" s="15"/>
      <c r="AM11" s="15"/>
      <c r="AN11" s="15"/>
      <c r="AO11" s="15"/>
      <c r="AP11" s="15"/>
      <c r="AQ11" s="15"/>
      <c r="AR11" s="15"/>
      <c r="AS11" s="15"/>
      <c r="AT11" s="15"/>
      <c r="AU11" s="15"/>
      <c r="AV11" s="15"/>
      <c r="AW11" s="15"/>
      <c r="AX11" s="15"/>
      <c r="AY11" s="15"/>
      <c r="AZ11" s="15"/>
      <c r="BA11" s="15"/>
      <c r="BB11" s="15"/>
      <c r="BC11" s="15"/>
      <c r="BD11" s="15"/>
      <c r="BE11" s="15"/>
      <c r="BF11" s="15"/>
      <c r="BG11" s="15"/>
      <c r="BH11" s="15"/>
      <c r="BI11" s="15"/>
      <c r="BJ11" s="15"/>
      <c r="BK11" s="15"/>
      <c r="BL11" s="15"/>
      <c r="BM11" s="15"/>
      <c r="BN11" s="15"/>
      <c r="BO11" s="15"/>
      <c r="BP11" s="15"/>
      <c r="BQ11" s="15"/>
      <c r="BR11" s="15"/>
      <c r="BS11" s="15"/>
      <c r="BT11" s="15"/>
      <c r="BU11" s="15"/>
      <c r="BV11" s="15"/>
      <c r="BW11" s="15"/>
      <c r="BX11" s="15"/>
      <c r="BY11" s="15"/>
      <c r="BZ11" s="15"/>
      <c r="CA11" s="15"/>
      <c r="CB11" s="15"/>
      <c r="CC11" s="15"/>
      <c r="CD11" s="15"/>
      <c r="CE11" s="15"/>
      <c r="CF11" s="15"/>
      <c r="CG11" s="15"/>
      <c r="CH11" s="15"/>
      <c r="CI11" s="15"/>
      <c r="CJ11" s="15"/>
      <c r="CK11" s="15"/>
      <c r="CL11" s="15"/>
      <c r="CM11" s="15"/>
      <c r="CN11" s="15"/>
      <c r="CO11" s="15"/>
      <c r="CP11" s="15"/>
      <c r="CQ11" s="15"/>
      <c r="CR11" s="15"/>
      <c r="CS11" s="15"/>
      <c r="CT11" s="15"/>
      <c r="CU11" s="15"/>
      <c r="CV11" s="15"/>
      <c r="CW11" s="15"/>
      <c r="CX11" s="15"/>
      <c r="CY11" s="15"/>
      <c r="CZ11" s="15"/>
      <c r="DA11" s="15"/>
      <c r="DB11" s="15"/>
      <c r="DC11" s="15"/>
    </row>
    <row r="12" spans="1:107" ht="12.75" customHeight="1" x14ac:dyDescent="0.25">
      <c r="B12" s="295"/>
      <c r="C12" s="295"/>
      <c r="D12" s="295"/>
      <c r="E12" s="295"/>
      <c r="F12" s="295"/>
      <c r="G12" s="295"/>
      <c r="H12" s="295"/>
      <c r="I12" s="295"/>
      <c r="J12" s="295"/>
      <c r="K12" s="295"/>
      <c r="L12" s="295"/>
      <c r="M12" s="295"/>
      <c r="N12" s="295"/>
      <c r="Q12" s="15"/>
      <c r="T12" s="15"/>
      <c r="U12" s="15"/>
      <c r="V12" s="15"/>
      <c r="W12" s="15"/>
      <c r="X12" s="15"/>
      <c r="Y12" s="15"/>
      <c r="Z12" s="15"/>
      <c r="AA12" s="15"/>
      <c r="AB12" s="15"/>
      <c r="AC12" s="15"/>
      <c r="AD12" s="15"/>
      <c r="AE12" s="15"/>
      <c r="AF12" s="15"/>
      <c r="AG12" s="15"/>
      <c r="AH12" s="15"/>
      <c r="AI12" s="15"/>
      <c r="AJ12" s="15"/>
      <c r="AK12" s="15"/>
      <c r="AL12" s="15"/>
      <c r="AM12" s="15"/>
      <c r="AN12" s="15"/>
      <c r="AO12" s="15"/>
      <c r="AP12" s="15"/>
      <c r="AQ12" s="15"/>
      <c r="AR12" s="15"/>
      <c r="AS12" s="15"/>
      <c r="AT12" s="15"/>
      <c r="AU12" s="15"/>
      <c r="AV12" s="15"/>
      <c r="AW12" s="15"/>
      <c r="AX12" s="15"/>
      <c r="AY12" s="15"/>
      <c r="AZ12" s="15"/>
      <c r="BA12" s="15"/>
      <c r="BB12" s="15"/>
      <c r="BC12" s="15"/>
      <c r="BD12" s="15"/>
      <c r="BE12" s="15"/>
      <c r="BF12" s="15"/>
      <c r="BG12" s="15"/>
      <c r="BH12" s="15"/>
      <c r="BI12" s="15"/>
      <c r="BJ12" s="15"/>
      <c r="BK12" s="15"/>
      <c r="BL12" s="15"/>
      <c r="BM12" s="15"/>
      <c r="BN12" s="15"/>
      <c r="BO12" s="15"/>
      <c r="BP12" s="15"/>
      <c r="BQ12" s="15"/>
      <c r="BR12" s="15"/>
      <c r="BS12" s="15"/>
      <c r="BT12" s="15"/>
    </row>
    <row r="13" spans="1:107" s="8" customFormat="1" ht="12.75" customHeight="1" x14ac:dyDescent="0.25">
      <c r="A13"/>
      <c r="B13" s="248" t="s">
        <v>2</v>
      </c>
      <c r="C13" s="238"/>
      <c r="D13" s="238"/>
      <c r="E13" s="239"/>
      <c r="F13" s="248" t="s">
        <v>20</v>
      </c>
      <c r="G13" s="238"/>
      <c r="H13" s="239"/>
      <c r="I13" s="248" t="s">
        <v>622</v>
      </c>
      <c r="J13" s="238"/>
      <c r="K13" s="239"/>
      <c r="L13" s="248" t="s">
        <v>25</v>
      </c>
      <c r="M13" s="238"/>
      <c r="N13" s="239"/>
      <c r="P13" s="127"/>
      <c r="Q13" s="15"/>
      <c r="R13" s="15"/>
      <c r="S13" s="15"/>
      <c r="T13" s="15"/>
      <c r="U13" s="15"/>
      <c r="V13" s="15"/>
      <c r="W13" s="15"/>
      <c r="X13" s="15"/>
      <c r="Y13" s="15"/>
      <c r="Z13" s="15"/>
      <c r="AA13" s="15"/>
      <c r="AB13" s="15"/>
      <c r="AC13" s="15"/>
      <c r="AD13" s="15"/>
      <c r="AE13" s="15"/>
      <c r="AF13" s="15"/>
      <c r="AG13" s="15"/>
      <c r="AH13" s="15"/>
      <c r="AI13" s="15"/>
      <c r="AJ13" s="15"/>
      <c r="AK13" s="15"/>
      <c r="AL13" s="15"/>
      <c r="AM13" s="15"/>
      <c r="AN13" s="15"/>
      <c r="AO13" s="15"/>
      <c r="AP13" s="15"/>
      <c r="AQ13" s="15"/>
      <c r="AR13" s="15"/>
      <c r="AS13" s="15"/>
      <c r="AT13" s="15"/>
      <c r="AU13" s="15"/>
      <c r="AV13" s="15"/>
      <c r="AW13" s="15"/>
      <c r="AX13" s="15"/>
      <c r="AY13" s="15"/>
      <c r="AZ13" s="15"/>
      <c r="BA13" s="15"/>
      <c r="BB13" s="15"/>
      <c r="BC13" s="15"/>
      <c r="BD13" s="15"/>
      <c r="BE13" s="15"/>
      <c r="BF13" s="15"/>
      <c r="BG13" s="15"/>
      <c r="BH13" s="15"/>
      <c r="BI13" s="15"/>
      <c r="BJ13" s="15"/>
      <c r="BK13" s="15"/>
      <c r="BL13" s="15"/>
      <c r="BM13" s="15"/>
      <c r="BN13" s="15"/>
      <c r="BO13" s="15"/>
      <c r="BP13" s="15"/>
      <c r="BQ13" s="15"/>
      <c r="BR13" s="15"/>
      <c r="BS13" s="15"/>
      <c r="BT13" s="15"/>
      <c r="BU13" s="15"/>
      <c r="BV13" s="15"/>
      <c r="BW13" s="15"/>
      <c r="BX13" s="15"/>
      <c r="BY13" s="15"/>
      <c r="BZ13" s="15"/>
      <c r="CA13" s="15"/>
      <c r="CB13" s="15"/>
      <c r="CC13" s="15"/>
      <c r="CD13" s="15"/>
      <c r="CE13" s="15"/>
      <c r="CF13" s="15"/>
      <c r="CG13" s="15"/>
      <c r="CH13" s="15"/>
      <c r="CI13" s="15"/>
      <c r="CJ13" s="15"/>
      <c r="CK13" s="15"/>
      <c r="CL13" s="15"/>
      <c r="CM13" s="15"/>
      <c r="CN13" s="15"/>
      <c r="CO13" s="15"/>
      <c r="CP13" s="15"/>
      <c r="CQ13" s="15"/>
      <c r="CR13" s="15"/>
      <c r="CS13" s="15"/>
      <c r="CT13" s="15"/>
      <c r="CU13" s="15"/>
      <c r="CV13" s="15"/>
      <c r="CW13" s="15"/>
      <c r="CX13" s="15"/>
      <c r="CY13" s="15"/>
      <c r="CZ13" s="15"/>
      <c r="DA13" s="15"/>
      <c r="DB13" s="15"/>
      <c r="DC13" s="15"/>
    </row>
    <row r="14" spans="1:107" s="20" customFormat="1" ht="12.75" customHeight="1" x14ac:dyDescent="0.25">
      <c r="A14"/>
      <c r="B14" s="321"/>
      <c r="C14" s="322"/>
      <c r="D14" s="191" t="s">
        <v>370</v>
      </c>
      <c r="E14" s="147"/>
      <c r="F14" s="173">
        <v>262</v>
      </c>
      <c r="G14" s="168">
        <v>400</v>
      </c>
      <c r="H14" s="169">
        <v>996</v>
      </c>
      <c r="I14" s="170"/>
      <c r="J14" s="172" t="s">
        <v>88</v>
      </c>
      <c r="K14" s="119"/>
      <c r="L14" s="197">
        <v>93069</v>
      </c>
      <c r="M14" s="86">
        <v>94269</v>
      </c>
      <c r="N14" s="196">
        <v>94281</v>
      </c>
      <c r="P14"/>
      <c r="T14" s="15"/>
      <c r="U14" s="15"/>
      <c r="V14" s="15"/>
      <c r="W14" s="15"/>
      <c r="X14" s="15"/>
      <c r="Y14" s="15"/>
      <c r="Z14" s="15"/>
      <c r="AA14" s="15"/>
      <c r="AB14" s="15"/>
      <c r="AC14" s="15"/>
      <c r="AD14" s="15"/>
      <c r="AE14" s="15"/>
      <c r="AF14" s="15"/>
      <c r="AG14" s="15"/>
      <c r="AH14" s="15"/>
      <c r="AI14" s="15"/>
      <c r="AJ14" s="15"/>
      <c r="AK14" s="15"/>
      <c r="AL14" s="15"/>
      <c r="AM14" s="15"/>
      <c r="AN14" s="15"/>
      <c r="AO14" s="15"/>
      <c r="AP14" s="15"/>
      <c r="AQ14" s="15"/>
      <c r="AR14" s="15"/>
      <c r="AS14" s="15"/>
      <c r="AT14" s="15"/>
      <c r="AU14" s="15"/>
      <c r="AV14" s="15"/>
      <c r="AW14" s="15"/>
      <c r="AX14" s="15"/>
      <c r="AY14" s="15"/>
      <c r="AZ14" s="15"/>
      <c r="BA14" s="15"/>
      <c r="BB14" s="15"/>
      <c r="BC14" s="15"/>
      <c r="BD14" s="15"/>
      <c r="BE14" s="15"/>
      <c r="BF14" s="15"/>
      <c r="BG14" s="15"/>
      <c r="BH14" s="15"/>
      <c r="BI14" s="15"/>
      <c r="BJ14" s="15"/>
      <c r="BK14" s="15"/>
      <c r="BL14" s="15"/>
      <c r="BM14" s="15"/>
      <c r="BN14" s="15"/>
      <c r="BO14" s="15"/>
      <c r="BP14" s="15"/>
      <c r="BQ14" s="15"/>
      <c r="BR14" s="15"/>
      <c r="BS14" s="15"/>
      <c r="BT14" s="15"/>
      <c r="BU14" s="15"/>
      <c r="BV14" s="15"/>
      <c r="BW14" s="15"/>
      <c r="BX14" s="15"/>
      <c r="BY14" s="15"/>
      <c r="BZ14" s="15"/>
      <c r="CA14" s="15"/>
      <c r="CB14" s="15"/>
      <c r="CC14" s="15"/>
      <c r="CD14" s="15"/>
      <c r="CE14" s="15"/>
      <c r="CF14" s="15"/>
      <c r="CG14" s="15"/>
      <c r="CH14" s="15"/>
      <c r="CI14" s="15"/>
      <c r="CJ14" s="15"/>
      <c r="CK14" s="15"/>
      <c r="CL14" s="15"/>
      <c r="CM14" s="15"/>
      <c r="CN14" s="15"/>
      <c r="CO14" s="15"/>
      <c r="CP14" s="15"/>
      <c r="CQ14" s="15"/>
      <c r="CR14" s="15"/>
      <c r="CS14" s="15"/>
      <c r="CT14" s="15"/>
      <c r="CU14" s="15"/>
      <c r="CV14" s="15"/>
      <c r="CW14" s="15"/>
      <c r="CX14" s="15"/>
      <c r="CY14" s="15"/>
      <c r="CZ14" s="15"/>
      <c r="DA14" s="15"/>
      <c r="DB14" s="15"/>
      <c r="DC14" s="15"/>
    </row>
    <row r="15" spans="1:107" s="20" customFormat="1" ht="12.75" customHeight="1" x14ac:dyDescent="0.25">
      <c r="A15"/>
      <c r="B15" s="202" t="s">
        <v>666</v>
      </c>
      <c r="C15" s="203"/>
      <c r="D15" s="203"/>
      <c r="E15" s="204"/>
      <c r="F15" s="173">
        <v>1042</v>
      </c>
      <c r="G15" s="168">
        <v>1048</v>
      </c>
      <c r="H15" s="168">
        <v>1058</v>
      </c>
      <c r="I15" s="202" t="s">
        <v>571</v>
      </c>
      <c r="J15" s="203"/>
      <c r="K15" s="204"/>
      <c r="L15" s="202" t="s">
        <v>214</v>
      </c>
      <c r="M15" s="203"/>
      <c r="N15" s="204"/>
      <c r="P15"/>
      <c r="Q15"/>
      <c r="R15"/>
      <c r="T15" s="15"/>
      <c r="U15" s="15"/>
      <c r="V15" s="15"/>
      <c r="W15" s="15"/>
      <c r="X15" s="15"/>
      <c r="Y15" s="15"/>
      <c r="Z15" s="15"/>
      <c r="AA15" s="15"/>
      <c r="AB15" s="15"/>
      <c r="AC15" s="15"/>
      <c r="AD15" s="15"/>
      <c r="AE15" s="15"/>
      <c r="AF15" s="15"/>
      <c r="AG15" s="15"/>
      <c r="AH15" s="15"/>
      <c r="AI15" s="15"/>
      <c r="AJ15" s="15"/>
      <c r="AK15" s="15"/>
      <c r="AL15" s="15"/>
      <c r="AM15" s="15"/>
      <c r="AN15" s="15"/>
      <c r="AO15" s="15"/>
      <c r="AP15" s="15"/>
      <c r="AQ15" s="15"/>
      <c r="AR15" s="15"/>
      <c r="AS15" s="15"/>
      <c r="AT15" s="15"/>
      <c r="AU15" s="15"/>
      <c r="AV15" s="15"/>
      <c r="AW15" s="15"/>
      <c r="AX15" s="15"/>
      <c r="AY15" s="15"/>
      <c r="AZ15" s="15"/>
      <c r="BA15" s="15"/>
      <c r="BB15" s="15"/>
      <c r="BC15" s="15"/>
      <c r="BD15" s="15"/>
      <c r="BE15" s="15"/>
      <c r="BF15" s="15"/>
      <c r="BG15" s="15"/>
      <c r="BH15" s="15"/>
      <c r="BI15" s="15"/>
      <c r="BJ15" s="15"/>
      <c r="BK15" s="15"/>
      <c r="BL15" s="15"/>
      <c r="BM15" s="15"/>
      <c r="BN15" s="15"/>
      <c r="BO15" s="15"/>
      <c r="BP15" s="15"/>
      <c r="BQ15" s="15"/>
      <c r="BR15" s="15"/>
      <c r="BS15" s="15"/>
      <c r="BT15" s="15"/>
      <c r="BU15" s="15"/>
      <c r="BV15" s="15"/>
      <c r="BW15" s="15"/>
      <c r="BX15" s="15"/>
      <c r="BY15" s="15"/>
      <c r="BZ15" s="15"/>
      <c r="CA15" s="15"/>
      <c r="CB15" s="15"/>
      <c r="CC15" s="15"/>
      <c r="CD15" s="15"/>
      <c r="CE15" s="15"/>
      <c r="CF15" s="15"/>
      <c r="CG15" s="15"/>
      <c r="CH15" s="15"/>
      <c r="CI15" s="15"/>
      <c r="CJ15" s="15"/>
      <c r="CK15" s="15"/>
      <c r="CL15" s="15"/>
      <c r="CM15" s="15"/>
      <c r="CN15" s="15"/>
      <c r="CO15" s="15"/>
      <c r="CP15" s="15"/>
      <c r="CQ15" s="15"/>
      <c r="CR15" s="15"/>
      <c r="CS15" s="15"/>
      <c r="CT15" s="15"/>
      <c r="CU15" s="15"/>
      <c r="CV15" s="15"/>
      <c r="CW15" s="15"/>
      <c r="CX15" s="15"/>
      <c r="CY15" s="15"/>
      <c r="CZ15" s="15"/>
      <c r="DA15" s="15"/>
      <c r="DB15" s="15"/>
      <c r="DC15" s="15"/>
    </row>
    <row r="16" spans="1:107" s="8" customFormat="1" ht="12.75" customHeight="1" x14ac:dyDescent="0.25">
      <c r="A16"/>
      <c r="B16" s="216" t="s">
        <v>370</v>
      </c>
      <c r="C16" s="217"/>
      <c r="D16" s="172" t="s">
        <v>734</v>
      </c>
      <c r="E16" s="169" t="s">
        <v>433</v>
      </c>
      <c r="F16" s="248" t="s">
        <v>777</v>
      </c>
      <c r="G16" s="238"/>
      <c r="H16" s="239"/>
      <c r="I16" s="170"/>
      <c r="J16" s="172" t="s">
        <v>228</v>
      </c>
      <c r="K16" s="119"/>
      <c r="L16" s="167" t="s">
        <v>121</v>
      </c>
      <c r="M16" s="172" t="s">
        <v>215</v>
      </c>
      <c r="N16" s="174" t="s">
        <v>220</v>
      </c>
      <c r="P16"/>
      <c r="Q16"/>
      <c r="R16"/>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5"/>
      <c r="BF16" s="15"/>
      <c r="BG16" s="15"/>
      <c r="BH16" s="15"/>
      <c r="BI16" s="15"/>
      <c r="BJ16" s="15"/>
      <c r="BK16" s="15"/>
      <c r="BL16" s="15"/>
      <c r="BM16" s="15"/>
      <c r="BN16" s="15"/>
      <c r="BO16" s="15"/>
      <c r="BP16" s="15"/>
      <c r="BQ16" s="15"/>
      <c r="BR16" s="15"/>
      <c r="BS16" s="15"/>
      <c r="BT16" s="15"/>
      <c r="BU16" s="15"/>
      <c r="BV16" s="15"/>
      <c r="BW16" s="15"/>
      <c r="BX16" s="15"/>
      <c r="BY16" s="15"/>
      <c r="BZ16" s="15"/>
      <c r="CA16" s="15"/>
      <c r="CB16" s="15"/>
      <c r="CC16" s="15"/>
      <c r="CD16" s="15"/>
      <c r="CE16" s="15"/>
      <c r="CF16" s="15"/>
      <c r="CG16" s="15"/>
      <c r="CH16" s="15"/>
      <c r="CI16" s="15"/>
      <c r="CJ16" s="15"/>
      <c r="CK16" s="15"/>
      <c r="CL16" s="15"/>
      <c r="CM16" s="15"/>
      <c r="CN16" s="15"/>
      <c r="CO16" s="15"/>
      <c r="CP16" s="15"/>
      <c r="CQ16" s="15"/>
      <c r="CR16" s="15"/>
      <c r="CS16" s="15"/>
      <c r="CT16" s="15"/>
      <c r="CU16" s="15"/>
      <c r="CV16" s="15"/>
      <c r="CW16" s="15"/>
      <c r="CX16" s="15"/>
      <c r="CY16" s="15"/>
      <c r="CZ16" s="15"/>
      <c r="DA16" s="15"/>
      <c r="DB16" s="15"/>
      <c r="DC16" s="15"/>
    </row>
    <row r="17" spans="1:107" s="20" customFormat="1" ht="12.75" customHeight="1" x14ac:dyDescent="0.25">
      <c r="A17"/>
      <c r="B17" s="216" t="s">
        <v>373</v>
      </c>
      <c r="C17" s="217"/>
      <c r="D17" s="172"/>
      <c r="E17" s="169"/>
      <c r="F17" s="138"/>
      <c r="G17" s="172" t="s">
        <v>99</v>
      </c>
      <c r="H17" s="118"/>
      <c r="I17" s="238" t="s">
        <v>11</v>
      </c>
      <c r="J17" s="238"/>
      <c r="K17" s="239"/>
      <c r="L17" s="167" t="s">
        <v>226</v>
      </c>
      <c r="M17" s="172" t="s">
        <v>228</v>
      </c>
      <c r="N17" s="174" t="s">
        <v>98</v>
      </c>
      <c r="P17"/>
      <c r="Q17"/>
      <c r="R17"/>
      <c r="S17" s="15"/>
      <c r="T17" s="15"/>
      <c r="U17" s="15"/>
      <c r="V17" s="15"/>
      <c r="W17" s="15"/>
      <c r="X17" s="15"/>
      <c r="Y17" s="15"/>
      <c r="Z17" s="15"/>
      <c r="AA17" s="15"/>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c r="AZ17" s="15"/>
      <c r="BA17" s="15"/>
      <c r="BB17" s="15"/>
      <c r="BC17" s="15"/>
      <c r="BD17" s="15"/>
      <c r="BE17" s="15"/>
      <c r="BF17" s="15"/>
      <c r="BG17" s="15"/>
      <c r="BH17" s="15"/>
      <c r="BI17" s="15"/>
      <c r="BJ17" s="15"/>
      <c r="BK17" s="15"/>
      <c r="BL17" s="15"/>
      <c r="BM17" s="15"/>
      <c r="BN17" s="15"/>
      <c r="BO17" s="15"/>
      <c r="BP17" s="15"/>
      <c r="BQ17" s="15"/>
      <c r="BR17" s="15"/>
      <c r="BS17" s="15"/>
      <c r="BT17" s="15"/>
      <c r="BU17" s="15"/>
      <c r="BV17" s="15"/>
      <c r="BW17" s="15"/>
      <c r="BX17" s="15"/>
      <c r="BY17" s="15"/>
      <c r="BZ17" s="15"/>
      <c r="CA17" s="15"/>
      <c r="CB17" s="15"/>
      <c r="CC17" s="15"/>
      <c r="CD17" s="15"/>
      <c r="CE17" s="15"/>
      <c r="CF17" s="15"/>
      <c r="CG17" s="15"/>
      <c r="CH17" s="15"/>
      <c r="CI17" s="15"/>
      <c r="CJ17" s="15"/>
      <c r="CK17" s="15"/>
      <c r="CL17" s="15"/>
      <c r="CM17" s="15"/>
      <c r="CN17" s="15"/>
      <c r="CO17" s="15"/>
      <c r="CP17" s="15"/>
      <c r="CQ17" s="15"/>
      <c r="CR17" s="15"/>
      <c r="CS17" s="15"/>
      <c r="CT17" s="15"/>
      <c r="CU17" s="15"/>
      <c r="CV17" s="15"/>
      <c r="CW17" s="15"/>
      <c r="CX17" s="15"/>
      <c r="CY17" s="15"/>
      <c r="CZ17" s="15"/>
      <c r="DA17" s="15"/>
      <c r="DB17" s="15"/>
      <c r="DC17" s="15"/>
    </row>
    <row r="18" spans="1:107" s="20" customFormat="1" ht="12.75" customHeight="1" x14ac:dyDescent="0.25">
      <c r="A18"/>
      <c r="B18" s="202" t="s">
        <v>620</v>
      </c>
      <c r="C18" s="203"/>
      <c r="D18" s="203"/>
      <c r="E18" s="204"/>
      <c r="F18" s="248" t="s">
        <v>23</v>
      </c>
      <c r="G18" s="238"/>
      <c r="H18" s="239"/>
      <c r="I18" s="193">
        <v>348</v>
      </c>
      <c r="J18" s="193">
        <v>838</v>
      </c>
      <c r="K18" s="194">
        <v>1118</v>
      </c>
      <c r="L18" s="167"/>
      <c r="M18" s="171"/>
      <c r="N18" s="175"/>
      <c r="P18"/>
      <c r="Q18"/>
      <c r="R18"/>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15"/>
      <c r="AV18" s="15"/>
      <c r="AW18" s="15"/>
      <c r="AX18" s="15"/>
      <c r="AY18" s="15"/>
      <c r="AZ18" s="15"/>
      <c r="BA18" s="15"/>
      <c r="BB18" s="15"/>
      <c r="BC18" s="15"/>
      <c r="BD18" s="15"/>
      <c r="BE18" s="15"/>
      <c r="BF18" s="15"/>
      <c r="BG18" s="15"/>
      <c r="BH18" s="15"/>
      <c r="BI18" s="15"/>
      <c r="BJ18" s="15"/>
      <c r="BK18" s="15"/>
      <c r="BL18" s="15"/>
      <c r="BM18" s="15"/>
      <c r="BN18" s="15"/>
      <c r="BO18" s="15"/>
      <c r="BP18" s="15"/>
      <c r="BQ18" s="15"/>
      <c r="BR18" s="15"/>
      <c r="BS18" s="15"/>
      <c r="BT18" s="15"/>
      <c r="BU18" s="15"/>
      <c r="BV18" s="15"/>
      <c r="BW18" s="15"/>
      <c r="BX18" s="15"/>
      <c r="BY18" s="15"/>
      <c r="BZ18" s="15"/>
      <c r="CA18" s="15"/>
      <c r="CB18" s="15"/>
      <c r="CC18" s="15"/>
      <c r="CD18" s="15"/>
      <c r="CE18" s="15"/>
      <c r="CF18" s="15"/>
      <c r="CG18" s="15"/>
      <c r="CH18" s="15"/>
      <c r="CI18" s="15"/>
      <c r="CJ18" s="15"/>
      <c r="CK18" s="15"/>
      <c r="CL18" s="15"/>
      <c r="CM18" s="15"/>
      <c r="CN18" s="15"/>
      <c r="CO18" s="15"/>
      <c r="CP18" s="15"/>
      <c r="CQ18" s="15"/>
      <c r="CR18" s="15"/>
      <c r="CS18" s="15"/>
      <c r="CT18" s="15"/>
      <c r="CU18" s="15"/>
      <c r="CV18" s="15"/>
      <c r="CW18" s="15"/>
      <c r="CX18" s="15"/>
      <c r="CY18" s="15"/>
      <c r="CZ18" s="15"/>
      <c r="DA18" s="15"/>
      <c r="DB18" s="15"/>
      <c r="DC18" s="15"/>
    </row>
    <row r="19" spans="1:107" s="20" customFormat="1" ht="12.75" customHeight="1" x14ac:dyDescent="0.25">
      <c r="A19"/>
      <c r="B19" s="216" t="s">
        <v>88</v>
      </c>
      <c r="C19" s="206"/>
      <c r="D19" s="206"/>
      <c r="E19" s="291"/>
      <c r="F19" s="160"/>
      <c r="G19" s="192" t="s">
        <v>374</v>
      </c>
      <c r="H19" s="137"/>
      <c r="I19" s="203" t="s">
        <v>15</v>
      </c>
      <c r="J19" s="203"/>
      <c r="K19" s="204"/>
      <c r="L19" s="202" t="s">
        <v>596</v>
      </c>
      <c r="M19" s="203"/>
      <c r="N19" s="204"/>
      <c r="O19" s="15"/>
      <c r="P19"/>
      <c r="Q19"/>
      <c r="R19"/>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c r="BM19" s="15"/>
      <c r="BN19" s="15"/>
      <c r="BO19" s="15"/>
      <c r="BP19" s="15"/>
      <c r="BQ19" s="15"/>
      <c r="BR19" s="15"/>
      <c r="BS19" s="15"/>
      <c r="BT19" s="15"/>
      <c r="BU19" s="15"/>
      <c r="BV19" s="15"/>
      <c r="BW19" s="15"/>
      <c r="BX19" s="15"/>
      <c r="BY19" s="15"/>
      <c r="BZ19" s="15"/>
      <c r="CA19" s="15"/>
      <c r="CB19" s="15"/>
      <c r="CC19" s="15"/>
      <c r="CD19" s="15"/>
      <c r="CE19" s="15"/>
      <c r="CF19" s="15"/>
      <c r="CG19" s="15"/>
      <c r="CH19" s="15"/>
      <c r="CI19" s="15"/>
      <c r="CJ19" s="15"/>
      <c r="CK19" s="15"/>
      <c r="CL19" s="15"/>
      <c r="CM19" s="15"/>
      <c r="CN19" s="15"/>
      <c r="CO19" s="15"/>
      <c r="CP19" s="15"/>
      <c r="CQ19" s="15"/>
      <c r="CR19" s="15"/>
      <c r="CS19" s="15"/>
      <c r="CT19" s="15"/>
      <c r="CU19" s="15"/>
      <c r="CV19" s="15"/>
      <c r="CW19" s="15"/>
      <c r="CX19" s="15"/>
      <c r="CY19" s="15"/>
      <c r="CZ19" s="15"/>
      <c r="DA19" s="15"/>
      <c r="DB19" s="15"/>
      <c r="DC19" s="15"/>
    </row>
    <row r="20" spans="1:107" s="20" customFormat="1" ht="12.75" customHeight="1" x14ac:dyDescent="0.25">
      <c r="A20"/>
      <c r="B20" s="202" t="s">
        <v>770</v>
      </c>
      <c r="C20" s="203"/>
      <c r="D20" s="203"/>
      <c r="E20" s="204"/>
      <c r="F20" s="248" t="s">
        <v>358</v>
      </c>
      <c r="G20" s="203"/>
      <c r="H20" s="239"/>
      <c r="I20" s="177" t="s">
        <v>98</v>
      </c>
      <c r="J20" s="177" t="s">
        <v>97</v>
      </c>
      <c r="K20" s="178"/>
      <c r="L20" s="172"/>
      <c r="M20" s="172" t="s">
        <v>121</v>
      </c>
      <c r="N20" s="67"/>
      <c r="O20" s="15"/>
      <c r="P20"/>
      <c r="Q20"/>
      <c r="R20"/>
      <c r="S20" s="15"/>
      <c r="T20" s="15"/>
      <c r="U20" s="15"/>
      <c r="V20" s="15"/>
      <c r="W20" s="15"/>
      <c r="X20" s="15"/>
      <c r="Y20" s="15"/>
      <c r="Z20" s="15"/>
      <c r="AA20" s="15"/>
      <c r="AB20" s="15"/>
      <c r="AC20" s="15"/>
      <c r="AD20" s="15"/>
      <c r="AE20" s="15"/>
      <c r="AF20" s="15"/>
      <c r="AG20" s="15"/>
      <c r="AH20" s="15"/>
      <c r="AI20" s="15"/>
      <c r="AJ20" s="15"/>
      <c r="AK20" s="15"/>
      <c r="AL20" s="15"/>
      <c r="AM20" s="15"/>
      <c r="AN20" s="15"/>
      <c r="AO20" s="15"/>
      <c r="AP20" s="15"/>
      <c r="AQ20" s="15"/>
      <c r="AR20" s="15"/>
      <c r="AS20" s="15"/>
      <c r="AT20" s="15"/>
      <c r="AU20" s="15"/>
      <c r="AV20" s="15"/>
      <c r="AW20" s="15"/>
      <c r="AX20" s="15"/>
      <c r="AY20" s="15"/>
      <c r="AZ20" s="15"/>
      <c r="BA20" s="15"/>
      <c r="BB20" s="15"/>
      <c r="BC20" s="15"/>
      <c r="BD20" s="15"/>
      <c r="BE20" s="15"/>
      <c r="BF20" s="15"/>
      <c r="BG20" s="15"/>
      <c r="BH20" s="15"/>
      <c r="BI20" s="15"/>
      <c r="BJ20" s="15"/>
      <c r="BK20" s="15"/>
      <c r="BL20" s="15"/>
      <c r="BM20" s="15"/>
      <c r="BN20" s="15"/>
      <c r="BO20" s="15"/>
      <c r="BP20" s="15"/>
      <c r="BQ20" s="15"/>
      <c r="BR20" s="15"/>
      <c r="BS20" s="15"/>
      <c r="BT20" s="15"/>
      <c r="BU20" s="15"/>
      <c r="BV20" s="15"/>
      <c r="BW20" s="15"/>
      <c r="BX20" s="15"/>
      <c r="BY20" s="15"/>
      <c r="BZ20" s="15"/>
      <c r="CA20" s="15"/>
      <c r="CB20" s="15"/>
      <c r="CC20" s="15"/>
      <c r="CD20" s="15"/>
      <c r="CE20" s="15"/>
      <c r="CF20" s="15"/>
      <c r="CG20" s="15"/>
      <c r="CH20" s="15"/>
      <c r="CI20" s="15"/>
      <c r="CJ20" s="15"/>
      <c r="CK20" s="15"/>
      <c r="CL20" s="15"/>
      <c r="CM20" s="15"/>
      <c r="CN20" s="15"/>
      <c r="CO20" s="15"/>
      <c r="CP20" s="15"/>
      <c r="CQ20" s="15"/>
      <c r="CR20" s="15"/>
      <c r="CS20" s="15"/>
      <c r="CT20" s="15"/>
      <c r="CU20" s="15"/>
      <c r="CV20" s="15"/>
      <c r="CW20" s="15"/>
      <c r="CX20" s="15"/>
      <c r="CY20" s="15"/>
      <c r="CZ20" s="15"/>
      <c r="DA20" s="15"/>
      <c r="DB20" s="15"/>
      <c r="DC20" s="15"/>
    </row>
    <row r="21" spans="1:107" s="20" customFormat="1" ht="12.75" customHeight="1" x14ac:dyDescent="0.25">
      <c r="A21"/>
      <c r="B21" s="216" t="s">
        <v>88</v>
      </c>
      <c r="C21" s="217"/>
      <c r="D21" s="172" t="s">
        <v>121</v>
      </c>
      <c r="E21" s="183"/>
      <c r="F21" s="136" t="s">
        <v>405</v>
      </c>
      <c r="G21" s="137" t="s">
        <v>406</v>
      </c>
      <c r="H21" s="24" t="s">
        <v>359</v>
      </c>
      <c r="I21" s="238" t="s">
        <v>557</v>
      </c>
      <c r="J21" s="238"/>
      <c r="K21" s="239"/>
      <c r="L21" s="248" t="s">
        <v>515</v>
      </c>
      <c r="M21" s="238"/>
      <c r="N21" s="239"/>
      <c r="P21"/>
      <c r="Q21"/>
      <c r="R21"/>
      <c r="S21" s="15"/>
      <c r="T21" s="15"/>
      <c r="U21" s="15"/>
      <c r="V21" s="15"/>
      <c r="W21" s="15"/>
      <c r="X21" s="15"/>
      <c r="Y21" s="15"/>
      <c r="Z21" s="15"/>
      <c r="AA21" s="15"/>
      <c r="AB21" s="15"/>
      <c r="AC21" s="15"/>
      <c r="AD21" s="15"/>
      <c r="AE21" s="15"/>
      <c r="AF21" s="15"/>
      <c r="AG21" s="15"/>
      <c r="AH21" s="15"/>
      <c r="AI21" s="15"/>
      <c r="AJ21" s="15"/>
      <c r="AK21" s="15"/>
      <c r="AL21" s="15"/>
      <c r="AM21" s="15"/>
      <c r="AN21" s="15"/>
      <c r="AO21" s="15"/>
      <c r="AP21" s="15"/>
      <c r="AQ21" s="15"/>
      <c r="AR21" s="15"/>
      <c r="AS21" s="15"/>
      <c r="AT21" s="15"/>
      <c r="AU21" s="15"/>
      <c r="AV21" s="15"/>
      <c r="AW21" s="15"/>
      <c r="AX21" s="15"/>
      <c r="AY21" s="15"/>
      <c r="AZ21" s="15"/>
      <c r="BA21" s="15"/>
      <c r="BB21" s="15"/>
      <c r="BC21" s="15"/>
      <c r="BD21" s="15"/>
      <c r="BE21" s="15"/>
      <c r="BF21" s="15"/>
      <c r="BG21" s="15"/>
      <c r="BH21" s="15"/>
      <c r="BI21" s="15"/>
      <c r="BJ21" s="15"/>
      <c r="BK21" s="15"/>
      <c r="BL21" s="15"/>
      <c r="BM21" s="15"/>
      <c r="BN21" s="15"/>
      <c r="BO21" s="15"/>
      <c r="BP21" s="15"/>
      <c r="BQ21" s="15"/>
      <c r="BR21" s="15"/>
      <c r="BS21" s="15"/>
      <c r="BT21" s="15"/>
      <c r="BU21" s="15"/>
      <c r="BV21" s="15"/>
      <c r="BW21" s="15"/>
      <c r="BX21" s="15"/>
      <c r="BY21" s="15"/>
      <c r="BZ21" s="15"/>
      <c r="CA21" s="15"/>
      <c r="CB21" s="15"/>
      <c r="CC21" s="15"/>
      <c r="CD21" s="15"/>
      <c r="CE21" s="15"/>
      <c r="CF21" s="15"/>
      <c r="CG21" s="15"/>
      <c r="CH21" s="15"/>
      <c r="CI21" s="15"/>
      <c r="CJ21" s="15"/>
      <c r="CK21" s="15"/>
      <c r="CL21" s="15"/>
      <c r="CM21" s="15"/>
      <c r="CN21" s="15"/>
      <c r="CO21" s="15"/>
      <c r="CP21" s="15"/>
      <c r="CQ21" s="15"/>
      <c r="CR21" s="15"/>
      <c r="CS21" s="15"/>
      <c r="CT21" s="15"/>
      <c r="CU21" s="15"/>
      <c r="CV21" s="15"/>
      <c r="CW21" s="15"/>
      <c r="CX21" s="15"/>
      <c r="CY21" s="15"/>
      <c r="CZ21" s="15"/>
      <c r="DA21" s="15"/>
      <c r="DB21" s="15"/>
      <c r="DC21" s="15"/>
    </row>
    <row r="22" spans="1:107" s="20" customFormat="1" ht="12.75" customHeight="1" x14ac:dyDescent="0.25">
      <c r="A22"/>
      <c r="B22" s="202" t="s">
        <v>717</v>
      </c>
      <c r="C22" s="203"/>
      <c r="D22" s="203"/>
      <c r="E22" s="204"/>
      <c r="F22" s="136" t="s">
        <v>360</v>
      </c>
      <c r="G22" s="137" t="s">
        <v>361</v>
      </c>
      <c r="H22" s="24" t="s">
        <v>606</v>
      </c>
      <c r="I22" s="172" t="s">
        <v>121</v>
      </c>
      <c r="J22" s="172" t="s">
        <v>99</v>
      </c>
      <c r="K22" s="174"/>
      <c r="L22" s="193" t="s">
        <v>516</v>
      </c>
      <c r="M22" s="193">
        <v>535</v>
      </c>
      <c r="N22" s="198">
        <v>600</v>
      </c>
      <c r="P22"/>
      <c r="Q22"/>
      <c r="R22"/>
      <c r="S22" s="15"/>
      <c r="T22" s="15"/>
      <c r="U22" s="15"/>
      <c r="V22" s="15"/>
      <c r="W22" s="15"/>
      <c r="X22" s="15"/>
      <c r="Y22" s="15"/>
      <c r="Z22" s="15"/>
      <c r="AA22" s="15"/>
      <c r="AB22" s="15"/>
      <c r="AC22" s="15"/>
      <c r="AD22" s="15"/>
      <c r="AE22" s="15"/>
      <c r="AF22" s="15"/>
      <c r="AG22" s="15"/>
      <c r="AH22" s="15"/>
      <c r="AI22" s="15"/>
      <c r="AJ22" s="15"/>
      <c r="AK22" s="15"/>
      <c r="AL22" s="15"/>
      <c r="AM22" s="15"/>
      <c r="AN22" s="15"/>
      <c r="AO22" s="15"/>
      <c r="AP22" s="15"/>
      <c r="AQ22" s="15"/>
      <c r="AR22" s="15"/>
      <c r="AS22" s="15"/>
      <c r="AT22" s="15"/>
      <c r="AU22" s="15"/>
      <c r="AV22" s="15"/>
      <c r="AW22" s="15"/>
      <c r="AX22" s="15"/>
      <c r="AY22" s="15"/>
      <c r="AZ22" s="15"/>
      <c r="BA22" s="15"/>
      <c r="BB22" s="15"/>
      <c r="BC22" s="15"/>
      <c r="BD22" s="15"/>
      <c r="BE22" s="15"/>
      <c r="BF22" s="15"/>
      <c r="BG22" s="15"/>
      <c r="BH22" s="15"/>
      <c r="BI22" s="15"/>
      <c r="BJ22" s="15"/>
      <c r="BK22" s="15"/>
      <c r="BL22" s="15"/>
      <c r="BM22" s="15"/>
      <c r="BN22" s="15"/>
      <c r="BO22" s="15"/>
      <c r="BP22" s="15"/>
      <c r="BQ22" s="15"/>
      <c r="BR22" s="15"/>
      <c r="BS22" s="15"/>
      <c r="BT22" s="15"/>
      <c r="BU22" s="15"/>
      <c r="BV22" s="15"/>
      <c r="BW22" s="15"/>
      <c r="BX22" s="15"/>
      <c r="BY22" s="15"/>
      <c r="BZ22" s="15"/>
      <c r="CA22" s="15"/>
      <c r="CB22" s="15"/>
      <c r="CC22" s="15"/>
      <c r="CD22" s="15"/>
      <c r="CE22" s="15"/>
      <c r="CF22" s="15"/>
      <c r="CG22" s="15"/>
      <c r="CH22" s="15"/>
      <c r="CI22" s="15"/>
      <c r="CJ22" s="15"/>
      <c r="CK22" s="15"/>
      <c r="CL22" s="15"/>
      <c r="CM22" s="15"/>
      <c r="CN22" s="15"/>
      <c r="CO22" s="15"/>
      <c r="CP22" s="15"/>
      <c r="CQ22" s="15"/>
      <c r="CR22" s="15"/>
      <c r="CS22" s="15"/>
      <c r="CT22" s="15"/>
      <c r="CU22" s="15"/>
      <c r="CV22" s="15"/>
      <c r="CW22" s="15"/>
      <c r="CX22" s="15"/>
      <c r="CY22" s="15"/>
      <c r="CZ22" s="15"/>
      <c r="DA22" s="15"/>
      <c r="DB22" s="15"/>
      <c r="DC22" s="15"/>
    </row>
    <row r="23" spans="1:107" s="8" customFormat="1" ht="12.75" customHeight="1" x14ac:dyDescent="0.25">
      <c r="A23"/>
      <c r="B23" s="216" t="s">
        <v>88</v>
      </c>
      <c r="C23" s="217"/>
      <c r="D23" s="172" t="s">
        <v>228</v>
      </c>
      <c r="E23" s="183"/>
      <c r="F23" s="136" t="s">
        <v>362</v>
      </c>
      <c r="G23" s="137" t="s">
        <v>363</v>
      </c>
      <c r="H23" s="137"/>
      <c r="I23" s="203" t="s">
        <v>196</v>
      </c>
      <c r="J23" s="203"/>
      <c r="K23" s="204"/>
      <c r="L23" s="248" t="s">
        <v>788</v>
      </c>
      <c r="M23" s="238"/>
      <c r="N23" s="239"/>
      <c r="P23"/>
      <c r="Q23"/>
      <c r="R23"/>
      <c r="S23" s="15"/>
      <c r="T23" s="15"/>
      <c r="U23" s="15"/>
      <c r="V23" s="15"/>
      <c r="W23" s="15"/>
      <c r="X23" s="15"/>
      <c r="Y23" s="15"/>
      <c r="Z23" s="15"/>
      <c r="AA23" s="15"/>
      <c r="AB23" s="15"/>
      <c r="AC23" s="15"/>
      <c r="AD23" s="15"/>
      <c r="AE23" s="15"/>
      <c r="AF23" s="15"/>
      <c r="AG23" s="15"/>
      <c r="AH23" s="15"/>
      <c r="AI23" s="15"/>
      <c r="AJ23" s="15"/>
      <c r="AK23" s="15"/>
      <c r="AL23" s="15"/>
      <c r="AM23" s="15"/>
      <c r="AN23" s="15"/>
      <c r="AO23" s="15"/>
      <c r="AP23" s="15"/>
      <c r="AQ23" s="15"/>
      <c r="AR23" s="15"/>
      <c r="AS23" s="15"/>
      <c r="AT23" s="15"/>
      <c r="AU23" s="15"/>
      <c r="AV23" s="15"/>
      <c r="AW23" s="15"/>
      <c r="AX23" s="15"/>
      <c r="AY23" s="15"/>
      <c r="AZ23" s="15"/>
      <c r="BA23" s="15"/>
      <c r="BB23" s="15"/>
      <c r="BC23" s="15"/>
      <c r="BD23" s="15"/>
      <c r="BE23" s="15"/>
      <c r="BF23" s="15"/>
      <c r="BG23" s="15"/>
      <c r="BH23" s="15"/>
      <c r="BI23" s="15"/>
      <c r="BJ23" s="15"/>
      <c r="BK23" s="15"/>
      <c r="BL23" s="15"/>
      <c r="BM23" s="15"/>
      <c r="BN23" s="15"/>
      <c r="BO23" s="15"/>
      <c r="BP23" s="15"/>
      <c r="BQ23" s="15"/>
      <c r="BR23" s="15"/>
      <c r="BS23" s="15"/>
      <c r="BT23" s="15"/>
      <c r="BU23" s="15"/>
      <c r="BV23" s="15"/>
      <c r="BW23" s="15"/>
      <c r="BX23" s="15"/>
      <c r="BY23" s="15"/>
      <c r="BZ23" s="15"/>
      <c r="CA23" s="15"/>
      <c r="CB23" s="15"/>
      <c r="CC23" s="15"/>
      <c r="CD23" s="15"/>
      <c r="CE23" s="15"/>
      <c r="CF23" s="15"/>
      <c r="CG23" s="15"/>
      <c r="CH23" s="15"/>
      <c r="CI23" s="15"/>
      <c r="CJ23" s="15"/>
      <c r="CK23" s="15"/>
      <c r="CL23" s="15"/>
      <c r="CM23" s="15"/>
      <c r="CN23" s="15"/>
      <c r="CO23" s="15"/>
      <c r="CP23" s="15"/>
      <c r="CQ23" s="15"/>
      <c r="CR23" s="15"/>
      <c r="CS23" s="15"/>
      <c r="CT23" s="15"/>
      <c r="CU23" s="15"/>
      <c r="CV23" s="15"/>
      <c r="CW23" s="15"/>
      <c r="CX23" s="15"/>
      <c r="CY23" s="15"/>
      <c r="CZ23" s="15"/>
      <c r="DA23" s="15"/>
      <c r="DB23" s="15"/>
      <c r="DC23" s="15"/>
    </row>
    <row r="24" spans="1:107" s="9" customFormat="1" ht="12.75" customHeight="1" x14ac:dyDescent="0.25">
      <c r="A24"/>
      <c r="B24" s="202" t="s">
        <v>685</v>
      </c>
      <c r="C24" s="203"/>
      <c r="D24" s="203"/>
      <c r="E24" s="204"/>
      <c r="F24" s="248" t="s">
        <v>869</v>
      </c>
      <c r="G24" s="238"/>
      <c r="H24" s="239"/>
      <c r="I24" s="172" t="s">
        <v>196</v>
      </c>
      <c r="J24" s="172" t="s">
        <v>345</v>
      </c>
      <c r="K24" s="119"/>
      <c r="L24" s="172"/>
      <c r="M24" s="172" t="s">
        <v>228</v>
      </c>
      <c r="N24" s="67"/>
      <c r="P24"/>
      <c r="Q24"/>
      <c r="R24"/>
      <c r="S24" s="15"/>
      <c r="T24" s="15"/>
      <c r="U24" s="15"/>
      <c r="V24" s="15"/>
      <c r="W24" s="15"/>
      <c r="X24" s="15"/>
      <c r="Y24" s="15"/>
      <c r="Z24" s="15"/>
      <c r="AA24" s="15"/>
      <c r="AB24" s="15"/>
      <c r="AC24" s="15"/>
      <c r="AD24" s="15"/>
      <c r="AE24" s="15"/>
      <c r="AF24" s="15"/>
      <c r="AG24" s="15"/>
      <c r="AH24" s="15"/>
      <c r="AI24" s="15"/>
      <c r="AJ24" s="15"/>
      <c r="AK24" s="15"/>
      <c r="AL24" s="15"/>
      <c r="AM24" s="15"/>
      <c r="AN24" s="15"/>
      <c r="AO24" s="15"/>
      <c r="AP24" s="15"/>
      <c r="AQ24" s="15"/>
      <c r="AR24" s="15"/>
      <c r="AS24" s="15"/>
      <c r="AT24" s="15"/>
      <c r="AU24" s="15"/>
      <c r="AV24" s="15"/>
      <c r="AW24" s="15"/>
      <c r="AX24" s="15"/>
      <c r="AY24" s="15"/>
      <c r="AZ24" s="15"/>
      <c r="BA24" s="15"/>
      <c r="BB24" s="15"/>
      <c r="BC24" s="15"/>
      <c r="BD24" s="15"/>
      <c r="BE24" s="15"/>
      <c r="BF24" s="15"/>
      <c r="BG24" s="15"/>
      <c r="BH24" s="15"/>
      <c r="BI24" s="15"/>
      <c r="BJ24" s="15"/>
      <c r="BK24" s="15"/>
      <c r="BL24" s="15"/>
      <c r="BM24" s="15"/>
      <c r="BN24" s="15"/>
      <c r="BO24" s="15"/>
      <c r="BP24" s="15"/>
      <c r="BQ24" s="15"/>
      <c r="BR24" s="15"/>
      <c r="BS24" s="15"/>
      <c r="BT24" s="15"/>
      <c r="BU24" s="15"/>
      <c r="BV24" s="15"/>
      <c r="BW24" s="15"/>
      <c r="BX24" s="15"/>
      <c r="BY24" s="15"/>
      <c r="BZ24" s="15"/>
      <c r="CA24" s="15"/>
      <c r="CB24" s="15"/>
      <c r="CC24" s="15"/>
      <c r="CD24" s="15"/>
      <c r="CE24" s="15"/>
      <c r="CF24" s="15"/>
      <c r="CG24" s="15"/>
      <c r="CH24" s="15"/>
      <c r="CI24" s="15"/>
      <c r="CJ24" s="15"/>
      <c r="CK24" s="15"/>
      <c r="CL24" s="15"/>
      <c r="CM24" s="15"/>
      <c r="CN24" s="15"/>
      <c r="CO24" s="15"/>
      <c r="CP24" s="15"/>
      <c r="CQ24" s="15"/>
      <c r="CR24" s="15"/>
      <c r="CS24" s="15"/>
      <c r="CT24" s="15"/>
      <c r="CU24" s="15"/>
      <c r="CV24" s="15"/>
      <c r="CW24" s="15"/>
      <c r="CX24" s="15"/>
      <c r="CY24" s="15"/>
      <c r="CZ24" s="15"/>
      <c r="DA24" s="15"/>
      <c r="DB24" s="15"/>
      <c r="DC24" s="15"/>
    </row>
    <row r="25" spans="1:107" s="9" customFormat="1" ht="12.75" customHeight="1" x14ac:dyDescent="0.25">
      <c r="A25"/>
      <c r="B25" s="216" t="s">
        <v>685</v>
      </c>
      <c r="C25" s="206"/>
      <c r="D25" s="206"/>
      <c r="E25" s="291"/>
      <c r="F25" s="138"/>
      <c r="G25" s="168" t="s">
        <v>868</v>
      </c>
      <c r="H25" s="118"/>
      <c r="I25" s="203" t="s">
        <v>336</v>
      </c>
      <c r="J25" s="203"/>
      <c r="K25" s="204"/>
      <c r="L25" s="248" t="s">
        <v>5</v>
      </c>
      <c r="M25" s="238"/>
      <c r="N25" s="239"/>
      <c r="P25"/>
      <c r="Q25"/>
      <c r="R25"/>
      <c r="T25" s="15"/>
      <c r="U25" s="15"/>
      <c r="V25" s="15"/>
      <c r="W25" s="15"/>
      <c r="X25" s="15"/>
      <c r="Y25" s="15"/>
      <c r="Z25" s="15"/>
      <c r="AA25" s="15"/>
      <c r="AB25" s="15"/>
      <c r="AC25" s="15"/>
      <c r="AD25" s="15"/>
      <c r="AE25" s="15"/>
      <c r="AF25" s="15"/>
      <c r="AG25" s="15"/>
      <c r="AH25" s="15"/>
      <c r="AI25" s="15"/>
      <c r="AJ25" s="15"/>
      <c r="AK25" s="15"/>
      <c r="AL25" s="15"/>
      <c r="AM25" s="15"/>
      <c r="AN25" s="15"/>
      <c r="AO25" s="15"/>
      <c r="AP25" s="15"/>
      <c r="AQ25" s="15"/>
      <c r="AR25" s="15"/>
      <c r="AS25" s="15"/>
      <c r="AT25" s="15"/>
      <c r="AU25" s="15"/>
      <c r="AV25" s="15"/>
      <c r="AW25" s="15"/>
      <c r="AX25" s="15"/>
      <c r="AY25" s="15"/>
      <c r="AZ25" s="15"/>
      <c r="BA25" s="15"/>
      <c r="BB25" s="15"/>
      <c r="BC25" s="15"/>
      <c r="BD25" s="15"/>
      <c r="BE25" s="15"/>
      <c r="BF25" s="15"/>
      <c r="BG25" s="15"/>
      <c r="BH25" s="15"/>
      <c r="BI25" s="15"/>
      <c r="BJ25" s="15"/>
      <c r="BK25" s="15"/>
      <c r="BL25" s="15"/>
      <c r="BM25" s="15"/>
      <c r="BN25" s="15"/>
      <c r="BO25" s="15"/>
      <c r="BP25" s="15"/>
      <c r="BQ25" s="15"/>
      <c r="BR25" s="15"/>
      <c r="BS25" s="15"/>
      <c r="BT25" s="15"/>
      <c r="BU25" s="15"/>
      <c r="BV25" s="15"/>
      <c r="BW25" s="15"/>
      <c r="BX25" s="15"/>
      <c r="BY25" s="15"/>
      <c r="BZ25" s="15"/>
      <c r="CA25" s="15"/>
      <c r="CB25" s="15"/>
      <c r="CC25" s="15"/>
      <c r="CD25" s="15"/>
      <c r="CE25" s="15"/>
      <c r="CF25" s="15"/>
      <c r="CG25" s="15"/>
      <c r="CH25" s="15"/>
      <c r="CI25" s="15"/>
      <c r="CJ25" s="15"/>
      <c r="CK25" s="15"/>
      <c r="CL25" s="15"/>
      <c r="CM25" s="15"/>
      <c r="CN25" s="15"/>
      <c r="CO25" s="15"/>
      <c r="CP25" s="15"/>
      <c r="CQ25" s="15"/>
      <c r="CR25" s="15"/>
      <c r="CS25" s="15"/>
      <c r="CT25" s="15"/>
      <c r="CU25" s="15"/>
      <c r="CV25" s="15"/>
      <c r="CW25" s="15"/>
      <c r="CX25" s="15"/>
      <c r="CY25" s="15"/>
      <c r="CZ25" s="15"/>
      <c r="DA25" s="15"/>
      <c r="DB25" s="15"/>
      <c r="DC25" s="15"/>
    </row>
    <row r="26" spans="1:107" s="9" customFormat="1" ht="12.75" customHeight="1" x14ac:dyDescent="0.25">
      <c r="A26"/>
      <c r="B26" s="202" t="s">
        <v>784</v>
      </c>
      <c r="C26" s="203"/>
      <c r="D26" s="203"/>
      <c r="E26" s="204"/>
      <c r="F26" s="248" t="s">
        <v>608</v>
      </c>
      <c r="G26" s="238"/>
      <c r="H26" s="239"/>
      <c r="I26" s="172" t="s">
        <v>354</v>
      </c>
      <c r="J26" s="172" t="s">
        <v>355</v>
      </c>
      <c r="K26" s="174" t="s">
        <v>389</v>
      </c>
      <c r="L26" s="199" t="s">
        <v>92</v>
      </c>
      <c r="M26" s="200" t="s">
        <v>117</v>
      </c>
      <c r="N26" s="198" t="s">
        <v>93</v>
      </c>
      <c r="P26"/>
      <c r="Q26"/>
      <c r="R26"/>
      <c r="T26" s="15"/>
      <c r="U26" s="15"/>
      <c r="V26" s="15"/>
      <c r="W26" s="15"/>
      <c r="X26" s="15"/>
      <c r="Y26" s="15"/>
      <c r="Z26" s="15"/>
      <c r="AA26" s="15"/>
      <c r="AB26" s="15"/>
      <c r="AC26" s="15"/>
      <c r="AD26" s="15"/>
      <c r="AE26" s="15"/>
      <c r="AF26" s="15"/>
      <c r="AG26" s="15"/>
      <c r="AH26" s="15"/>
      <c r="AI26" s="15"/>
      <c r="AJ26" s="15"/>
      <c r="AK26" s="15"/>
      <c r="AL26" s="15"/>
      <c r="AM26" s="15"/>
      <c r="AN26" s="15"/>
      <c r="AO26" s="15"/>
      <c r="AP26" s="15"/>
      <c r="AQ26" s="15"/>
      <c r="AR26" s="15"/>
      <c r="AS26" s="15"/>
      <c r="AT26" s="15"/>
      <c r="AU26" s="15"/>
      <c r="AV26" s="15"/>
      <c r="AW26" s="15"/>
      <c r="AX26" s="15"/>
      <c r="AY26" s="15"/>
      <c r="AZ26" s="15"/>
      <c r="BA26" s="15"/>
      <c r="BB26" s="15"/>
      <c r="BC26" s="15"/>
      <c r="BD26" s="15"/>
      <c r="BE26" s="15"/>
      <c r="BF26" s="15"/>
      <c r="BG26" s="15"/>
      <c r="BH26" s="15"/>
      <c r="BI26" s="15"/>
      <c r="BJ26" s="15"/>
      <c r="BK26" s="15"/>
      <c r="BL26" s="15"/>
      <c r="BM26" s="15"/>
      <c r="BN26" s="15"/>
      <c r="BO26" s="15"/>
      <c r="BP26" s="15"/>
      <c r="BQ26" s="15"/>
      <c r="BR26" s="15"/>
      <c r="BS26" s="15"/>
      <c r="BT26" s="15"/>
      <c r="BU26" s="15"/>
      <c r="BV26" s="15"/>
      <c r="BW26" s="15"/>
      <c r="BX26" s="15"/>
      <c r="BY26" s="15"/>
      <c r="BZ26" s="15"/>
      <c r="CA26" s="15"/>
      <c r="CB26" s="15"/>
      <c r="CC26" s="15"/>
      <c r="CD26" s="15"/>
      <c r="CE26" s="15"/>
      <c r="CF26" s="15"/>
      <c r="CG26" s="15"/>
      <c r="CH26" s="15"/>
      <c r="CI26" s="15"/>
      <c r="CJ26" s="15"/>
      <c r="CK26" s="15"/>
      <c r="CL26" s="15"/>
      <c r="CM26" s="15"/>
      <c r="CN26" s="15"/>
      <c r="CO26" s="15"/>
      <c r="CP26" s="15"/>
      <c r="CQ26" s="15"/>
      <c r="CR26" s="15"/>
      <c r="CS26" s="15"/>
      <c r="CT26" s="15"/>
      <c r="CU26" s="15"/>
      <c r="CV26" s="15"/>
      <c r="CW26" s="15"/>
      <c r="CX26" s="15"/>
      <c r="CY26" s="15"/>
      <c r="CZ26" s="15"/>
      <c r="DA26" s="15"/>
      <c r="DB26" s="15"/>
      <c r="DC26" s="15"/>
    </row>
    <row r="27" spans="1:107" s="8" customFormat="1" ht="12.75" customHeight="1" x14ac:dyDescent="0.25">
      <c r="A27"/>
      <c r="B27" s="205" t="s">
        <v>88</v>
      </c>
      <c r="C27" s="206"/>
      <c r="D27" s="172" t="s">
        <v>121</v>
      </c>
      <c r="E27" s="174"/>
      <c r="F27" s="206" t="s">
        <v>88</v>
      </c>
      <c r="G27" s="206"/>
      <c r="H27" s="291"/>
      <c r="I27" s="172" t="s">
        <v>806</v>
      </c>
      <c r="J27" s="172"/>
      <c r="K27" s="174"/>
      <c r="L27" s="248" t="s">
        <v>9</v>
      </c>
      <c r="M27" s="238"/>
      <c r="N27" s="239"/>
      <c r="P27"/>
      <c r="Q27"/>
      <c r="R27"/>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c r="BM27" s="15"/>
      <c r="BN27" s="15"/>
      <c r="BO27" s="15"/>
      <c r="BP27" s="15"/>
      <c r="BQ27" s="15"/>
      <c r="BR27" s="15"/>
      <c r="BS27" s="15"/>
      <c r="BT27" s="15"/>
      <c r="BU27" s="15"/>
      <c r="BV27" s="15"/>
      <c r="BW27" s="15"/>
      <c r="BX27" s="15"/>
      <c r="BY27" s="15"/>
      <c r="BZ27" s="15"/>
      <c r="CA27" s="15"/>
      <c r="CB27" s="15"/>
      <c r="CC27" s="15"/>
      <c r="CD27" s="15"/>
      <c r="CE27" s="15"/>
      <c r="CF27" s="15"/>
      <c r="CG27" s="15"/>
      <c r="CH27" s="15"/>
      <c r="CI27" s="15"/>
      <c r="CJ27" s="15"/>
      <c r="CK27" s="15"/>
      <c r="CL27" s="15"/>
      <c r="CM27" s="15"/>
      <c r="CN27" s="15"/>
      <c r="CO27" s="15"/>
      <c r="CP27" s="15"/>
      <c r="CQ27" s="15"/>
      <c r="CR27" s="15"/>
      <c r="CS27" s="15"/>
      <c r="CT27" s="15"/>
      <c r="CU27" s="15"/>
      <c r="CV27" s="15"/>
      <c r="CW27" s="15"/>
      <c r="CX27" s="15"/>
      <c r="CY27" s="15"/>
      <c r="CZ27" s="15"/>
      <c r="DA27" s="15"/>
      <c r="DB27" s="15"/>
      <c r="DC27" s="15"/>
    </row>
    <row r="28" spans="1:107" s="9" customFormat="1" ht="12.75" customHeight="1" x14ac:dyDescent="0.25">
      <c r="A28"/>
      <c r="B28" s="202" t="s">
        <v>6</v>
      </c>
      <c r="C28" s="203"/>
      <c r="D28" s="203"/>
      <c r="E28" s="204"/>
      <c r="F28" s="202" t="s">
        <v>601</v>
      </c>
      <c r="G28" s="203"/>
      <c r="H28" s="204"/>
      <c r="I28" s="248" t="s">
        <v>19</v>
      </c>
      <c r="J28" s="238"/>
      <c r="K28" s="239"/>
      <c r="L28" s="199">
        <v>160</v>
      </c>
      <c r="M28" s="200">
        <v>161</v>
      </c>
      <c r="N28" s="198">
        <v>162</v>
      </c>
      <c r="P28"/>
      <c r="Q28"/>
      <c r="R28"/>
      <c r="S28" s="15"/>
      <c r="T28" s="15"/>
      <c r="U28" s="15"/>
      <c r="V28" s="15"/>
      <c r="W28" s="15"/>
      <c r="X28" s="15"/>
      <c r="Y28" s="15"/>
      <c r="Z28" s="15"/>
      <c r="AA28" s="15"/>
      <c r="AB28" s="15"/>
      <c r="AC28" s="15"/>
      <c r="AD28" s="15"/>
      <c r="AE28" s="15"/>
      <c r="AF28" s="15"/>
      <c r="AG28" s="15"/>
      <c r="AH28" s="15"/>
      <c r="AI28" s="15"/>
      <c r="AJ28" s="15"/>
      <c r="AK28" s="15"/>
      <c r="AL28" s="15"/>
      <c r="AM28" s="15"/>
      <c r="AN28" s="15"/>
      <c r="AO28" s="15"/>
      <c r="AP28" s="15"/>
      <c r="AQ28" s="15"/>
      <c r="AR28" s="15"/>
      <c r="AS28" s="15"/>
      <c r="AT28" s="15"/>
      <c r="AU28" s="15"/>
      <c r="AV28" s="15"/>
      <c r="AW28" s="15"/>
      <c r="AX28" s="15"/>
      <c r="AY28" s="15"/>
      <c r="AZ28" s="15"/>
      <c r="BA28" s="15"/>
      <c r="BB28" s="15"/>
      <c r="BC28" s="15"/>
      <c r="BD28" s="15"/>
      <c r="BE28" s="15"/>
      <c r="BF28" s="15"/>
      <c r="BG28" s="15"/>
      <c r="BH28" s="15"/>
      <c r="BI28" s="15"/>
      <c r="BJ28" s="15"/>
      <c r="BK28" s="15"/>
      <c r="BL28" s="15"/>
      <c r="BM28" s="15"/>
      <c r="BN28" s="15"/>
      <c r="BO28" s="15"/>
      <c r="BP28" s="15"/>
      <c r="BQ28" s="15"/>
      <c r="BR28" s="15"/>
      <c r="BS28" s="15"/>
      <c r="BT28" s="15"/>
      <c r="BU28" s="15"/>
      <c r="BV28" s="15"/>
      <c r="BW28" s="15"/>
      <c r="BX28" s="15"/>
      <c r="BY28" s="15"/>
      <c r="BZ28" s="15"/>
      <c r="CA28" s="15"/>
      <c r="CB28" s="15"/>
      <c r="CC28" s="15"/>
      <c r="CD28" s="15"/>
      <c r="CE28" s="15"/>
      <c r="CF28" s="15"/>
      <c r="CG28" s="15"/>
      <c r="CH28" s="15"/>
      <c r="CI28" s="15"/>
      <c r="CJ28" s="15"/>
      <c r="CK28" s="15"/>
      <c r="CL28" s="15"/>
      <c r="CM28" s="15"/>
      <c r="CN28" s="15"/>
      <c r="CO28" s="15"/>
      <c r="CP28" s="15"/>
      <c r="CQ28" s="15"/>
      <c r="CR28" s="15"/>
      <c r="CS28" s="15"/>
      <c r="CT28" s="15"/>
      <c r="CU28" s="15"/>
      <c r="CV28" s="15"/>
      <c r="CW28" s="15"/>
      <c r="CX28" s="15"/>
      <c r="CY28" s="15"/>
      <c r="CZ28" s="15"/>
      <c r="DA28" s="15"/>
      <c r="DB28" s="15"/>
      <c r="DC28" s="15"/>
    </row>
    <row r="29" spans="1:107" s="8" customFormat="1" ht="12.75" customHeight="1" x14ac:dyDescent="0.25">
      <c r="A29"/>
      <c r="B29" s="323" t="s">
        <v>371</v>
      </c>
      <c r="C29" s="324"/>
      <c r="D29" s="324"/>
      <c r="E29" s="325"/>
      <c r="F29" s="158" t="s">
        <v>88</v>
      </c>
      <c r="G29" s="168" t="s">
        <v>121</v>
      </c>
      <c r="H29" s="174" t="s">
        <v>228</v>
      </c>
      <c r="I29" s="136" t="s">
        <v>100</v>
      </c>
      <c r="J29" s="137" t="s">
        <v>110</v>
      </c>
      <c r="K29" s="24" t="s">
        <v>101</v>
      </c>
      <c r="L29" s="199">
        <v>166</v>
      </c>
      <c r="M29" s="87"/>
      <c r="N29" s="14"/>
      <c r="P29"/>
      <c r="Q29"/>
      <c r="R29"/>
      <c r="S29" s="15"/>
      <c r="T29" s="15"/>
      <c r="U29" s="15"/>
      <c r="V29" s="15"/>
      <c r="W29" s="15"/>
      <c r="X29" s="15"/>
      <c r="Y29" s="15"/>
      <c r="Z29" s="15"/>
      <c r="AA29" s="15"/>
      <c r="AB29" s="15"/>
      <c r="AC29" s="15"/>
      <c r="AD29" s="15"/>
      <c r="AE29" s="15"/>
      <c r="AF29" s="15"/>
      <c r="AG29" s="15"/>
      <c r="AH29" s="15"/>
      <c r="AI29" s="15"/>
      <c r="AJ29" s="15"/>
      <c r="AK29" s="15"/>
      <c r="AL29" s="15"/>
      <c r="AM29" s="15"/>
      <c r="AN29" s="15"/>
      <c r="AO29" s="15"/>
      <c r="AP29" s="15"/>
      <c r="AQ29" s="15"/>
      <c r="AR29" s="15"/>
      <c r="AS29" s="15"/>
      <c r="AT29" s="15"/>
      <c r="AU29" s="15"/>
      <c r="AV29" s="15"/>
      <c r="AW29" s="15"/>
      <c r="AX29" s="15"/>
      <c r="AY29" s="15"/>
      <c r="AZ29" s="15"/>
      <c r="BA29" s="15"/>
      <c r="BB29" s="15"/>
      <c r="BC29" s="15"/>
      <c r="BD29" s="15"/>
      <c r="BE29" s="15"/>
      <c r="BF29" s="15"/>
      <c r="BG29" s="15"/>
      <c r="BH29" s="15"/>
      <c r="BI29" s="15"/>
      <c r="BJ29" s="15"/>
      <c r="BK29" s="15"/>
      <c r="BL29" s="15"/>
      <c r="BM29" s="15"/>
      <c r="BN29" s="15"/>
      <c r="BO29" s="15"/>
      <c r="BP29" s="15"/>
      <c r="BQ29" s="15"/>
      <c r="BR29" s="15"/>
      <c r="BS29" s="15"/>
      <c r="BT29" s="15"/>
      <c r="BU29" s="15"/>
      <c r="BV29" s="15"/>
      <c r="BW29" s="15"/>
      <c r="BX29" s="15"/>
      <c r="BY29" s="15"/>
      <c r="BZ29" s="15"/>
      <c r="CA29" s="15"/>
      <c r="CB29" s="15"/>
      <c r="CC29" s="15"/>
      <c r="CD29" s="15"/>
      <c r="CE29" s="15"/>
      <c r="CF29" s="15"/>
      <c r="CG29" s="15"/>
      <c r="CH29" s="15"/>
      <c r="CI29" s="15"/>
      <c r="CJ29" s="15"/>
      <c r="CK29" s="15"/>
      <c r="CL29" s="15"/>
      <c r="CM29" s="15"/>
      <c r="CN29" s="15"/>
      <c r="CO29" s="15"/>
      <c r="CP29" s="15"/>
      <c r="CQ29" s="15"/>
      <c r="CR29" s="15"/>
      <c r="CS29" s="15"/>
      <c r="CT29" s="15"/>
      <c r="CU29" s="15"/>
      <c r="CV29" s="15"/>
      <c r="CW29" s="15"/>
      <c r="CX29" s="15"/>
      <c r="CY29" s="15"/>
      <c r="CZ29" s="15"/>
      <c r="DA29" s="15"/>
      <c r="DB29" s="15"/>
      <c r="DC29" s="15"/>
    </row>
    <row r="30" spans="1:107" s="9" customFormat="1" ht="12.75" customHeight="1" x14ac:dyDescent="0.25">
      <c r="A30"/>
      <c r="B30" s="202" t="s">
        <v>10</v>
      </c>
      <c r="C30" s="203"/>
      <c r="D30" s="203"/>
      <c r="E30" s="204"/>
      <c r="F30" s="238" t="s">
        <v>3</v>
      </c>
      <c r="G30" s="238"/>
      <c r="H30" s="239"/>
      <c r="I30" s="136" t="s">
        <v>108</v>
      </c>
      <c r="J30" s="137" t="s">
        <v>109</v>
      </c>
      <c r="K30" s="24" t="s">
        <v>102</v>
      </c>
      <c r="L30" s="202" t="s">
        <v>382</v>
      </c>
      <c r="M30" s="203"/>
      <c r="N30" s="204"/>
      <c r="P30"/>
      <c r="Q30"/>
      <c r="R30"/>
      <c r="S30" s="15"/>
      <c r="T30" s="15"/>
      <c r="U30" s="15"/>
      <c r="V30" s="15"/>
      <c r="W30" s="15"/>
      <c r="X30" s="15"/>
      <c r="Y30" s="15"/>
      <c r="Z30" s="15"/>
      <c r="AA30" s="15"/>
      <c r="AB30" s="15"/>
      <c r="AC30" s="15"/>
      <c r="AD30" s="15"/>
      <c r="AE30" s="15"/>
      <c r="AF30" s="15"/>
      <c r="AG30" s="15"/>
      <c r="AH30" s="15"/>
      <c r="AI30" s="15"/>
      <c r="AJ30" s="15"/>
      <c r="AK30" s="15"/>
      <c r="AL30" s="15"/>
      <c r="AM30" s="15"/>
      <c r="AN30" s="15"/>
      <c r="AO30" s="15"/>
      <c r="AP30" s="15"/>
      <c r="AQ30" s="15"/>
      <c r="AR30" s="15"/>
      <c r="AS30" s="15"/>
      <c r="AT30" s="15"/>
      <c r="AU30" s="15"/>
      <c r="AV30" s="15"/>
      <c r="AW30" s="15"/>
      <c r="AX30" s="15"/>
      <c r="AY30" s="15"/>
      <c r="AZ30" s="15"/>
      <c r="BA30" s="15"/>
      <c r="BB30" s="15"/>
      <c r="BC30" s="15"/>
      <c r="BD30" s="15"/>
      <c r="BE30" s="15"/>
      <c r="BF30" s="15"/>
      <c r="BG30" s="15"/>
      <c r="BH30" s="15"/>
      <c r="BI30" s="15"/>
      <c r="BJ30" s="15"/>
      <c r="BK30" s="15"/>
      <c r="BL30" s="15"/>
      <c r="BM30" s="15"/>
      <c r="BN30" s="15"/>
      <c r="BO30" s="15"/>
      <c r="BP30" s="15"/>
      <c r="BQ30" s="15"/>
      <c r="BR30" s="15"/>
      <c r="BS30" s="15"/>
      <c r="BT30" s="15"/>
      <c r="BU30" s="15"/>
      <c r="BV30" s="15"/>
      <c r="BW30" s="15"/>
      <c r="BX30" s="15"/>
      <c r="BY30" s="15"/>
      <c r="BZ30" s="15"/>
      <c r="CA30" s="15"/>
      <c r="CB30" s="15"/>
      <c r="CC30" s="15"/>
      <c r="CD30" s="15"/>
      <c r="CE30" s="15"/>
      <c r="CF30" s="15"/>
      <c r="CG30" s="15"/>
      <c r="CH30" s="15"/>
      <c r="CI30" s="15"/>
      <c r="CJ30" s="15"/>
      <c r="CK30" s="15"/>
      <c r="CL30" s="15"/>
      <c r="CM30" s="15"/>
      <c r="CN30" s="15"/>
      <c r="CO30" s="15"/>
      <c r="CP30" s="15"/>
      <c r="CQ30" s="15"/>
      <c r="CR30" s="15"/>
      <c r="CS30" s="15"/>
      <c r="CT30" s="15"/>
      <c r="CU30" s="15"/>
      <c r="CV30" s="15"/>
      <c r="CW30" s="15"/>
      <c r="CX30" s="15"/>
      <c r="CY30" s="15"/>
      <c r="CZ30" s="15"/>
      <c r="DA30" s="15"/>
      <c r="DB30" s="15"/>
      <c r="DC30" s="15"/>
    </row>
    <row r="31" spans="1:107" s="9" customFormat="1" ht="12.75" customHeight="1" x14ac:dyDescent="0.25">
      <c r="A31"/>
      <c r="B31" s="205" t="s">
        <v>10</v>
      </c>
      <c r="C31" s="206"/>
      <c r="D31" s="206"/>
      <c r="E31" s="291"/>
      <c r="F31" s="137" t="s">
        <v>90</v>
      </c>
      <c r="G31" s="137" t="s">
        <v>192</v>
      </c>
      <c r="H31" s="137"/>
      <c r="I31" s="248" t="s">
        <v>21</v>
      </c>
      <c r="J31" s="238"/>
      <c r="K31" s="239"/>
      <c r="L31" s="176"/>
      <c r="M31" s="172" t="s">
        <v>220</v>
      </c>
      <c r="N31" s="67"/>
      <c r="P31"/>
      <c r="Q31"/>
      <c r="R31"/>
      <c r="S31" s="15"/>
      <c r="T31" s="15"/>
      <c r="U31" s="15"/>
      <c r="V31" s="15"/>
      <c r="W31" s="15"/>
      <c r="X31" s="15"/>
      <c r="Y31" s="15"/>
      <c r="Z31" s="15"/>
      <c r="AA31" s="15"/>
      <c r="AB31" s="15"/>
      <c r="AC31" s="15"/>
      <c r="AD31" s="15"/>
      <c r="AE31" s="15"/>
      <c r="AF31" s="15"/>
      <c r="AG31" s="15"/>
      <c r="AH31" s="15"/>
      <c r="AI31" s="15"/>
      <c r="AJ31" s="15"/>
      <c r="AK31" s="15"/>
      <c r="AL31" s="15"/>
      <c r="AM31" s="15"/>
      <c r="AN31" s="15"/>
      <c r="AO31" s="15"/>
      <c r="AP31" s="15"/>
      <c r="AQ31" s="15"/>
      <c r="AR31" s="15"/>
      <c r="AS31" s="15"/>
      <c r="AT31" s="15"/>
      <c r="AU31" s="15"/>
      <c r="AV31" s="15"/>
      <c r="AW31" s="15"/>
      <c r="AX31" s="15"/>
      <c r="AY31" s="15"/>
      <c r="AZ31" s="15"/>
      <c r="BA31" s="15"/>
      <c r="BB31" s="15"/>
      <c r="BC31" s="15"/>
      <c r="BD31" s="15"/>
      <c r="BE31" s="15"/>
      <c r="BF31" s="15"/>
      <c r="BG31" s="15"/>
      <c r="BH31" s="15"/>
      <c r="BI31" s="15"/>
      <c r="BJ31" s="15"/>
      <c r="BK31" s="15"/>
      <c r="BL31" s="15"/>
      <c r="BM31" s="15"/>
      <c r="BN31" s="15"/>
      <c r="BO31" s="15"/>
      <c r="BP31" s="15"/>
      <c r="BQ31" s="15"/>
      <c r="BR31" s="15"/>
      <c r="BS31" s="15"/>
      <c r="BT31" s="15"/>
      <c r="BU31" s="15"/>
      <c r="BV31" s="15"/>
      <c r="BW31" s="15"/>
      <c r="BX31" s="15"/>
      <c r="BY31" s="15"/>
      <c r="BZ31" s="15"/>
      <c r="CA31" s="15"/>
      <c r="CB31" s="15"/>
      <c r="CC31" s="15"/>
      <c r="CD31" s="15"/>
      <c r="CE31" s="15"/>
      <c r="CF31" s="15"/>
      <c r="CG31" s="15"/>
      <c r="CH31" s="15"/>
      <c r="CI31" s="15"/>
      <c r="CJ31" s="15"/>
      <c r="CK31" s="15"/>
      <c r="CL31" s="15"/>
      <c r="CM31" s="15"/>
      <c r="CN31" s="15"/>
      <c r="CO31" s="15"/>
      <c r="CP31" s="15"/>
      <c r="CQ31" s="15"/>
      <c r="CR31" s="15"/>
      <c r="CS31" s="15"/>
      <c r="CT31" s="15"/>
      <c r="CU31" s="15"/>
      <c r="CV31" s="15"/>
      <c r="CW31" s="15"/>
      <c r="CX31" s="15"/>
      <c r="CY31" s="15"/>
      <c r="CZ31" s="15"/>
      <c r="DA31" s="15"/>
      <c r="DB31" s="15"/>
      <c r="DC31" s="15"/>
    </row>
    <row r="32" spans="1:107" s="8" customFormat="1" ht="12.75" customHeight="1" x14ac:dyDescent="0.25">
      <c r="A32"/>
      <c r="B32" s="202" t="s">
        <v>349</v>
      </c>
      <c r="C32" s="203"/>
      <c r="D32" s="203"/>
      <c r="E32" s="204"/>
      <c r="F32" s="238" t="s">
        <v>698</v>
      </c>
      <c r="G32" s="238"/>
      <c r="H32" s="239"/>
      <c r="I32" s="27"/>
      <c r="J32" s="28" t="s">
        <v>421</v>
      </c>
      <c r="K32" s="120"/>
      <c r="L32" s="202" t="s">
        <v>368</v>
      </c>
      <c r="M32" s="203"/>
      <c r="N32" s="204"/>
      <c r="P32"/>
      <c r="Q32"/>
      <c r="R32"/>
      <c r="S32" s="15"/>
      <c r="T32" s="15"/>
      <c r="U32" s="15"/>
      <c r="V32" s="15"/>
      <c r="W32" s="15"/>
      <c r="X32" s="15"/>
      <c r="Y32" s="15"/>
      <c r="Z32" s="15"/>
      <c r="AA32" s="15"/>
      <c r="AB32" s="15"/>
      <c r="AC32" s="15"/>
      <c r="AD32" s="15"/>
      <c r="AE32" s="15"/>
      <c r="AF32" s="15"/>
      <c r="AG32" s="15"/>
      <c r="AH32" s="15"/>
      <c r="AI32" s="15"/>
      <c r="AJ32" s="15"/>
      <c r="AK32" s="15"/>
      <c r="AL32" s="15"/>
      <c r="AM32" s="15"/>
      <c r="AN32" s="15"/>
      <c r="AO32" s="15"/>
      <c r="AP32" s="15"/>
      <c r="AQ32" s="15"/>
      <c r="AR32" s="15"/>
      <c r="AS32" s="15"/>
      <c r="AT32" s="15"/>
      <c r="AU32" s="15"/>
      <c r="AV32" s="15"/>
      <c r="AW32" s="15"/>
      <c r="AX32" s="15"/>
      <c r="AY32" s="15"/>
      <c r="AZ32" s="15"/>
      <c r="BA32" s="15"/>
      <c r="BB32" s="15"/>
      <c r="BC32" s="15"/>
      <c r="BD32" s="15"/>
      <c r="BE32" s="15"/>
      <c r="BF32" s="15"/>
      <c r="BG32" s="15"/>
      <c r="BH32" s="15"/>
      <c r="BI32" s="15"/>
      <c r="BJ32" s="15"/>
      <c r="BK32" s="15"/>
      <c r="BL32" s="15"/>
      <c r="BM32" s="15"/>
      <c r="BN32" s="15"/>
      <c r="BO32" s="15"/>
      <c r="BP32" s="15"/>
      <c r="BQ32" s="15"/>
      <c r="BR32" s="15"/>
      <c r="BS32" s="15"/>
      <c r="BT32" s="15"/>
      <c r="BU32" s="15"/>
      <c r="BV32" s="15"/>
      <c r="BW32" s="15"/>
      <c r="BX32" s="15"/>
      <c r="BY32" s="15"/>
      <c r="BZ32" s="15"/>
      <c r="CA32" s="15"/>
      <c r="CB32" s="15"/>
      <c r="CC32" s="15"/>
      <c r="CD32" s="15"/>
      <c r="CE32" s="15"/>
      <c r="CF32" s="15"/>
      <c r="CG32" s="15"/>
      <c r="CH32" s="15"/>
      <c r="CI32" s="15"/>
      <c r="CJ32" s="15"/>
      <c r="CK32" s="15"/>
      <c r="CL32" s="15"/>
      <c r="CM32" s="15"/>
      <c r="CN32" s="15"/>
      <c r="CO32" s="15"/>
      <c r="CP32" s="15"/>
      <c r="CQ32" s="15"/>
      <c r="CR32" s="15"/>
      <c r="CS32" s="15"/>
      <c r="CT32" s="15"/>
      <c r="CU32" s="15"/>
      <c r="CV32" s="15"/>
      <c r="CW32" s="15"/>
      <c r="CX32" s="15"/>
      <c r="CY32" s="15"/>
      <c r="CZ32" s="15"/>
      <c r="DA32" s="15"/>
      <c r="DB32" s="15"/>
      <c r="DC32" s="15"/>
    </row>
    <row r="33" spans="1:107" s="8" customFormat="1" ht="12.75" customHeight="1" x14ac:dyDescent="0.25">
      <c r="A33"/>
      <c r="B33" s="326" t="s">
        <v>228</v>
      </c>
      <c r="C33" s="327"/>
      <c r="D33" s="327"/>
      <c r="E33" s="328"/>
      <c r="F33" s="138"/>
      <c r="G33" s="172" t="s">
        <v>220</v>
      </c>
      <c r="H33" s="118"/>
      <c r="I33" s="248" t="s">
        <v>24</v>
      </c>
      <c r="J33" s="238"/>
      <c r="K33" s="239"/>
      <c r="L33" s="170" t="s">
        <v>88</v>
      </c>
      <c r="M33" s="172" t="s">
        <v>99</v>
      </c>
      <c r="N33" s="174" t="s">
        <v>215</v>
      </c>
      <c r="P33"/>
      <c r="Q33"/>
      <c r="R33"/>
      <c r="S33" s="15"/>
      <c r="T33" s="15"/>
      <c r="U33" s="15"/>
      <c r="V33" s="15"/>
      <c r="W33" s="15"/>
      <c r="X33" s="15"/>
      <c r="Y33" s="15"/>
      <c r="Z33" s="15"/>
      <c r="AA33" s="15"/>
      <c r="AB33" s="15"/>
      <c r="AC33" s="15"/>
      <c r="AD33" s="15"/>
      <c r="AE33" s="15"/>
      <c r="AF33" s="15"/>
      <c r="AG33" s="15"/>
      <c r="AH33" s="15"/>
      <c r="AI33" s="15"/>
      <c r="AJ33" s="15"/>
      <c r="AK33" s="15"/>
      <c r="AL33" s="15"/>
      <c r="AM33" s="15"/>
      <c r="AN33" s="15"/>
      <c r="AO33" s="15"/>
      <c r="AP33" s="15"/>
      <c r="AQ33" s="15"/>
      <c r="AR33" s="15"/>
      <c r="AS33" s="15"/>
      <c r="AT33" s="15"/>
      <c r="AU33" s="15"/>
      <c r="AV33" s="15"/>
      <c r="AW33" s="15"/>
      <c r="AX33" s="15"/>
      <c r="AY33" s="15"/>
      <c r="AZ33" s="15"/>
      <c r="BA33" s="15"/>
      <c r="BB33" s="15"/>
      <c r="BC33" s="15"/>
      <c r="BD33" s="15"/>
      <c r="BE33" s="15"/>
      <c r="BF33" s="15"/>
      <c r="BG33" s="15"/>
      <c r="BH33" s="15"/>
      <c r="BI33" s="15"/>
      <c r="BJ33" s="15"/>
      <c r="BK33" s="15"/>
      <c r="BL33" s="15"/>
      <c r="BM33" s="15"/>
      <c r="BN33" s="15"/>
      <c r="BO33" s="15"/>
      <c r="BP33" s="15"/>
      <c r="BQ33" s="15"/>
      <c r="BR33" s="15"/>
      <c r="BS33" s="15"/>
      <c r="BT33" s="15"/>
      <c r="BU33" s="15"/>
      <c r="BV33" s="15"/>
      <c r="BW33" s="15"/>
      <c r="BX33" s="15"/>
      <c r="BY33" s="15"/>
      <c r="BZ33" s="15"/>
      <c r="CA33" s="15"/>
      <c r="CB33" s="15"/>
      <c r="CC33" s="15"/>
      <c r="CD33" s="15"/>
      <c r="CE33" s="15"/>
      <c r="CF33" s="15"/>
      <c r="CG33" s="15"/>
      <c r="CH33" s="15"/>
      <c r="CI33" s="15"/>
      <c r="CJ33" s="15"/>
      <c r="CK33" s="15"/>
      <c r="CL33" s="15"/>
      <c r="CM33" s="15"/>
      <c r="CN33" s="15"/>
      <c r="CO33" s="15"/>
      <c r="CP33" s="15"/>
      <c r="CQ33" s="15"/>
      <c r="CR33" s="15"/>
      <c r="CS33" s="15"/>
      <c r="CT33" s="15"/>
      <c r="CU33" s="15"/>
      <c r="CV33" s="15"/>
      <c r="CW33" s="15"/>
      <c r="CX33" s="15"/>
      <c r="CY33" s="15"/>
      <c r="CZ33" s="15"/>
      <c r="DA33" s="15"/>
      <c r="DB33" s="15"/>
      <c r="DC33" s="15"/>
    </row>
    <row r="34" spans="1:107" s="8" customFormat="1" ht="12.75" customHeight="1" x14ac:dyDescent="0.25">
      <c r="A34"/>
      <c r="B34" s="202" t="s">
        <v>844</v>
      </c>
      <c r="C34" s="203"/>
      <c r="D34" s="203"/>
      <c r="E34" s="204"/>
      <c r="F34" s="238" t="s">
        <v>237</v>
      </c>
      <c r="G34" s="238"/>
      <c r="H34" s="239"/>
      <c r="I34" s="318" t="s">
        <v>121</v>
      </c>
      <c r="J34" s="319"/>
      <c r="K34" s="320"/>
      <c r="L34" s="202" t="s">
        <v>229</v>
      </c>
      <c r="M34" s="203"/>
      <c r="N34" s="204"/>
      <c r="P34"/>
      <c r="Q34"/>
      <c r="R34"/>
      <c r="S34" s="15"/>
      <c r="T34" s="15"/>
      <c r="U34" s="15"/>
      <c r="V34" s="15"/>
      <c r="W34" s="15"/>
      <c r="X34" s="15"/>
      <c r="Y34" s="15"/>
      <c r="Z34" s="15"/>
      <c r="AA34" s="15"/>
      <c r="AB34" s="15"/>
      <c r="AC34" s="15"/>
      <c r="AD34" s="15"/>
      <c r="AE34" s="15"/>
      <c r="AF34" s="15"/>
      <c r="AG34" s="15"/>
      <c r="AH34" s="15"/>
      <c r="AI34" s="15"/>
      <c r="AJ34" s="15"/>
      <c r="AK34" s="15"/>
      <c r="AL34" s="15"/>
      <c r="AM34" s="15"/>
      <c r="AN34" s="15"/>
      <c r="AO34" s="15"/>
      <c r="AP34" s="15"/>
      <c r="AQ34" s="15"/>
      <c r="AR34" s="15"/>
      <c r="AS34" s="15"/>
      <c r="AT34" s="15"/>
      <c r="AU34" s="15"/>
      <c r="AV34" s="15"/>
      <c r="AW34" s="15"/>
      <c r="AX34" s="15"/>
      <c r="AY34" s="15"/>
      <c r="AZ34" s="15"/>
      <c r="BA34" s="15"/>
      <c r="BB34" s="15"/>
      <c r="BC34" s="15"/>
      <c r="BD34" s="15"/>
      <c r="BE34" s="15"/>
      <c r="BF34" s="15"/>
      <c r="BG34" s="15"/>
      <c r="BH34" s="15"/>
      <c r="BI34" s="15"/>
      <c r="BJ34" s="15"/>
      <c r="BK34" s="15"/>
      <c r="BL34" s="15"/>
      <c r="BM34" s="15"/>
      <c r="BN34" s="15"/>
      <c r="BO34" s="15"/>
      <c r="BP34" s="15"/>
      <c r="BQ34" s="15"/>
      <c r="BR34" s="15"/>
      <c r="BS34" s="15"/>
      <c r="BT34" s="15"/>
      <c r="BU34" s="15"/>
      <c r="BV34" s="15"/>
      <c r="BW34" s="15"/>
      <c r="BX34" s="15"/>
      <c r="BY34" s="15"/>
      <c r="BZ34" s="15"/>
      <c r="CA34" s="15"/>
      <c r="CB34" s="15"/>
      <c r="CC34" s="15"/>
      <c r="CD34" s="15"/>
      <c r="CE34" s="15"/>
      <c r="CF34" s="15"/>
      <c r="CG34" s="15"/>
      <c r="CH34" s="15"/>
      <c r="CI34" s="15"/>
      <c r="CJ34" s="15"/>
      <c r="CK34" s="15"/>
      <c r="CL34" s="15"/>
      <c r="CM34" s="15"/>
      <c r="CN34" s="15"/>
      <c r="CO34" s="15"/>
      <c r="CP34" s="15"/>
      <c r="CQ34" s="15"/>
      <c r="CR34" s="15"/>
      <c r="CS34" s="15"/>
      <c r="CT34" s="15"/>
      <c r="CU34" s="15"/>
      <c r="CV34" s="15"/>
      <c r="CW34" s="15"/>
      <c r="CX34" s="15"/>
      <c r="CY34" s="15"/>
      <c r="CZ34" s="15"/>
      <c r="DA34" s="15"/>
      <c r="DB34" s="15"/>
      <c r="DC34" s="15"/>
    </row>
    <row r="35" spans="1:107" s="8" customFormat="1" ht="12.75" customHeight="1" x14ac:dyDescent="0.25">
      <c r="A35"/>
      <c r="B35" s="205"/>
      <c r="C35" s="206"/>
      <c r="D35" s="172" t="s">
        <v>88</v>
      </c>
      <c r="E35" s="174"/>
      <c r="F35" s="138"/>
      <c r="G35" s="168" t="s">
        <v>237</v>
      </c>
      <c r="H35" s="118"/>
      <c r="I35" s="202" t="s">
        <v>4</v>
      </c>
      <c r="J35" s="203"/>
      <c r="K35" s="204"/>
      <c r="L35" s="345" t="s">
        <v>229</v>
      </c>
      <c r="M35" s="346"/>
      <c r="N35" s="347"/>
      <c r="P35"/>
      <c r="Q35"/>
      <c r="R35"/>
      <c r="S35" s="15"/>
      <c r="T35" s="15"/>
      <c r="U35" s="15"/>
      <c r="V35" s="15"/>
      <c r="W35" s="15"/>
      <c r="X35" s="15"/>
      <c r="Y35" s="15"/>
      <c r="Z35" s="15"/>
      <c r="AA35" s="15"/>
      <c r="AB35" s="15"/>
      <c r="AC35" s="15"/>
      <c r="AD35" s="15"/>
      <c r="AE35" s="15"/>
      <c r="AF35" s="15"/>
      <c r="AG35" s="15"/>
      <c r="AH35" s="15"/>
      <c r="AI35" s="15"/>
      <c r="AJ35" s="15"/>
      <c r="AK35" s="15"/>
      <c r="AL35" s="15"/>
      <c r="AM35" s="15"/>
      <c r="AN35" s="15"/>
      <c r="AO35" s="15"/>
      <c r="AP35" s="15"/>
      <c r="AQ35" s="15"/>
      <c r="AR35" s="15"/>
      <c r="AS35" s="15"/>
      <c r="AT35" s="15"/>
      <c r="AU35" s="15"/>
      <c r="AV35" s="15"/>
      <c r="AW35" s="15"/>
      <c r="AX35" s="15"/>
      <c r="AY35" s="15"/>
      <c r="AZ35" s="15"/>
      <c r="BA35" s="15"/>
      <c r="BB35" s="15"/>
      <c r="BC35" s="15"/>
      <c r="BD35" s="15"/>
      <c r="BE35" s="15"/>
      <c r="BF35" s="15"/>
      <c r="BG35" s="15"/>
      <c r="BH35" s="15"/>
      <c r="BI35" s="15"/>
      <c r="BJ35" s="15"/>
      <c r="BK35" s="15"/>
      <c r="BL35" s="15"/>
      <c r="BM35" s="15"/>
      <c r="BN35" s="15"/>
      <c r="BO35" s="15"/>
      <c r="BP35" s="15"/>
      <c r="BQ35" s="15"/>
      <c r="BR35" s="15"/>
      <c r="BS35" s="15"/>
      <c r="BT35" s="15"/>
      <c r="BU35" s="15"/>
      <c r="BV35" s="15"/>
      <c r="BW35" s="15"/>
      <c r="BX35" s="15"/>
      <c r="BY35" s="15"/>
      <c r="BZ35" s="15"/>
      <c r="CA35" s="15"/>
      <c r="CB35" s="15"/>
      <c r="CC35" s="15"/>
      <c r="CD35" s="15"/>
      <c r="CE35" s="15"/>
      <c r="CF35" s="15"/>
      <c r="CG35" s="15"/>
      <c r="CH35" s="15"/>
      <c r="CI35" s="15"/>
      <c r="CJ35" s="15"/>
      <c r="CK35" s="15"/>
      <c r="CL35" s="15"/>
      <c r="CM35" s="15"/>
      <c r="CN35" s="15"/>
      <c r="CO35" s="15"/>
      <c r="CP35" s="15"/>
      <c r="CQ35" s="15"/>
      <c r="CR35" s="15"/>
      <c r="CS35" s="15"/>
      <c r="CT35" s="15"/>
      <c r="CU35" s="15"/>
      <c r="CV35" s="15"/>
      <c r="CW35" s="15"/>
      <c r="CX35" s="15"/>
      <c r="CY35" s="15"/>
      <c r="CZ35" s="15"/>
      <c r="DA35" s="15"/>
      <c r="DB35" s="15"/>
      <c r="DC35" s="15"/>
    </row>
    <row r="36" spans="1:107" s="8" customFormat="1" ht="12.75" customHeight="1" x14ac:dyDescent="0.25">
      <c r="A36"/>
      <c r="B36" s="202" t="s">
        <v>665</v>
      </c>
      <c r="C36" s="203"/>
      <c r="D36" s="203"/>
      <c r="E36" s="204"/>
      <c r="F36" s="238" t="s">
        <v>489</v>
      </c>
      <c r="G36" s="238"/>
      <c r="H36" s="239"/>
      <c r="I36" s="160" t="s">
        <v>231</v>
      </c>
      <c r="J36" s="28" t="s">
        <v>91</v>
      </c>
      <c r="K36" s="120"/>
      <c r="L36" s="202" t="s">
        <v>453</v>
      </c>
      <c r="M36" s="203"/>
      <c r="N36" s="204"/>
      <c r="P36"/>
      <c r="Q36"/>
      <c r="R36"/>
      <c r="S36" s="15"/>
      <c r="T36" s="15"/>
      <c r="U36" s="15"/>
      <c r="V36" s="15"/>
      <c r="W36" s="15"/>
      <c r="X36" s="15"/>
      <c r="Y36" s="15"/>
      <c r="Z36" s="15"/>
      <c r="AA36" s="15"/>
      <c r="AB36" s="15"/>
      <c r="AC36" s="15"/>
      <c r="AD36" s="15"/>
      <c r="AE36" s="15"/>
      <c r="AF36" s="15"/>
      <c r="AG36" s="15"/>
      <c r="AH36" s="15"/>
      <c r="AI36" s="15"/>
      <c r="AJ36" s="15"/>
      <c r="AK36" s="15"/>
      <c r="AL36" s="15"/>
      <c r="AM36" s="15"/>
      <c r="AN36" s="15"/>
      <c r="AO36" s="15"/>
      <c r="AP36" s="15"/>
      <c r="AQ36" s="15"/>
      <c r="AR36" s="15"/>
      <c r="AS36" s="15"/>
      <c r="AT36" s="15"/>
      <c r="AU36" s="15"/>
      <c r="AV36" s="15"/>
      <c r="AW36" s="15"/>
      <c r="AX36" s="15"/>
      <c r="AY36" s="15"/>
      <c r="AZ36" s="15"/>
      <c r="BA36" s="15"/>
      <c r="BB36" s="15"/>
      <c r="BC36" s="15"/>
      <c r="BD36" s="15"/>
      <c r="BE36" s="15"/>
      <c r="BF36" s="15"/>
      <c r="BG36" s="15"/>
      <c r="BH36" s="15"/>
      <c r="BI36" s="15"/>
      <c r="BJ36" s="15"/>
      <c r="BK36" s="15"/>
      <c r="BL36" s="15"/>
      <c r="BM36" s="15"/>
      <c r="BN36" s="15"/>
      <c r="BO36" s="15"/>
      <c r="BP36" s="15"/>
      <c r="BQ36" s="15"/>
      <c r="BR36" s="15"/>
      <c r="BS36" s="15"/>
      <c r="BT36" s="15"/>
      <c r="BU36" s="15"/>
      <c r="BV36" s="15"/>
      <c r="BW36" s="15"/>
      <c r="BX36" s="15"/>
      <c r="BY36" s="15"/>
      <c r="BZ36" s="15"/>
      <c r="CA36" s="15"/>
      <c r="CB36" s="15"/>
      <c r="CC36" s="15"/>
      <c r="CD36" s="15"/>
      <c r="CE36" s="15"/>
      <c r="CF36" s="15"/>
      <c r="CG36" s="15"/>
      <c r="CH36" s="15"/>
      <c r="CI36" s="15"/>
      <c r="CJ36" s="15"/>
      <c r="CK36" s="15"/>
      <c r="CL36" s="15"/>
      <c r="CM36" s="15"/>
      <c r="CN36" s="15"/>
      <c r="CO36" s="15"/>
      <c r="CP36" s="15"/>
      <c r="CQ36" s="15"/>
      <c r="CR36" s="15"/>
      <c r="CS36" s="15"/>
      <c r="CT36" s="15"/>
      <c r="CU36" s="15"/>
      <c r="CV36" s="15"/>
      <c r="CW36" s="15"/>
      <c r="CX36" s="15"/>
      <c r="CY36" s="15"/>
      <c r="CZ36" s="15"/>
      <c r="DA36" s="15"/>
      <c r="DB36" s="15"/>
      <c r="DC36" s="15"/>
    </row>
    <row r="37" spans="1:107" s="8" customFormat="1" ht="12.75" customHeight="1" x14ac:dyDescent="0.25">
      <c r="A37"/>
      <c r="B37" s="205"/>
      <c r="C37" s="206"/>
      <c r="D37" s="172" t="s">
        <v>121</v>
      </c>
      <c r="E37" s="174"/>
      <c r="F37" s="168" t="s">
        <v>121</v>
      </c>
      <c r="G37" s="172" t="s">
        <v>99</v>
      </c>
      <c r="H37" s="174" t="s">
        <v>215</v>
      </c>
      <c r="I37" s="248" t="s">
        <v>8</v>
      </c>
      <c r="J37" s="238"/>
      <c r="K37" s="239"/>
      <c r="L37" s="80"/>
      <c r="M37" s="172" t="s">
        <v>88</v>
      </c>
      <c r="N37" s="67"/>
      <c r="P37"/>
      <c r="Q37"/>
      <c r="R37"/>
      <c r="S37" s="15"/>
      <c r="T37" s="15"/>
      <c r="U37" s="15"/>
      <c r="V37" s="15"/>
      <c r="W37" s="15"/>
      <c r="X37" s="15"/>
      <c r="Y37" s="15"/>
      <c r="Z37" s="15"/>
      <c r="AA37" s="15"/>
      <c r="AB37" s="15"/>
      <c r="AC37" s="15"/>
      <c r="AD37" s="15"/>
      <c r="AE37" s="15"/>
      <c r="AF37" s="15"/>
      <c r="AG37" s="15"/>
      <c r="AH37" s="15"/>
      <c r="AI37" s="15"/>
      <c r="AJ37" s="15"/>
      <c r="AK37" s="15"/>
      <c r="AL37" s="15"/>
      <c r="AM37" s="15"/>
      <c r="AN37" s="15"/>
      <c r="AO37" s="15"/>
      <c r="AP37" s="15"/>
      <c r="AQ37" s="15"/>
      <c r="AR37" s="15"/>
      <c r="AS37" s="15"/>
      <c r="AT37" s="15"/>
      <c r="AU37" s="15"/>
      <c r="AV37" s="15"/>
      <c r="AW37" s="15"/>
      <c r="AX37" s="15"/>
      <c r="AY37" s="15"/>
      <c r="AZ37" s="15"/>
      <c r="BA37" s="15"/>
      <c r="BB37" s="15"/>
      <c r="BC37" s="15"/>
      <c r="BD37" s="15"/>
      <c r="BE37" s="15"/>
      <c r="BF37" s="15"/>
      <c r="BG37" s="15"/>
      <c r="BH37" s="15"/>
      <c r="BI37" s="15"/>
      <c r="BJ37" s="15"/>
      <c r="BK37" s="15"/>
      <c r="BL37" s="15"/>
      <c r="BM37" s="15"/>
      <c r="BN37" s="15"/>
      <c r="BO37" s="15"/>
      <c r="BP37" s="15"/>
      <c r="BQ37" s="15"/>
      <c r="BR37" s="15"/>
      <c r="BS37" s="15"/>
      <c r="BT37" s="15"/>
      <c r="BU37" s="15"/>
      <c r="BV37" s="15"/>
      <c r="BW37" s="15"/>
      <c r="BX37" s="15"/>
      <c r="BY37" s="15"/>
      <c r="BZ37" s="15"/>
      <c r="CA37" s="15"/>
      <c r="CB37" s="15"/>
      <c r="CC37" s="15"/>
      <c r="CD37" s="15"/>
      <c r="CE37" s="15"/>
      <c r="CF37" s="15"/>
      <c r="CG37" s="15"/>
      <c r="CH37" s="15"/>
      <c r="CI37" s="15"/>
      <c r="CJ37" s="15"/>
      <c r="CK37" s="15"/>
      <c r="CL37" s="15"/>
      <c r="CM37" s="15"/>
      <c r="CN37" s="15"/>
      <c r="CO37" s="15"/>
      <c r="CP37" s="15"/>
      <c r="CQ37" s="15"/>
      <c r="CR37" s="15"/>
      <c r="CS37" s="15"/>
      <c r="CT37" s="15"/>
      <c r="CU37" s="15"/>
      <c r="CV37" s="15"/>
      <c r="CW37" s="15"/>
      <c r="CX37" s="15"/>
      <c r="CY37" s="15"/>
      <c r="CZ37" s="15"/>
      <c r="DA37" s="15"/>
      <c r="DB37" s="15"/>
      <c r="DC37" s="15"/>
    </row>
    <row r="38" spans="1:107" s="8" customFormat="1" ht="12.75" customHeight="1" x14ac:dyDescent="0.25">
      <c r="A38"/>
      <c r="B38" s="202" t="s">
        <v>239</v>
      </c>
      <c r="C38" s="203"/>
      <c r="D38" s="203"/>
      <c r="E38" s="204"/>
      <c r="F38" s="172" t="s">
        <v>220</v>
      </c>
      <c r="G38" s="172" t="s">
        <v>226</v>
      </c>
      <c r="H38" s="174" t="s">
        <v>98</v>
      </c>
      <c r="I38" s="329" t="s">
        <v>488</v>
      </c>
      <c r="J38" s="330"/>
      <c r="K38" s="331"/>
      <c r="L38" s="202" t="s">
        <v>219</v>
      </c>
      <c r="M38" s="203"/>
      <c r="N38" s="204"/>
      <c r="P38"/>
      <c r="Q38"/>
      <c r="R38"/>
      <c r="S38" s="15"/>
      <c r="T38" s="15"/>
      <c r="U38" s="15"/>
      <c r="V38" s="15"/>
      <c r="W38" s="15"/>
      <c r="X38" s="15"/>
      <c r="Y38" s="15"/>
      <c r="Z38" s="15"/>
      <c r="AA38" s="15"/>
      <c r="AB38" s="15"/>
      <c r="AC38" s="15"/>
      <c r="AD38" s="15"/>
      <c r="AE38" s="15"/>
      <c r="AF38" s="15"/>
      <c r="AG38" s="15"/>
      <c r="AH38" s="15"/>
      <c r="AI38" s="15"/>
      <c r="AJ38" s="15"/>
      <c r="AK38" s="15"/>
      <c r="AL38" s="15"/>
      <c r="AM38" s="15"/>
      <c r="AN38" s="15"/>
      <c r="AO38" s="15"/>
      <c r="AP38" s="15"/>
      <c r="AQ38" s="15"/>
      <c r="AR38" s="15"/>
      <c r="AS38" s="15"/>
      <c r="AT38" s="15"/>
      <c r="AU38" s="15"/>
      <c r="AV38" s="15"/>
      <c r="AW38" s="15"/>
      <c r="AX38" s="15"/>
      <c r="AY38" s="15"/>
      <c r="AZ38" s="15"/>
      <c r="BA38" s="15"/>
      <c r="BB38" s="15"/>
      <c r="BC38" s="15"/>
      <c r="BD38" s="15"/>
      <c r="BE38" s="15"/>
      <c r="BF38" s="15"/>
      <c r="BG38" s="15"/>
      <c r="BH38" s="15"/>
      <c r="BI38" s="15"/>
      <c r="BJ38" s="15"/>
      <c r="BK38" s="15"/>
      <c r="BL38" s="15"/>
      <c r="BM38" s="15"/>
      <c r="BN38" s="15"/>
      <c r="BO38" s="15"/>
      <c r="BP38" s="15"/>
      <c r="BQ38" s="15"/>
      <c r="BR38" s="15"/>
      <c r="BS38" s="15"/>
      <c r="BT38" s="15"/>
      <c r="BU38" s="15"/>
      <c r="BV38" s="15"/>
      <c r="BW38" s="15"/>
      <c r="BX38" s="15"/>
      <c r="BY38" s="15"/>
      <c r="BZ38" s="15"/>
      <c r="CA38" s="15"/>
      <c r="CB38" s="15"/>
      <c r="CC38" s="15"/>
      <c r="CD38" s="15"/>
      <c r="CE38" s="15"/>
      <c r="CF38" s="15"/>
      <c r="CG38" s="15"/>
      <c r="CH38" s="15"/>
      <c r="CI38" s="15"/>
      <c r="CJ38" s="15"/>
      <c r="CK38" s="15"/>
      <c r="CL38" s="15"/>
      <c r="CM38" s="15"/>
      <c r="CN38" s="15"/>
      <c r="CO38" s="15"/>
      <c r="CP38" s="15"/>
      <c r="CQ38" s="15"/>
      <c r="CR38" s="15"/>
      <c r="CS38" s="15"/>
      <c r="CT38" s="15"/>
      <c r="CU38" s="15"/>
      <c r="CV38" s="15"/>
      <c r="CW38" s="15"/>
      <c r="CX38" s="15"/>
      <c r="CY38" s="15"/>
      <c r="CZ38" s="15"/>
      <c r="DA38" s="15"/>
      <c r="DB38" s="15"/>
      <c r="DC38" s="15"/>
    </row>
    <row r="39" spans="1:107" s="8" customFormat="1" ht="12.75" customHeight="1" x14ac:dyDescent="0.25">
      <c r="A39"/>
      <c r="B39" s="205" t="s">
        <v>373</v>
      </c>
      <c r="C39" s="206"/>
      <c r="D39" s="172" t="s">
        <v>590</v>
      </c>
      <c r="E39" s="174" t="s">
        <v>354</v>
      </c>
      <c r="F39" s="238" t="s">
        <v>197</v>
      </c>
      <c r="G39" s="238"/>
      <c r="H39" s="239"/>
      <c r="I39" s="202" t="s">
        <v>12</v>
      </c>
      <c r="J39" s="203"/>
      <c r="K39" s="204"/>
      <c r="L39" s="167" t="s">
        <v>219</v>
      </c>
      <c r="M39" s="172" t="s">
        <v>99</v>
      </c>
      <c r="N39" s="67"/>
      <c r="P39"/>
      <c r="Q39"/>
      <c r="R39"/>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c r="AX39" s="15"/>
      <c r="AY39" s="15"/>
      <c r="AZ39" s="15"/>
      <c r="BA39" s="15"/>
      <c r="BB39" s="15"/>
      <c r="BC39" s="15"/>
      <c r="BD39" s="15"/>
      <c r="BE39" s="15"/>
      <c r="BF39" s="15"/>
      <c r="BG39" s="15"/>
      <c r="BH39" s="15"/>
      <c r="BI39" s="15"/>
      <c r="BJ39" s="15"/>
      <c r="BK39" s="15"/>
      <c r="BL39" s="15"/>
      <c r="BM39" s="15"/>
      <c r="BN39" s="15"/>
      <c r="BO39" s="15"/>
      <c r="BP39" s="15"/>
      <c r="BQ39" s="15"/>
      <c r="BR39" s="15"/>
      <c r="BS39" s="15"/>
      <c r="BT39" s="15"/>
      <c r="BU39" s="15"/>
      <c r="BV39" s="15"/>
      <c r="BW39" s="15"/>
      <c r="BX39" s="15"/>
      <c r="BY39" s="15"/>
      <c r="BZ39" s="15"/>
      <c r="CA39" s="15"/>
      <c r="CB39" s="15"/>
      <c r="CC39" s="15"/>
      <c r="CD39" s="15"/>
      <c r="CE39" s="15"/>
      <c r="CF39" s="15"/>
      <c r="CG39" s="15"/>
      <c r="CH39" s="15"/>
      <c r="CI39" s="15"/>
      <c r="CJ39" s="15"/>
      <c r="CK39" s="15"/>
      <c r="CL39" s="15"/>
      <c r="CM39" s="15"/>
      <c r="CN39" s="15"/>
      <c r="CO39" s="15"/>
      <c r="CP39" s="15"/>
      <c r="CQ39" s="15"/>
      <c r="CR39" s="15"/>
      <c r="CS39" s="15"/>
      <c r="CT39" s="15"/>
      <c r="CU39" s="15"/>
      <c r="CV39" s="15"/>
      <c r="CW39" s="15"/>
      <c r="CX39" s="15"/>
      <c r="CY39" s="15"/>
      <c r="CZ39" s="15"/>
      <c r="DA39" s="15"/>
      <c r="DB39" s="15"/>
      <c r="DC39" s="15"/>
    </row>
    <row r="40" spans="1:107" s="8" customFormat="1" ht="12.75" customHeight="1" x14ac:dyDescent="0.25">
      <c r="A40"/>
      <c r="B40" s="205" t="s">
        <v>838</v>
      </c>
      <c r="C40" s="206"/>
      <c r="D40" s="172"/>
      <c r="E40" s="174"/>
      <c r="F40" s="138"/>
      <c r="G40" s="168" t="s">
        <v>197</v>
      </c>
      <c r="H40" s="118"/>
      <c r="I40" s="195" t="s">
        <v>95</v>
      </c>
      <c r="J40" s="86" t="s">
        <v>94</v>
      </c>
      <c r="K40" s="121" t="s">
        <v>96</v>
      </c>
      <c r="L40" s="202" t="s">
        <v>817</v>
      </c>
      <c r="M40" s="203"/>
      <c r="N40" s="204"/>
      <c r="P40"/>
      <c r="Q40"/>
      <c r="R40"/>
      <c r="S40" s="15"/>
      <c r="T40" s="15"/>
      <c r="U40" s="15"/>
      <c r="V40" s="15"/>
      <c r="W40" s="15"/>
      <c r="X40" s="15"/>
      <c r="Y40" s="15"/>
      <c r="Z40" s="15"/>
      <c r="AA40" s="15"/>
      <c r="AB40" s="15"/>
      <c r="AC40" s="15"/>
      <c r="AD40" s="15"/>
      <c r="AE40" s="15"/>
      <c r="AF40" s="15"/>
      <c r="AG40" s="15"/>
      <c r="AH40" s="15"/>
      <c r="AI40" s="15"/>
      <c r="AJ40" s="15"/>
      <c r="AK40" s="15"/>
      <c r="AL40" s="15"/>
      <c r="AM40" s="15"/>
      <c r="AN40" s="15"/>
      <c r="AO40" s="15"/>
      <c r="AP40" s="15"/>
      <c r="AQ40" s="15"/>
      <c r="AR40" s="15"/>
      <c r="AS40" s="15"/>
      <c r="AT40" s="15"/>
      <c r="AU40" s="15"/>
      <c r="AV40" s="15"/>
      <c r="AW40" s="15"/>
      <c r="AX40" s="15"/>
      <c r="AY40" s="15"/>
      <c r="AZ40" s="15"/>
      <c r="BA40" s="15"/>
      <c r="BB40" s="15"/>
      <c r="BC40" s="15"/>
      <c r="BD40" s="15"/>
      <c r="BE40" s="15"/>
      <c r="BF40" s="15"/>
      <c r="BG40" s="15"/>
      <c r="BH40" s="15"/>
      <c r="BI40" s="15"/>
      <c r="BJ40" s="15"/>
      <c r="BK40" s="15"/>
      <c r="BL40" s="15"/>
      <c r="BM40" s="15"/>
      <c r="BN40" s="15"/>
      <c r="BO40" s="15"/>
      <c r="BP40" s="15"/>
      <c r="BQ40" s="15"/>
      <c r="BR40" s="15"/>
      <c r="BS40" s="15"/>
      <c r="BT40" s="15"/>
      <c r="BU40" s="15"/>
      <c r="BV40" s="15"/>
      <c r="BW40" s="15"/>
      <c r="BX40" s="15"/>
      <c r="BY40" s="15"/>
      <c r="BZ40" s="15"/>
      <c r="CA40" s="15"/>
      <c r="CB40" s="15"/>
      <c r="CC40" s="15"/>
      <c r="CD40" s="15"/>
      <c r="CE40" s="15"/>
      <c r="CF40" s="15"/>
      <c r="CG40" s="15"/>
      <c r="CH40" s="15"/>
      <c r="CI40" s="15"/>
      <c r="CJ40" s="15"/>
      <c r="CK40" s="15"/>
      <c r="CL40" s="15"/>
      <c r="CM40" s="15"/>
      <c r="CN40" s="15"/>
      <c r="CO40" s="15"/>
      <c r="CP40" s="15"/>
      <c r="CQ40" s="15"/>
      <c r="CR40" s="15"/>
      <c r="CS40" s="15"/>
      <c r="CT40" s="15"/>
      <c r="CU40" s="15"/>
      <c r="CV40" s="15"/>
      <c r="CW40" s="15"/>
      <c r="CX40" s="15"/>
      <c r="CY40" s="15"/>
      <c r="CZ40" s="15"/>
      <c r="DA40" s="15"/>
      <c r="DB40" s="15"/>
      <c r="DC40" s="15"/>
    </row>
    <row r="41" spans="1:107" s="8" customFormat="1" ht="12.75" customHeight="1" x14ac:dyDescent="0.25">
      <c r="A41"/>
      <c r="B41" s="202" t="s">
        <v>859</v>
      </c>
      <c r="C41" s="203"/>
      <c r="D41" s="203"/>
      <c r="E41" s="204"/>
      <c r="F41" s="238" t="s">
        <v>426</v>
      </c>
      <c r="G41" s="238"/>
      <c r="H41" s="239"/>
      <c r="I41" s="195" t="s">
        <v>111</v>
      </c>
      <c r="J41" s="86" t="s">
        <v>422</v>
      </c>
      <c r="K41" s="121" t="s">
        <v>423</v>
      </c>
      <c r="L41" s="292" t="s">
        <v>121</v>
      </c>
      <c r="M41" s="293"/>
      <c r="N41" s="294"/>
      <c r="P41"/>
      <c r="Q41"/>
      <c r="R41"/>
      <c r="S41" s="15"/>
      <c r="T41" s="15"/>
      <c r="U41" s="15"/>
      <c r="V41" s="15"/>
      <c r="W41" s="15"/>
      <c r="X41" s="15"/>
      <c r="Y41" s="15"/>
      <c r="Z41" s="15"/>
      <c r="AA41" s="15"/>
      <c r="AB41" s="15"/>
      <c r="AC41" s="15"/>
      <c r="AD41" s="15"/>
      <c r="AE41" s="15"/>
      <c r="AF41" s="15"/>
      <c r="AG41" s="15"/>
      <c r="AH41" s="15"/>
      <c r="AI41" s="15"/>
      <c r="AJ41" s="15"/>
      <c r="AK41" s="15"/>
      <c r="AL41" s="15"/>
      <c r="AM41" s="15"/>
      <c r="AN41" s="15"/>
      <c r="AO41" s="15"/>
      <c r="AP41" s="15"/>
      <c r="AQ41" s="15"/>
      <c r="AR41" s="15"/>
      <c r="AS41" s="15"/>
      <c r="AT41" s="15"/>
      <c r="AU41" s="15"/>
      <c r="AV41" s="15"/>
      <c r="AW41" s="15"/>
      <c r="AX41" s="15"/>
      <c r="AY41" s="15"/>
      <c r="AZ41" s="15"/>
      <c r="BA41" s="15"/>
      <c r="BB41" s="15"/>
      <c r="BC41" s="15"/>
      <c r="BD41" s="15"/>
      <c r="BE41" s="15"/>
      <c r="BF41" s="15"/>
      <c r="BG41" s="15"/>
      <c r="BH41" s="15"/>
      <c r="BI41" s="15"/>
      <c r="BJ41" s="15"/>
      <c r="BK41" s="15"/>
      <c r="BL41" s="15"/>
      <c r="BM41" s="15"/>
      <c r="BN41" s="15"/>
      <c r="BO41" s="15"/>
      <c r="BP41" s="15"/>
      <c r="BQ41" s="15"/>
      <c r="BR41" s="15"/>
      <c r="BS41" s="15"/>
      <c r="BT41" s="15"/>
      <c r="BU41" s="15"/>
      <c r="BV41" s="15"/>
      <c r="BW41" s="15"/>
      <c r="BX41" s="15"/>
      <c r="BY41" s="15"/>
      <c r="BZ41" s="15"/>
      <c r="CA41" s="15"/>
      <c r="CB41" s="15"/>
      <c r="CC41" s="15"/>
      <c r="CD41" s="15"/>
      <c r="CE41" s="15"/>
      <c r="CF41" s="15"/>
      <c r="CG41" s="15"/>
      <c r="CH41" s="15"/>
      <c r="CI41" s="15"/>
      <c r="CJ41" s="15"/>
      <c r="CK41" s="15"/>
      <c r="CL41" s="15"/>
      <c r="CM41" s="15"/>
      <c r="CN41" s="15"/>
      <c r="CO41" s="15"/>
      <c r="CP41" s="15"/>
      <c r="CQ41" s="15"/>
      <c r="CR41" s="15"/>
      <c r="CS41" s="15"/>
      <c r="CT41" s="15"/>
      <c r="CU41" s="15"/>
      <c r="CV41" s="15"/>
      <c r="CW41" s="15"/>
      <c r="CX41" s="15"/>
      <c r="CY41" s="15"/>
      <c r="CZ41" s="15"/>
      <c r="DA41" s="15"/>
      <c r="DB41" s="15"/>
      <c r="DC41" s="15"/>
    </row>
    <row r="42" spans="1:107" s="8" customFormat="1" ht="12.75" customHeight="1" x14ac:dyDescent="0.25">
      <c r="A42"/>
      <c r="B42" s="205"/>
      <c r="C42" s="206"/>
      <c r="D42" s="172" t="s">
        <v>121</v>
      </c>
      <c r="E42" s="174"/>
      <c r="F42" s="138"/>
      <c r="G42" s="168" t="s">
        <v>88</v>
      </c>
      <c r="H42" s="118"/>
      <c r="I42" s="136">
        <v>13317</v>
      </c>
      <c r="J42" s="179"/>
      <c r="K42" s="122"/>
      <c r="L42" s="202" t="s">
        <v>854</v>
      </c>
      <c r="M42" s="203"/>
      <c r="N42" s="204"/>
      <c r="P42"/>
      <c r="Q42"/>
      <c r="R42"/>
      <c r="S42" s="15"/>
      <c r="T42" s="15"/>
      <c r="U42" s="15"/>
      <c r="V42" s="15"/>
      <c r="W42" s="15"/>
      <c r="X42" s="15"/>
      <c r="Y42" s="15"/>
      <c r="Z42" s="15"/>
      <c r="AA42" s="15"/>
      <c r="AB42" s="15"/>
      <c r="AC42" s="15"/>
      <c r="AD42" s="15"/>
      <c r="AE42" s="15"/>
      <c r="AF42" s="15"/>
      <c r="AG42" s="15"/>
      <c r="AH42" s="15"/>
      <c r="AI42" s="15"/>
      <c r="AJ42" s="15"/>
      <c r="AK42" s="15"/>
      <c r="AL42" s="15"/>
      <c r="AM42" s="15"/>
      <c r="AN42" s="15"/>
      <c r="AO42" s="15"/>
      <c r="AP42" s="15"/>
      <c r="AQ42" s="15"/>
      <c r="AR42" s="15"/>
      <c r="AS42" s="15"/>
      <c r="AT42" s="15"/>
      <c r="AU42" s="15"/>
      <c r="AV42" s="15"/>
      <c r="AW42" s="15"/>
      <c r="AX42" s="15"/>
      <c r="AY42" s="15"/>
      <c r="AZ42" s="15"/>
      <c r="BA42" s="15"/>
      <c r="BB42" s="15"/>
      <c r="BC42" s="15"/>
      <c r="BD42" s="15"/>
      <c r="BE42" s="15"/>
      <c r="BF42" s="15"/>
      <c r="BG42" s="15"/>
      <c r="BH42" s="15"/>
      <c r="BI42" s="15"/>
      <c r="BJ42" s="15"/>
      <c r="BK42" s="15"/>
      <c r="BL42" s="15"/>
      <c r="BM42" s="15"/>
      <c r="BN42" s="15"/>
      <c r="BO42" s="15"/>
      <c r="BP42" s="15"/>
      <c r="BQ42" s="15"/>
      <c r="BR42" s="15"/>
      <c r="BS42" s="15"/>
      <c r="BT42" s="15"/>
      <c r="BU42" s="15"/>
      <c r="BV42" s="15"/>
      <c r="BW42" s="15"/>
      <c r="BX42" s="15"/>
      <c r="BY42" s="15"/>
      <c r="BZ42" s="15"/>
      <c r="CA42" s="15"/>
      <c r="CB42" s="15"/>
      <c r="CC42" s="15"/>
      <c r="CD42" s="15"/>
      <c r="CE42" s="15"/>
      <c r="CF42" s="15"/>
      <c r="CG42" s="15"/>
      <c r="CH42" s="15"/>
      <c r="CI42" s="15"/>
      <c r="CJ42" s="15"/>
      <c r="CK42" s="15"/>
      <c r="CL42" s="15"/>
      <c r="CM42" s="15"/>
      <c r="CN42" s="15"/>
      <c r="CO42" s="15"/>
      <c r="CP42" s="15"/>
      <c r="CQ42" s="15"/>
      <c r="CR42" s="15"/>
      <c r="CS42" s="15"/>
      <c r="CT42" s="15"/>
      <c r="CU42" s="15"/>
      <c r="CV42" s="15"/>
      <c r="CW42" s="15"/>
      <c r="CX42" s="15"/>
      <c r="CY42" s="15"/>
      <c r="CZ42" s="15"/>
      <c r="DA42" s="15"/>
      <c r="DB42" s="15"/>
      <c r="DC42" s="15"/>
    </row>
    <row r="43" spans="1:107" s="8" customFormat="1" ht="12.75" customHeight="1" x14ac:dyDescent="0.25">
      <c r="A43"/>
      <c r="B43" s="202" t="s">
        <v>14</v>
      </c>
      <c r="C43" s="203"/>
      <c r="D43" s="203"/>
      <c r="E43" s="204"/>
      <c r="F43" s="238" t="s">
        <v>477</v>
      </c>
      <c r="G43" s="238"/>
      <c r="H43" s="239"/>
      <c r="I43" s="202" t="s">
        <v>16</v>
      </c>
      <c r="J43" s="203"/>
      <c r="K43" s="204"/>
      <c r="L43" s="172"/>
      <c r="M43" s="172" t="s">
        <v>88</v>
      </c>
      <c r="N43" s="174"/>
      <c r="P43"/>
      <c r="Q43"/>
      <c r="R43"/>
      <c r="S43" s="15"/>
      <c r="T43" s="15"/>
      <c r="U43" s="15"/>
      <c r="V43" s="15"/>
      <c r="W43" s="15"/>
      <c r="X43" s="15"/>
      <c r="Y43" s="15"/>
      <c r="Z43" s="15"/>
      <c r="AA43" s="15"/>
      <c r="AB43" s="15"/>
      <c r="AC43" s="15"/>
      <c r="AD43" s="15"/>
      <c r="AE43" s="15"/>
      <c r="AF43" s="15"/>
      <c r="AG43" s="15"/>
      <c r="AH43" s="15"/>
      <c r="AI43" s="15"/>
      <c r="AJ43" s="15"/>
      <c r="AK43" s="15"/>
      <c r="AL43" s="15"/>
      <c r="AM43" s="15"/>
      <c r="AN43" s="15"/>
      <c r="AO43" s="15"/>
      <c r="AP43" s="15"/>
      <c r="AQ43" s="15"/>
      <c r="AR43" s="15"/>
      <c r="AS43" s="15"/>
      <c r="AT43" s="15"/>
      <c r="AU43" s="15"/>
      <c r="AV43" s="15"/>
      <c r="AW43" s="15"/>
      <c r="AX43" s="15"/>
      <c r="AY43" s="15"/>
      <c r="AZ43" s="15"/>
      <c r="BA43" s="15"/>
      <c r="BB43" s="15"/>
      <c r="BC43" s="15"/>
      <c r="BD43" s="15"/>
      <c r="BE43" s="15"/>
      <c r="BF43" s="15"/>
      <c r="BG43" s="15"/>
      <c r="BH43" s="15"/>
      <c r="BI43" s="15"/>
      <c r="BJ43" s="15"/>
      <c r="BK43" s="15"/>
      <c r="BL43" s="15"/>
      <c r="BM43" s="15"/>
      <c r="BN43" s="15"/>
      <c r="BO43" s="15"/>
      <c r="BP43" s="15"/>
      <c r="BQ43" s="15"/>
      <c r="BR43" s="15"/>
      <c r="BS43" s="15"/>
      <c r="BT43" s="15"/>
      <c r="BU43" s="15"/>
      <c r="BV43" s="15"/>
      <c r="BW43" s="15"/>
      <c r="BX43" s="15"/>
      <c r="BY43" s="15"/>
      <c r="BZ43" s="15"/>
      <c r="CA43" s="15"/>
      <c r="CB43" s="15"/>
      <c r="CC43" s="15"/>
      <c r="CD43" s="15"/>
      <c r="CE43" s="15"/>
      <c r="CF43" s="15"/>
      <c r="CG43" s="15"/>
      <c r="CH43" s="15"/>
      <c r="CI43" s="15"/>
      <c r="CJ43" s="15"/>
      <c r="CK43" s="15"/>
      <c r="CL43" s="15"/>
      <c r="CM43" s="15"/>
      <c r="CN43" s="15"/>
      <c r="CO43" s="15"/>
      <c r="CP43" s="15"/>
      <c r="CQ43" s="15"/>
      <c r="CR43" s="15"/>
      <c r="CS43" s="15"/>
      <c r="CT43" s="15"/>
      <c r="CU43" s="15"/>
      <c r="CV43" s="15"/>
      <c r="CW43" s="15"/>
      <c r="CX43" s="15"/>
      <c r="CY43" s="15"/>
      <c r="CZ43" s="15"/>
      <c r="DA43" s="15"/>
      <c r="DB43" s="15"/>
      <c r="DC43" s="15"/>
    </row>
    <row r="44" spans="1:107" s="8" customFormat="1" ht="12.75" customHeight="1" x14ac:dyDescent="0.25">
      <c r="A44"/>
      <c r="B44" s="323" t="s">
        <v>372</v>
      </c>
      <c r="C44" s="324"/>
      <c r="D44" s="324"/>
      <c r="E44" s="325"/>
      <c r="F44" s="172" t="s">
        <v>88</v>
      </c>
      <c r="G44" s="168" t="s">
        <v>121</v>
      </c>
      <c r="H44" s="118"/>
      <c r="I44" s="167" t="s">
        <v>88</v>
      </c>
      <c r="J44" s="172" t="s">
        <v>99</v>
      </c>
      <c r="K44" s="174" t="s">
        <v>433</v>
      </c>
      <c r="L44" s="202" t="s">
        <v>816</v>
      </c>
      <c r="M44" s="203"/>
      <c r="N44" s="204"/>
      <c r="P44"/>
      <c r="Q44"/>
      <c r="R44"/>
      <c r="S44" s="15"/>
      <c r="T44" s="15"/>
      <c r="U44" s="15"/>
      <c r="V44" s="15"/>
      <c r="W44" s="15"/>
      <c r="X44" s="15"/>
      <c r="Y44" s="15"/>
      <c r="Z44" s="15"/>
      <c r="AA44" s="15"/>
      <c r="AB44" s="15"/>
      <c r="AC44" s="15"/>
      <c r="AD44" s="15"/>
      <c r="AE44" s="15"/>
      <c r="AF44" s="15"/>
      <c r="AG44" s="15"/>
      <c r="AH44" s="15"/>
      <c r="AI44" s="15"/>
      <c r="AJ44" s="15"/>
      <c r="AK44" s="15"/>
      <c r="AL44" s="15"/>
      <c r="AM44" s="15"/>
      <c r="AN44" s="15"/>
      <c r="AO44" s="15"/>
      <c r="AP44" s="15"/>
      <c r="AQ44" s="15"/>
      <c r="AR44" s="15"/>
      <c r="AS44" s="15"/>
      <c r="AT44" s="15"/>
      <c r="AU44" s="15"/>
      <c r="AV44" s="15"/>
      <c r="AW44" s="15"/>
      <c r="AX44" s="15"/>
      <c r="AY44" s="15"/>
      <c r="AZ44" s="15"/>
      <c r="BA44" s="15"/>
      <c r="BB44" s="15"/>
      <c r="BC44" s="15"/>
      <c r="BD44" s="15"/>
      <c r="BE44" s="15"/>
      <c r="BF44" s="15"/>
      <c r="BG44" s="15"/>
      <c r="BH44" s="15"/>
      <c r="BI44" s="15"/>
      <c r="BJ44" s="15"/>
      <c r="BK44" s="15"/>
      <c r="BL44" s="15"/>
      <c r="BM44" s="15"/>
      <c r="BN44" s="15"/>
      <c r="BO44" s="15"/>
      <c r="BP44" s="15"/>
      <c r="BQ44" s="15"/>
      <c r="BR44" s="15"/>
      <c r="BS44" s="15"/>
      <c r="BT44" s="15"/>
      <c r="BU44" s="15"/>
      <c r="BV44" s="15"/>
      <c r="BW44" s="15"/>
      <c r="BX44" s="15"/>
      <c r="BY44" s="15"/>
      <c r="BZ44" s="15"/>
      <c r="CA44" s="15"/>
      <c r="CB44" s="15"/>
      <c r="CC44" s="15"/>
      <c r="CD44" s="15"/>
      <c r="CE44" s="15"/>
      <c r="CF44" s="15"/>
      <c r="CG44" s="15"/>
      <c r="CH44" s="15"/>
      <c r="CI44" s="15"/>
      <c r="CJ44" s="15"/>
      <c r="CK44" s="15"/>
      <c r="CL44" s="15"/>
      <c r="CM44" s="15"/>
      <c r="CN44" s="15"/>
      <c r="CO44" s="15"/>
      <c r="CP44" s="15"/>
      <c r="CQ44" s="15"/>
      <c r="CR44" s="15"/>
      <c r="CS44" s="15"/>
      <c r="CT44" s="15"/>
      <c r="CU44" s="15"/>
      <c r="CV44" s="15"/>
      <c r="CW44" s="15"/>
      <c r="CX44" s="15"/>
      <c r="CY44" s="15"/>
      <c r="CZ44" s="15"/>
      <c r="DA44" s="15"/>
      <c r="DB44" s="15"/>
      <c r="DC44" s="15"/>
    </row>
    <row r="45" spans="1:107" s="8" customFormat="1" ht="12.75" customHeight="1" x14ac:dyDescent="0.25">
      <c r="A45"/>
      <c r="B45" s="202" t="s">
        <v>591</v>
      </c>
      <c r="C45" s="203"/>
      <c r="D45" s="203"/>
      <c r="E45" s="204"/>
      <c r="F45" s="238" t="s">
        <v>7</v>
      </c>
      <c r="G45" s="238"/>
      <c r="H45" s="239"/>
      <c r="I45" s="167" t="s">
        <v>686</v>
      </c>
      <c r="J45" s="172" t="s">
        <v>707</v>
      </c>
      <c r="K45" s="174" t="s">
        <v>779</v>
      </c>
      <c r="L45" s="167"/>
      <c r="M45" s="172" t="s">
        <v>215</v>
      </c>
      <c r="N45" s="67"/>
      <c r="P45"/>
      <c r="Q45"/>
      <c r="R45"/>
      <c r="S45" s="15"/>
      <c r="T45" s="15"/>
      <c r="U45" s="15"/>
      <c r="V45" s="15"/>
      <c r="W45" s="15"/>
      <c r="X45" s="15"/>
      <c r="Y45" s="15"/>
      <c r="Z45" s="15"/>
      <c r="AA45" s="15"/>
      <c r="AB45" s="15"/>
      <c r="AC45" s="15"/>
      <c r="AD45" s="15"/>
      <c r="AE45" s="15"/>
      <c r="AF45" s="15"/>
      <c r="AG45" s="15"/>
      <c r="AH45" s="15"/>
      <c r="AI45" s="15"/>
      <c r="AJ45" s="15"/>
      <c r="AK45" s="15"/>
      <c r="AL45" s="15"/>
      <c r="AM45" s="15"/>
      <c r="AN45" s="15"/>
      <c r="AO45" s="15"/>
      <c r="AP45" s="15"/>
      <c r="AQ45" s="15"/>
      <c r="AR45" s="15"/>
      <c r="AS45" s="15"/>
      <c r="AT45" s="15"/>
      <c r="AU45" s="15"/>
      <c r="AV45" s="15"/>
      <c r="AW45" s="15"/>
      <c r="AX45" s="15"/>
      <c r="AY45" s="15"/>
      <c r="AZ45" s="15"/>
      <c r="BA45" s="15"/>
      <c r="BB45" s="15"/>
      <c r="BC45" s="15"/>
      <c r="BD45" s="15"/>
      <c r="BE45" s="15"/>
      <c r="BF45" s="15"/>
      <c r="BG45" s="15"/>
      <c r="BH45" s="15"/>
      <c r="BI45" s="15"/>
      <c r="BJ45" s="15"/>
      <c r="BK45" s="15"/>
      <c r="BL45" s="15"/>
      <c r="BM45" s="15"/>
      <c r="BN45" s="15"/>
      <c r="BO45" s="15"/>
      <c r="BP45" s="15"/>
      <c r="BQ45" s="15"/>
      <c r="BR45" s="15"/>
      <c r="BS45" s="15"/>
      <c r="BT45" s="15"/>
      <c r="BU45" s="15"/>
      <c r="BV45" s="15"/>
      <c r="BW45" s="15"/>
      <c r="BX45" s="15"/>
      <c r="BY45" s="15"/>
      <c r="BZ45" s="15"/>
      <c r="CA45" s="15"/>
      <c r="CB45" s="15"/>
      <c r="CC45" s="15"/>
      <c r="CD45" s="15"/>
      <c r="CE45" s="15"/>
      <c r="CF45" s="15"/>
      <c r="CG45" s="15"/>
      <c r="CH45" s="15"/>
      <c r="CI45" s="15"/>
      <c r="CJ45" s="15"/>
      <c r="CK45" s="15"/>
      <c r="CL45" s="15"/>
      <c r="CM45" s="15"/>
      <c r="CN45" s="15"/>
      <c r="CO45" s="15"/>
      <c r="CP45" s="15"/>
      <c r="CQ45" s="15"/>
      <c r="CR45" s="15"/>
      <c r="CS45" s="15"/>
      <c r="CT45" s="15"/>
      <c r="CU45" s="15"/>
      <c r="CV45" s="15"/>
      <c r="CW45" s="15"/>
      <c r="CX45" s="15"/>
      <c r="CY45" s="15"/>
      <c r="CZ45" s="15"/>
      <c r="DA45" s="15"/>
      <c r="DB45" s="15"/>
      <c r="DC45" s="15"/>
    </row>
    <row r="46" spans="1:107" s="8" customFormat="1" ht="12.75" customHeight="1" x14ac:dyDescent="0.25">
      <c r="A46"/>
      <c r="B46" s="205" t="s">
        <v>99</v>
      </c>
      <c r="C46" s="206"/>
      <c r="D46" s="172" t="s">
        <v>226</v>
      </c>
      <c r="E46" s="174" t="s">
        <v>228</v>
      </c>
      <c r="F46" s="289" t="s">
        <v>375</v>
      </c>
      <c r="G46" s="289"/>
      <c r="H46" s="290"/>
      <c r="I46" s="172" t="s">
        <v>808</v>
      </c>
      <c r="J46" s="172" t="s">
        <v>820</v>
      </c>
      <c r="K46" s="174" t="s">
        <v>821</v>
      </c>
      <c r="L46" s="202" t="s">
        <v>683</v>
      </c>
      <c r="M46" s="203"/>
      <c r="N46" s="204"/>
      <c r="P46"/>
      <c r="Q46"/>
      <c r="R46"/>
      <c r="S46" s="15"/>
      <c r="T46" s="15"/>
      <c r="U46" s="15"/>
      <c r="V46" s="15"/>
      <c r="W46" s="15"/>
      <c r="X46" s="15"/>
      <c r="Y46" s="15"/>
      <c r="Z46" s="15"/>
      <c r="AA46" s="15"/>
      <c r="AB46" s="15"/>
      <c r="AC46" s="15"/>
      <c r="AD46" s="15"/>
      <c r="AE46" s="15"/>
      <c r="AF46" s="15"/>
      <c r="AG46" s="15"/>
      <c r="AH46" s="15"/>
      <c r="AI46" s="15"/>
      <c r="AJ46" s="15"/>
      <c r="AK46" s="15"/>
      <c r="AL46" s="15"/>
      <c r="AM46" s="15"/>
      <c r="AN46" s="15"/>
      <c r="AO46" s="15"/>
      <c r="AP46" s="15"/>
      <c r="AQ46" s="15"/>
      <c r="AR46" s="15"/>
      <c r="AS46" s="15"/>
      <c r="AT46" s="15"/>
      <c r="AU46" s="15"/>
      <c r="AV46" s="15"/>
      <c r="AW46" s="15"/>
      <c r="AX46" s="15"/>
      <c r="AY46" s="15"/>
      <c r="AZ46" s="15"/>
      <c r="BA46" s="15"/>
      <c r="BB46" s="15"/>
      <c r="BC46" s="15"/>
      <c r="BD46" s="15"/>
      <c r="BE46" s="15"/>
      <c r="BF46" s="15"/>
      <c r="BG46" s="15"/>
      <c r="BH46" s="15"/>
      <c r="BI46" s="15"/>
      <c r="BJ46" s="15"/>
      <c r="BK46" s="15"/>
      <c r="BL46" s="15"/>
      <c r="BM46" s="15"/>
      <c r="BN46" s="15"/>
      <c r="BO46" s="15"/>
      <c r="BP46" s="15"/>
      <c r="BQ46" s="15"/>
      <c r="BR46" s="15"/>
      <c r="BS46" s="15"/>
      <c r="BT46" s="15"/>
      <c r="BU46" s="15"/>
      <c r="BV46" s="15"/>
      <c r="BW46" s="15"/>
      <c r="BX46" s="15"/>
      <c r="BY46" s="15"/>
      <c r="BZ46" s="15"/>
      <c r="CA46" s="15"/>
      <c r="CB46" s="15"/>
      <c r="CC46" s="15"/>
      <c r="CD46" s="15"/>
      <c r="CE46" s="15"/>
      <c r="CF46" s="15"/>
      <c r="CG46" s="15"/>
      <c r="CH46" s="15"/>
      <c r="CI46" s="15"/>
      <c r="CJ46" s="15"/>
      <c r="CK46" s="15"/>
      <c r="CL46" s="15"/>
      <c r="CM46" s="15"/>
      <c r="CN46" s="15"/>
      <c r="CO46" s="15"/>
      <c r="CP46" s="15"/>
      <c r="CQ46" s="15"/>
      <c r="CR46" s="15"/>
      <c r="CS46" s="15"/>
      <c r="CT46" s="15"/>
      <c r="CU46" s="15"/>
      <c r="CV46" s="15"/>
      <c r="CW46" s="15"/>
      <c r="CX46" s="15"/>
      <c r="CY46" s="15"/>
      <c r="CZ46" s="15"/>
      <c r="DA46" s="15"/>
      <c r="DB46" s="15"/>
      <c r="DC46" s="15"/>
    </row>
    <row r="47" spans="1:107" s="8" customFormat="1" ht="12.75" customHeight="1" x14ac:dyDescent="0.25">
      <c r="A47"/>
      <c r="B47" s="216" t="s">
        <v>97</v>
      </c>
      <c r="C47" s="206"/>
      <c r="D47" s="172" t="s">
        <v>664</v>
      </c>
      <c r="E47" s="174" t="s">
        <v>675</v>
      </c>
      <c r="F47" s="238" t="s">
        <v>642</v>
      </c>
      <c r="G47" s="238"/>
      <c r="H47" s="239"/>
      <c r="I47" s="172" t="s">
        <v>822</v>
      </c>
      <c r="J47" s="172">
        <v>104</v>
      </c>
      <c r="K47" s="174"/>
      <c r="L47" s="292" t="s">
        <v>88</v>
      </c>
      <c r="M47" s="293"/>
      <c r="N47" s="294"/>
      <c r="P47"/>
      <c r="Q47"/>
      <c r="R47"/>
      <c r="S47" s="15"/>
      <c r="T47" s="15"/>
      <c r="U47" s="15"/>
      <c r="V47" s="15"/>
      <c r="W47" s="15"/>
      <c r="X47" s="15"/>
      <c r="Y47" s="15"/>
      <c r="Z47" s="15"/>
      <c r="AA47" s="15"/>
      <c r="AB47" s="15"/>
      <c r="AC47" s="15"/>
      <c r="AD47" s="15"/>
      <c r="AE47" s="15"/>
      <c r="AF47" s="15"/>
      <c r="AG47" s="15"/>
      <c r="AH47" s="15"/>
      <c r="AI47" s="15"/>
      <c r="AJ47" s="15"/>
      <c r="AK47" s="15"/>
      <c r="AL47" s="15"/>
      <c r="AM47" s="15"/>
      <c r="AN47" s="15"/>
      <c r="AO47" s="15"/>
      <c r="AP47" s="15"/>
      <c r="AQ47" s="15"/>
      <c r="AR47" s="15"/>
      <c r="AS47" s="15"/>
      <c r="AT47" s="15"/>
      <c r="AU47" s="15"/>
      <c r="AV47" s="15"/>
      <c r="AW47" s="15"/>
      <c r="AX47" s="15"/>
      <c r="AY47" s="15"/>
      <c r="AZ47" s="15"/>
      <c r="BA47" s="15"/>
      <c r="BB47" s="15"/>
      <c r="BC47" s="15"/>
      <c r="BD47" s="15"/>
      <c r="BE47" s="15"/>
      <c r="BF47" s="15"/>
      <c r="BG47" s="15"/>
      <c r="BH47" s="15"/>
      <c r="BI47" s="15"/>
      <c r="BJ47" s="15"/>
      <c r="BK47" s="15"/>
      <c r="BL47" s="15"/>
      <c r="BM47" s="15"/>
      <c r="BN47" s="15"/>
      <c r="BO47" s="15"/>
      <c r="BP47" s="15"/>
      <c r="BQ47" s="15"/>
      <c r="BR47" s="15"/>
      <c r="BS47" s="15"/>
      <c r="BT47" s="15"/>
      <c r="BU47" s="15"/>
      <c r="BV47" s="15"/>
      <c r="BW47" s="15"/>
      <c r="BX47" s="15"/>
      <c r="BY47" s="15"/>
      <c r="BZ47" s="15"/>
      <c r="CA47" s="15"/>
      <c r="CB47" s="15"/>
      <c r="CC47" s="15"/>
      <c r="CD47" s="15"/>
      <c r="CE47" s="15"/>
      <c r="CF47" s="15"/>
      <c r="CG47" s="15"/>
      <c r="CH47" s="15"/>
      <c r="CI47" s="15"/>
      <c r="CJ47" s="15"/>
      <c r="CK47" s="15"/>
      <c r="CL47" s="15"/>
      <c r="CM47" s="15"/>
      <c r="CN47" s="15"/>
      <c r="CO47" s="15"/>
      <c r="CP47" s="15"/>
      <c r="CQ47" s="15"/>
      <c r="CR47" s="15"/>
      <c r="CS47" s="15"/>
      <c r="CT47" s="15"/>
      <c r="CU47" s="15"/>
      <c r="CV47" s="15"/>
      <c r="CW47" s="15"/>
      <c r="CX47" s="15"/>
      <c r="CY47" s="15"/>
      <c r="CZ47" s="15"/>
      <c r="DA47" s="15"/>
      <c r="DB47" s="15"/>
      <c r="DC47" s="15"/>
    </row>
    <row r="48" spans="1:107" s="8" customFormat="1" ht="12.75" customHeight="1" x14ac:dyDescent="0.25">
      <c r="A48"/>
      <c r="B48" s="205" t="s">
        <v>370</v>
      </c>
      <c r="C48" s="206"/>
      <c r="D48" s="172" t="s">
        <v>734</v>
      </c>
      <c r="E48" s="174"/>
      <c r="F48" s="172"/>
      <c r="G48" s="172" t="s">
        <v>121</v>
      </c>
      <c r="H48" s="119"/>
      <c r="I48" s="202" t="s">
        <v>529</v>
      </c>
      <c r="J48" s="203"/>
      <c r="K48" s="204"/>
      <c r="L48" s="202" t="s">
        <v>419</v>
      </c>
      <c r="M48" s="203"/>
      <c r="N48" s="204"/>
      <c r="P48"/>
      <c r="Q48"/>
      <c r="R48"/>
      <c r="S48" s="15"/>
      <c r="T48" s="15"/>
      <c r="U48" s="15"/>
      <c r="V48" s="15"/>
      <c r="W48" s="15"/>
      <c r="X48" s="15"/>
      <c r="Y48" s="15"/>
      <c r="Z48" s="15"/>
      <c r="AA48" s="15"/>
      <c r="AB48" s="15"/>
      <c r="AC48" s="15"/>
      <c r="AD48" s="15"/>
      <c r="AE48" s="15"/>
      <c r="AF48" s="15"/>
      <c r="AG48" s="15"/>
      <c r="AH48" s="15"/>
      <c r="AI48" s="15"/>
      <c r="AJ48" s="15"/>
      <c r="AK48" s="15"/>
      <c r="AL48" s="15"/>
      <c r="AM48" s="15"/>
      <c r="AN48" s="15"/>
      <c r="AO48" s="15"/>
      <c r="AP48" s="15"/>
      <c r="AQ48" s="15"/>
      <c r="AR48" s="15"/>
      <c r="AS48" s="15"/>
      <c r="AT48" s="15"/>
      <c r="AU48" s="15"/>
      <c r="AV48" s="15"/>
      <c r="AW48" s="15"/>
      <c r="AX48" s="15"/>
      <c r="AY48" s="15"/>
      <c r="AZ48" s="15"/>
      <c r="BA48" s="15"/>
      <c r="BB48" s="15"/>
      <c r="BC48" s="15"/>
      <c r="BD48" s="15"/>
      <c r="BE48" s="15"/>
      <c r="BF48" s="15"/>
      <c r="BG48" s="15"/>
      <c r="BH48" s="15"/>
      <c r="BI48" s="15"/>
      <c r="BJ48" s="15"/>
      <c r="BK48" s="15"/>
      <c r="BL48" s="15"/>
      <c r="BM48" s="15"/>
      <c r="BN48" s="15"/>
      <c r="BO48" s="15"/>
      <c r="BP48" s="15"/>
      <c r="BQ48" s="15"/>
      <c r="BR48" s="15"/>
      <c r="BS48" s="15"/>
      <c r="BT48" s="15"/>
      <c r="BU48" s="15"/>
      <c r="BV48" s="15"/>
      <c r="BW48" s="15"/>
      <c r="BX48" s="15"/>
      <c r="BY48" s="15"/>
      <c r="BZ48" s="15"/>
      <c r="CA48" s="15"/>
      <c r="CB48" s="15"/>
      <c r="CC48" s="15"/>
      <c r="CD48" s="15"/>
      <c r="CE48" s="15"/>
      <c r="CF48" s="15"/>
      <c r="CG48" s="15"/>
      <c r="CH48" s="15"/>
      <c r="CI48" s="15"/>
      <c r="CJ48" s="15"/>
      <c r="CK48" s="15"/>
      <c r="CL48" s="15"/>
      <c r="CM48" s="15"/>
      <c r="CN48" s="15"/>
      <c r="CO48" s="15"/>
      <c r="CP48" s="15"/>
      <c r="CQ48" s="15"/>
      <c r="CR48" s="15"/>
      <c r="CS48" s="15"/>
      <c r="CT48" s="15"/>
      <c r="CU48" s="15"/>
      <c r="CV48" s="15"/>
      <c r="CW48" s="15"/>
      <c r="CX48" s="15"/>
      <c r="CY48" s="15"/>
      <c r="CZ48" s="15"/>
      <c r="DA48" s="15"/>
      <c r="DB48" s="15"/>
      <c r="DC48" s="15"/>
    </row>
    <row r="49" spans="1:107" s="8" customFormat="1" ht="12.75" customHeight="1" x14ac:dyDescent="0.25">
      <c r="A49"/>
      <c r="B49" s="202" t="s">
        <v>706</v>
      </c>
      <c r="C49" s="203"/>
      <c r="D49" s="203"/>
      <c r="E49" s="204"/>
      <c r="F49" s="238" t="s">
        <v>621</v>
      </c>
      <c r="G49" s="238"/>
      <c r="H49" s="239"/>
      <c r="I49" s="167" t="s">
        <v>215</v>
      </c>
      <c r="J49" s="172" t="s">
        <v>228</v>
      </c>
      <c r="K49" s="174" t="s">
        <v>98</v>
      </c>
      <c r="L49" s="172" t="s">
        <v>88</v>
      </c>
      <c r="M49" s="172" t="s">
        <v>99</v>
      </c>
      <c r="N49" s="174" t="s">
        <v>220</v>
      </c>
      <c r="P49"/>
      <c r="Q49"/>
      <c r="R49"/>
      <c r="S49" s="15"/>
      <c r="T49" s="15"/>
      <c r="U49" s="15"/>
      <c r="V49" s="15"/>
      <c r="W49" s="15"/>
      <c r="X49" s="15"/>
      <c r="Y49" s="15"/>
      <c r="Z49" s="15"/>
      <c r="AA49" s="15"/>
      <c r="AB49" s="15"/>
      <c r="AC49" s="15"/>
      <c r="AD49" s="15"/>
      <c r="AE49" s="15"/>
      <c r="AF49" s="15"/>
      <c r="AG49" s="15"/>
      <c r="AH49" s="15"/>
      <c r="AI49" s="15"/>
      <c r="AJ49" s="15"/>
      <c r="AK49" s="15"/>
      <c r="AL49" s="15"/>
      <c r="AM49" s="15"/>
      <c r="AN49" s="15"/>
      <c r="AO49" s="15"/>
      <c r="AP49" s="15"/>
      <c r="AQ49" s="15"/>
      <c r="AR49" s="15"/>
      <c r="AS49" s="15"/>
      <c r="AT49" s="15"/>
      <c r="AU49" s="15"/>
      <c r="AV49" s="15"/>
      <c r="AW49" s="15"/>
      <c r="AX49" s="15"/>
      <c r="AY49" s="15"/>
      <c r="AZ49" s="15"/>
      <c r="BA49" s="15"/>
      <c r="BB49" s="15"/>
      <c r="BC49" s="15"/>
      <c r="BD49" s="15"/>
      <c r="BE49" s="15"/>
      <c r="BF49" s="15"/>
      <c r="BG49" s="15"/>
      <c r="BH49" s="15"/>
      <c r="BI49" s="15"/>
      <c r="BJ49" s="15"/>
      <c r="BK49" s="15"/>
      <c r="BL49" s="15"/>
      <c r="BM49" s="15"/>
      <c r="BN49" s="15"/>
      <c r="BO49" s="15"/>
      <c r="BP49" s="15"/>
      <c r="BQ49" s="15"/>
      <c r="BR49" s="15"/>
      <c r="BS49" s="15"/>
      <c r="BT49" s="15"/>
      <c r="BU49" s="15"/>
      <c r="BV49" s="15"/>
      <c r="BW49" s="15"/>
      <c r="BX49" s="15"/>
      <c r="BY49" s="15"/>
      <c r="BZ49" s="15"/>
      <c r="CA49" s="15"/>
      <c r="CB49" s="15"/>
      <c r="CC49" s="15"/>
      <c r="CD49" s="15"/>
      <c r="CE49" s="15"/>
      <c r="CF49" s="15"/>
      <c r="CG49" s="15"/>
      <c r="CH49" s="15"/>
      <c r="CI49" s="15"/>
      <c r="CJ49" s="15"/>
      <c r="CK49" s="15"/>
      <c r="CL49" s="15"/>
      <c r="CM49" s="15"/>
      <c r="CN49" s="15"/>
      <c r="CO49" s="15"/>
      <c r="CP49" s="15"/>
      <c r="CQ49" s="15"/>
      <c r="CR49" s="15"/>
      <c r="CS49" s="15"/>
      <c r="CT49" s="15"/>
      <c r="CU49" s="15"/>
      <c r="CV49" s="15"/>
      <c r="CW49" s="15"/>
      <c r="CX49" s="15"/>
      <c r="CY49" s="15"/>
      <c r="CZ49" s="15"/>
      <c r="DA49" s="15"/>
      <c r="DB49" s="15"/>
      <c r="DC49" s="15"/>
    </row>
    <row r="50" spans="1:107" s="8" customFormat="1" ht="12.75" customHeight="1" x14ac:dyDescent="0.25">
      <c r="A50"/>
      <c r="B50" s="205"/>
      <c r="C50" s="206"/>
      <c r="D50" s="172" t="s">
        <v>99</v>
      </c>
      <c r="E50" s="174"/>
      <c r="F50" s="289" t="s">
        <v>799</v>
      </c>
      <c r="G50" s="289"/>
      <c r="H50" s="290"/>
      <c r="I50" s="202" t="s">
        <v>218</v>
      </c>
      <c r="J50" s="203"/>
      <c r="K50" s="204"/>
      <c r="L50" s="172" t="s">
        <v>226</v>
      </c>
      <c r="M50" s="172"/>
      <c r="N50" s="174"/>
      <c r="P50"/>
      <c r="Q50"/>
      <c r="R50"/>
      <c r="S50" s="15"/>
      <c r="T50" s="15"/>
      <c r="U50" s="15"/>
      <c r="V50" s="15"/>
      <c r="W50" s="15"/>
      <c r="X50" s="15"/>
      <c r="Y50" s="15"/>
      <c r="Z50" s="15"/>
      <c r="AA50" s="15"/>
      <c r="AB50" s="15"/>
      <c r="AC50" s="15"/>
      <c r="AD50" s="15"/>
      <c r="AE50" s="15"/>
      <c r="AF50" s="15"/>
      <c r="AG50" s="15"/>
      <c r="AH50" s="15"/>
      <c r="AI50" s="15"/>
      <c r="AJ50" s="15"/>
      <c r="AK50" s="15"/>
      <c r="AL50" s="15"/>
      <c r="AM50" s="15"/>
      <c r="AN50" s="15"/>
      <c r="AO50" s="15"/>
      <c r="AP50" s="15"/>
      <c r="AQ50" s="15"/>
      <c r="AR50" s="15"/>
      <c r="AS50" s="15"/>
      <c r="AT50" s="15"/>
      <c r="AU50" s="15"/>
      <c r="AV50" s="15"/>
      <c r="AW50" s="15"/>
      <c r="AX50" s="15"/>
      <c r="AY50" s="15"/>
      <c r="AZ50" s="15"/>
      <c r="BA50" s="15"/>
      <c r="BB50" s="15"/>
      <c r="BC50" s="15"/>
      <c r="BD50" s="15"/>
      <c r="BE50" s="15"/>
      <c r="BF50" s="15"/>
      <c r="BG50" s="15"/>
      <c r="BH50" s="15"/>
      <c r="BI50" s="15"/>
      <c r="BJ50" s="15"/>
      <c r="BK50" s="15"/>
      <c r="BL50" s="15"/>
      <c r="BM50" s="15"/>
      <c r="BN50" s="15"/>
      <c r="BO50" s="15"/>
      <c r="BP50" s="15"/>
      <c r="BQ50" s="15"/>
      <c r="BR50" s="15"/>
      <c r="BS50" s="15"/>
      <c r="BT50" s="15"/>
      <c r="BU50" s="15"/>
      <c r="BV50" s="15"/>
      <c r="BW50" s="15"/>
      <c r="BX50" s="15"/>
      <c r="BY50" s="15"/>
      <c r="BZ50" s="15"/>
      <c r="CA50" s="15"/>
      <c r="CB50" s="15"/>
      <c r="CC50" s="15"/>
      <c r="CD50" s="15"/>
      <c r="CE50" s="15"/>
      <c r="CF50" s="15"/>
      <c r="CG50" s="15"/>
      <c r="CH50" s="15"/>
      <c r="CI50" s="15"/>
      <c r="CJ50" s="15"/>
      <c r="CK50" s="15"/>
      <c r="CL50" s="15"/>
      <c r="CM50" s="15"/>
      <c r="CN50" s="15"/>
      <c r="CO50" s="15"/>
      <c r="CP50" s="15"/>
      <c r="CQ50" s="15"/>
      <c r="CR50" s="15"/>
      <c r="CS50" s="15"/>
      <c r="CT50" s="15"/>
      <c r="CU50" s="15"/>
      <c r="CV50" s="15"/>
      <c r="CW50" s="15"/>
      <c r="CX50" s="15"/>
      <c r="CY50" s="15"/>
      <c r="CZ50" s="15"/>
      <c r="DA50" s="15"/>
      <c r="DB50" s="15"/>
      <c r="DC50" s="15"/>
    </row>
    <row r="51" spans="1:107" s="8" customFormat="1" ht="12.75" customHeight="1" x14ac:dyDescent="0.25">
      <c r="A51"/>
      <c r="B51" s="202" t="s">
        <v>750</v>
      </c>
      <c r="C51" s="203"/>
      <c r="D51" s="203"/>
      <c r="E51" s="204"/>
      <c r="F51" s="238" t="s">
        <v>849</v>
      </c>
      <c r="G51" s="238"/>
      <c r="H51" s="239"/>
      <c r="I51" s="216" t="s">
        <v>88</v>
      </c>
      <c r="J51" s="217"/>
      <c r="K51" s="227"/>
      <c r="L51" s="202" t="s">
        <v>436</v>
      </c>
      <c r="M51" s="203"/>
      <c r="N51" s="204"/>
      <c r="P51"/>
      <c r="Q51"/>
      <c r="R51"/>
      <c r="S51" s="15"/>
      <c r="T51" s="15"/>
      <c r="U51" s="15"/>
      <c r="V51" s="15"/>
      <c r="W51" s="15"/>
      <c r="X51" s="15"/>
      <c r="Y51" s="15"/>
      <c r="Z51" s="15"/>
      <c r="AA51" s="15"/>
      <c r="AB51" s="15"/>
      <c r="AC51" s="15"/>
      <c r="AD51" s="15"/>
      <c r="AE51" s="15"/>
      <c r="AF51" s="15"/>
      <c r="AG51" s="15"/>
      <c r="AH51" s="15"/>
      <c r="AI51" s="15"/>
      <c r="AJ51" s="15"/>
      <c r="AK51" s="15"/>
      <c r="AL51" s="15"/>
      <c r="AM51" s="15"/>
      <c r="AN51" s="15"/>
      <c r="AO51" s="15"/>
      <c r="AP51" s="15"/>
      <c r="AQ51" s="15"/>
      <c r="AR51" s="15"/>
      <c r="AS51" s="15"/>
      <c r="AT51" s="15"/>
      <c r="AU51" s="15"/>
      <c r="AV51" s="15"/>
      <c r="AW51" s="15"/>
      <c r="AX51" s="15"/>
      <c r="AY51" s="15"/>
      <c r="AZ51" s="15"/>
      <c r="BA51" s="15"/>
      <c r="BB51" s="15"/>
      <c r="BC51" s="15"/>
      <c r="BD51" s="15"/>
      <c r="BE51" s="15"/>
      <c r="BF51" s="15"/>
      <c r="BG51" s="15"/>
      <c r="BH51" s="15"/>
      <c r="BI51" s="15"/>
      <c r="BJ51" s="15"/>
      <c r="BK51" s="15"/>
      <c r="BL51" s="15"/>
      <c r="BM51" s="15"/>
      <c r="BN51" s="15"/>
      <c r="BO51" s="15"/>
      <c r="BP51" s="15"/>
      <c r="BQ51" s="15"/>
      <c r="BR51" s="15"/>
      <c r="BS51" s="15"/>
      <c r="BT51" s="15"/>
      <c r="BU51" s="15"/>
      <c r="BV51" s="15"/>
      <c r="BW51" s="15"/>
      <c r="BX51" s="15"/>
      <c r="BY51" s="15"/>
      <c r="BZ51" s="15"/>
      <c r="CA51" s="15"/>
      <c r="CB51" s="15"/>
      <c r="CC51" s="15"/>
      <c r="CD51" s="15"/>
      <c r="CE51" s="15"/>
      <c r="CF51" s="15"/>
      <c r="CG51" s="15"/>
      <c r="CH51" s="15"/>
      <c r="CI51" s="15"/>
      <c r="CJ51" s="15"/>
      <c r="CK51" s="15"/>
      <c r="CL51" s="15"/>
      <c r="CM51" s="15"/>
      <c r="CN51" s="15"/>
      <c r="CO51" s="15"/>
      <c r="CP51" s="15"/>
      <c r="CQ51" s="15"/>
      <c r="CR51" s="15"/>
      <c r="CS51" s="15"/>
      <c r="CT51" s="15"/>
      <c r="CU51" s="15"/>
      <c r="CV51" s="15"/>
      <c r="CW51" s="15"/>
      <c r="CX51" s="15"/>
      <c r="CY51" s="15"/>
      <c r="CZ51" s="15"/>
      <c r="DA51" s="15"/>
      <c r="DB51" s="15"/>
      <c r="DC51" s="15"/>
    </row>
    <row r="52" spans="1:107" s="8" customFormat="1" ht="12.75" customHeight="1" x14ac:dyDescent="0.25">
      <c r="A52"/>
      <c r="B52" s="205"/>
      <c r="C52" s="206"/>
      <c r="D52" s="172" t="s">
        <v>220</v>
      </c>
      <c r="E52" s="174"/>
      <c r="F52" s="172" t="s">
        <v>121</v>
      </c>
      <c r="G52" s="172"/>
      <c r="H52" s="174"/>
      <c r="I52" s="202" t="s">
        <v>795</v>
      </c>
      <c r="J52" s="203"/>
      <c r="K52" s="204"/>
      <c r="L52" s="167" t="s">
        <v>215</v>
      </c>
      <c r="M52" s="172" t="s">
        <v>220</v>
      </c>
      <c r="N52" s="174" t="s">
        <v>98</v>
      </c>
      <c r="P52"/>
      <c r="Q52"/>
      <c r="R52"/>
      <c r="S52" s="15"/>
      <c r="T52" s="15"/>
      <c r="U52" s="15"/>
      <c r="V52" s="15"/>
      <c r="W52" s="15"/>
      <c r="X52" s="15"/>
      <c r="Y52" s="15"/>
      <c r="Z52" s="15"/>
      <c r="AA52" s="15"/>
      <c r="AB52" s="15"/>
      <c r="AC52" s="15"/>
      <c r="AD52" s="15"/>
      <c r="AE52" s="15"/>
      <c r="AF52" s="15"/>
      <c r="AG52" s="15"/>
      <c r="AH52" s="15"/>
      <c r="AI52" s="15"/>
      <c r="AJ52" s="15"/>
      <c r="AK52" s="15"/>
      <c r="AL52" s="15"/>
      <c r="AM52" s="15"/>
      <c r="AN52" s="15"/>
      <c r="AO52" s="15"/>
      <c r="AP52" s="15"/>
      <c r="AQ52" s="15"/>
      <c r="AR52" s="15"/>
      <c r="AS52" s="15"/>
      <c r="AT52" s="15"/>
      <c r="AU52" s="15"/>
      <c r="AV52" s="15"/>
      <c r="AW52" s="15"/>
      <c r="AX52" s="15"/>
      <c r="AY52" s="15"/>
      <c r="AZ52" s="15"/>
      <c r="BA52" s="15"/>
      <c r="BB52" s="15"/>
      <c r="BC52" s="15"/>
      <c r="BD52" s="15"/>
      <c r="BE52" s="15"/>
      <c r="BF52" s="15"/>
      <c r="BG52" s="15"/>
      <c r="BH52" s="15"/>
      <c r="BI52" s="15"/>
      <c r="BJ52" s="15"/>
      <c r="BK52" s="15"/>
      <c r="BL52" s="15"/>
      <c r="BM52" s="15"/>
      <c r="BN52" s="15"/>
      <c r="BO52" s="15"/>
      <c r="BP52" s="15"/>
      <c r="BQ52" s="15"/>
      <c r="BR52" s="15"/>
      <c r="BS52" s="15"/>
      <c r="BT52" s="15"/>
      <c r="BU52" s="15"/>
      <c r="BV52" s="15"/>
      <c r="BW52" s="15"/>
      <c r="BX52" s="15"/>
      <c r="BY52" s="15"/>
      <c r="BZ52" s="15"/>
      <c r="CA52" s="15"/>
      <c r="CB52" s="15"/>
      <c r="CC52" s="15"/>
      <c r="CD52" s="15"/>
      <c r="CE52" s="15"/>
      <c r="CF52" s="15"/>
      <c r="CG52" s="15"/>
      <c r="CH52" s="15"/>
      <c r="CI52" s="15"/>
      <c r="CJ52" s="15"/>
      <c r="CK52" s="15"/>
      <c r="CL52" s="15"/>
      <c r="CM52" s="15"/>
      <c r="CN52" s="15"/>
      <c r="CO52" s="15"/>
      <c r="CP52" s="15"/>
      <c r="CQ52" s="15"/>
      <c r="CR52" s="15"/>
      <c r="CS52" s="15"/>
      <c r="CT52" s="15"/>
      <c r="CU52" s="15"/>
      <c r="CV52" s="15"/>
      <c r="CW52" s="15"/>
      <c r="CX52" s="15"/>
      <c r="CY52" s="15"/>
      <c r="CZ52" s="15"/>
      <c r="DA52" s="15"/>
      <c r="DB52" s="15"/>
      <c r="DC52" s="15"/>
    </row>
    <row r="53" spans="1:107" s="8" customFormat="1" ht="12.75" customHeight="1" x14ac:dyDescent="0.25">
      <c r="A53"/>
      <c r="B53" s="202" t="s">
        <v>18</v>
      </c>
      <c r="C53" s="203"/>
      <c r="D53" s="203"/>
      <c r="E53" s="204"/>
      <c r="F53" s="238" t="s">
        <v>644</v>
      </c>
      <c r="G53" s="238"/>
      <c r="H53" s="239"/>
      <c r="I53" s="216" t="s">
        <v>88</v>
      </c>
      <c r="J53" s="217"/>
      <c r="K53" s="227"/>
      <c r="L53" s="172" t="s">
        <v>675</v>
      </c>
      <c r="M53" s="172"/>
      <c r="N53" s="174"/>
      <c r="P53"/>
      <c r="Q53"/>
      <c r="R53"/>
      <c r="S53" s="15"/>
      <c r="T53" s="15"/>
      <c r="U53" s="15"/>
      <c r="V53" s="15"/>
      <c r="W53" s="15"/>
      <c r="X53" s="15"/>
      <c r="Y53" s="15"/>
      <c r="Z53" s="15"/>
      <c r="AA53" s="15"/>
      <c r="AB53" s="15"/>
      <c r="AC53" s="15"/>
      <c r="AD53" s="15"/>
      <c r="AE53" s="15"/>
      <c r="AF53" s="15"/>
      <c r="AG53" s="15"/>
      <c r="AH53" s="15"/>
      <c r="AI53" s="15"/>
      <c r="AJ53" s="15"/>
      <c r="AK53" s="15"/>
      <c r="AL53" s="15"/>
      <c r="AM53" s="15"/>
      <c r="AN53" s="15"/>
      <c r="AO53" s="15"/>
      <c r="AP53" s="15"/>
      <c r="AQ53" s="15"/>
      <c r="AR53" s="15"/>
      <c r="AS53" s="15"/>
      <c r="AT53" s="15"/>
      <c r="AU53" s="15"/>
      <c r="AV53" s="15"/>
      <c r="AW53" s="15"/>
      <c r="AX53" s="15"/>
      <c r="AY53" s="15"/>
      <c r="AZ53" s="15"/>
      <c r="BA53" s="15"/>
      <c r="BB53" s="15"/>
      <c r="BC53" s="15"/>
      <c r="BD53" s="15"/>
      <c r="BE53" s="15"/>
      <c r="BF53" s="15"/>
      <c r="BG53" s="15"/>
      <c r="BH53" s="15"/>
      <c r="BI53" s="15"/>
      <c r="BJ53" s="15"/>
      <c r="BK53" s="15"/>
      <c r="BL53" s="15"/>
      <c r="BM53" s="15"/>
      <c r="BN53" s="15"/>
      <c r="BO53" s="15"/>
      <c r="BP53" s="15"/>
      <c r="BQ53" s="15"/>
      <c r="BR53" s="15"/>
      <c r="BS53" s="15"/>
      <c r="BT53" s="15"/>
      <c r="BU53" s="15"/>
      <c r="BV53" s="15"/>
      <c r="BW53" s="15"/>
      <c r="BX53" s="15"/>
      <c r="BY53" s="15"/>
      <c r="BZ53" s="15"/>
      <c r="CA53" s="15"/>
      <c r="CB53" s="15"/>
      <c r="CC53" s="15"/>
      <c r="CD53" s="15"/>
      <c r="CE53" s="15"/>
      <c r="CF53" s="15"/>
      <c r="CG53" s="15"/>
      <c r="CH53" s="15"/>
      <c r="CI53" s="15"/>
      <c r="CJ53" s="15"/>
      <c r="CK53" s="15"/>
      <c r="CL53" s="15"/>
      <c r="CM53" s="15"/>
      <c r="CN53" s="15"/>
      <c r="CO53" s="15"/>
      <c r="CP53" s="15"/>
      <c r="CQ53" s="15"/>
      <c r="CR53" s="15"/>
      <c r="CS53" s="15"/>
      <c r="CT53" s="15"/>
      <c r="CU53" s="15"/>
      <c r="CV53" s="15"/>
      <c r="CW53" s="15"/>
      <c r="CX53" s="15"/>
      <c r="CY53" s="15"/>
      <c r="CZ53" s="15"/>
      <c r="DA53" s="15"/>
      <c r="DB53" s="15"/>
      <c r="DC53" s="15"/>
    </row>
    <row r="54" spans="1:107" s="8" customFormat="1" ht="12.75" customHeight="1" x14ac:dyDescent="0.25">
      <c r="A54"/>
      <c r="B54" s="348" t="s">
        <v>18</v>
      </c>
      <c r="C54" s="349"/>
      <c r="D54" s="349"/>
      <c r="E54" s="350"/>
      <c r="F54" s="172" t="s">
        <v>215</v>
      </c>
      <c r="G54" s="172" t="s">
        <v>220</v>
      </c>
      <c r="H54" s="174" t="s">
        <v>226</v>
      </c>
      <c r="I54" s="202" t="s">
        <v>740</v>
      </c>
      <c r="J54" s="203"/>
      <c r="K54" s="204"/>
      <c r="L54" s="202" t="s">
        <v>13</v>
      </c>
      <c r="M54" s="203"/>
      <c r="N54" s="204"/>
      <c r="P54"/>
      <c r="Q54"/>
      <c r="R54"/>
      <c r="S54" s="15"/>
      <c r="T54" s="15"/>
      <c r="U54" s="15"/>
      <c r="V54" s="15"/>
      <c r="W54" s="15"/>
      <c r="X54" s="15"/>
      <c r="Y54" s="15"/>
      <c r="Z54" s="15"/>
      <c r="AA54" s="15"/>
      <c r="AB54" s="15"/>
      <c r="AC54" s="15"/>
      <c r="AD54" s="15"/>
      <c r="AE54" s="15"/>
      <c r="AF54" s="15"/>
      <c r="AG54" s="15"/>
      <c r="AH54" s="15"/>
      <c r="AI54" s="15"/>
      <c r="AJ54" s="15"/>
      <c r="AK54" s="15"/>
      <c r="AL54" s="15"/>
      <c r="AM54" s="15"/>
      <c r="AN54" s="15"/>
      <c r="AO54" s="15"/>
      <c r="AP54" s="15"/>
      <c r="AQ54" s="15"/>
      <c r="AR54" s="15"/>
      <c r="AS54" s="15"/>
      <c r="AT54" s="15"/>
      <c r="AU54" s="15"/>
      <c r="AV54" s="15"/>
      <c r="AW54" s="15"/>
      <c r="AX54" s="15"/>
      <c r="AY54" s="15"/>
      <c r="AZ54" s="15"/>
      <c r="BA54" s="15"/>
      <c r="BB54" s="15"/>
      <c r="BC54" s="15"/>
      <c r="BD54" s="15"/>
      <c r="BE54" s="15"/>
      <c r="BF54" s="15"/>
      <c r="BG54" s="15"/>
      <c r="BH54" s="15"/>
      <c r="BI54" s="15"/>
      <c r="BJ54" s="15"/>
      <c r="BK54" s="15"/>
      <c r="BL54" s="15"/>
      <c r="BM54" s="15"/>
      <c r="BN54" s="15"/>
      <c r="BO54" s="15"/>
      <c r="BP54" s="15"/>
      <c r="BQ54" s="15"/>
      <c r="BR54" s="15"/>
      <c r="BS54" s="15"/>
      <c r="BT54" s="15"/>
      <c r="BU54" s="15"/>
      <c r="BV54" s="15"/>
      <c r="BW54" s="15"/>
      <c r="BX54" s="15"/>
      <c r="BY54" s="15"/>
      <c r="BZ54" s="15"/>
      <c r="CA54" s="15"/>
      <c r="CB54" s="15"/>
      <c r="CC54" s="15"/>
      <c r="CD54" s="15"/>
      <c r="CE54" s="15"/>
      <c r="CF54" s="15"/>
      <c r="CG54" s="15"/>
      <c r="CH54" s="15"/>
      <c r="CI54" s="15"/>
      <c r="CJ54" s="15"/>
      <c r="CK54" s="15"/>
      <c r="CL54" s="15"/>
      <c r="CM54" s="15"/>
      <c r="CN54" s="15"/>
      <c r="CO54" s="15"/>
      <c r="CP54" s="15"/>
      <c r="CQ54" s="15"/>
      <c r="CR54" s="15"/>
      <c r="CS54" s="15"/>
      <c r="CT54" s="15"/>
      <c r="CU54" s="15"/>
      <c r="CV54" s="15"/>
      <c r="CW54" s="15"/>
      <c r="CX54" s="15"/>
      <c r="CY54" s="15"/>
      <c r="CZ54" s="15"/>
      <c r="DA54" s="15"/>
      <c r="DB54" s="15"/>
      <c r="DC54" s="15"/>
    </row>
    <row r="55" spans="1:107" s="8" customFormat="1" ht="12.75" customHeight="1" x14ac:dyDescent="0.25">
      <c r="A55"/>
      <c r="B55" s="202" t="s">
        <v>553</v>
      </c>
      <c r="C55" s="203"/>
      <c r="D55" s="203"/>
      <c r="E55" s="204"/>
      <c r="F55" s="238" t="s">
        <v>523</v>
      </c>
      <c r="G55" s="238"/>
      <c r="H55" s="239"/>
      <c r="I55" s="180"/>
      <c r="J55" s="181" t="s">
        <v>220</v>
      </c>
      <c r="K55" s="182"/>
      <c r="L55" s="195">
        <v>791197</v>
      </c>
      <c r="M55" s="137">
        <v>793169</v>
      </c>
      <c r="N55" s="24">
        <v>793274</v>
      </c>
      <c r="P55"/>
      <c r="Q55"/>
      <c r="R55"/>
      <c r="S55" s="15"/>
      <c r="T55" s="15"/>
      <c r="U55" s="15"/>
      <c r="V55" s="15"/>
      <c r="W55" s="15"/>
      <c r="X55" s="15"/>
      <c r="Y55" s="15"/>
      <c r="Z55" s="15"/>
      <c r="AA55" s="15"/>
      <c r="AB55" s="15"/>
      <c r="AC55" s="15"/>
      <c r="AD55" s="15"/>
      <c r="AE55" s="15"/>
      <c r="AF55" s="15"/>
      <c r="AG55" s="15"/>
      <c r="AH55" s="15"/>
      <c r="AI55" s="15"/>
      <c r="AJ55" s="15"/>
      <c r="AK55" s="15"/>
      <c r="AL55" s="15"/>
      <c r="AM55" s="15"/>
      <c r="AN55" s="15"/>
      <c r="AO55" s="15"/>
      <c r="AP55" s="15"/>
      <c r="AQ55" s="15"/>
      <c r="AR55" s="15"/>
      <c r="AS55" s="15"/>
      <c r="AT55" s="15"/>
      <c r="AU55" s="15"/>
      <c r="AV55" s="15"/>
      <c r="AW55" s="15"/>
      <c r="AX55" s="15"/>
      <c r="AY55" s="15"/>
      <c r="AZ55" s="15"/>
      <c r="BA55" s="15"/>
      <c r="BB55" s="15"/>
      <c r="BC55" s="15"/>
      <c r="BD55" s="15"/>
      <c r="BE55" s="15"/>
      <c r="BF55" s="15"/>
      <c r="BG55" s="15"/>
      <c r="BH55" s="15"/>
      <c r="BI55" s="15"/>
      <c r="BJ55" s="15"/>
      <c r="BK55" s="15"/>
      <c r="BL55" s="15"/>
      <c r="BM55" s="15"/>
      <c r="BN55" s="15"/>
      <c r="BO55" s="15"/>
      <c r="BP55" s="15"/>
      <c r="BQ55" s="15"/>
      <c r="BR55" s="15"/>
      <c r="BS55" s="15"/>
      <c r="BT55" s="15"/>
      <c r="BU55" s="15"/>
      <c r="BV55" s="15"/>
      <c r="BW55" s="15"/>
      <c r="BX55" s="15"/>
      <c r="BY55" s="15"/>
      <c r="BZ55" s="15"/>
      <c r="CA55" s="15"/>
      <c r="CB55" s="15"/>
      <c r="CC55" s="15"/>
      <c r="CD55" s="15"/>
      <c r="CE55" s="15"/>
      <c r="CF55" s="15"/>
      <c r="CG55" s="15"/>
      <c r="CH55" s="15"/>
      <c r="CI55" s="15"/>
      <c r="CJ55" s="15"/>
      <c r="CK55" s="15"/>
      <c r="CL55" s="15"/>
      <c r="CM55" s="15"/>
      <c r="CN55" s="15"/>
      <c r="CO55" s="15"/>
      <c r="CP55" s="15"/>
      <c r="CQ55" s="15"/>
      <c r="CR55" s="15"/>
      <c r="CS55" s="15"/>
      <c r="CT55" s="15"/>
      <c r="CU55" s="15"/>
      <c r="CV55" s="15"/>
      <c r="CW55" s="15"/>
      <c r="CX55" s="15"/>
      <c r="CY55" s="15"/>
      <c r="CZ55" s="15"/>
      <c r="DA55" s="15"/>
      <c r="DB55" s="15"/>
      <c r="DC55" s="15"/>
    </row>
    <row r="56" spans="1:107" s="8" customFormat="1" ht="12.75" customHeight="1" x14ac:dyDescent="0.25">
      <c r="A56"/>
      <c r="B56" s="216" t="s">
        <v>88</v>
      </c>
      <c r="C56" s="217"/>
      <c r="D56" s="217"/>
      <c r="E56" s="227"/>
      <c r="F56" s="171"/>
      <c r="G56" s="172" t="s">
        <v>88</v>
      </c>
      <c r="H56" s="118"/>
      <c r="I56" s="202" t="s">
        <v>22</v>
      </c>
      <c r="J56" s="203"/>
      <c r="K56" s="204"/>
      <c r="L56" s="195">
        <v>82192</v>
      </c>
      <c r="M56" s="137">
        <v>82193</v>
      </c>
      <c r="N56" s="24">
        <v>86032</v>
      </c>
      <c r="P56"/>
      <c r="Q56"/>
      <c r="R56"/>
      <c r="S56" s="15"/>
      <c r="T56" s="15"/>
      <c r="U56" s="15"/>
      <c r="V56" s="15"/>
      <c r="W56" s="15"/>
      <c r="X56" s="15"/>
      <c r="Y56" s="15"/>
      <c r="Z56" s="15"/>
      <c r="AA56" s="15"/>
      <c r="AB56" s="15"/>
      <c r="AC56" s="15"/>
      <c r="AD56" s="15"/>
      <c r="AE56" s="15"/>
      <c r="AF56" s="15"/>
      <c r="AG56" s="15"/>
      <c r="AH56" s="15"/>
      <c r="AI56" s="15"/>
      <c r="AJ56" s="15"/>
      <c r="AK56" s="15"/>
      <c r="AL56" s="15"/>
      <c r="AM56" s="15"/>
      <c r="AN56" s="15"/>
      <c r="AO56" s="15"/>
      <c r="AP56" s="15"/>
      <c r="AQ56" s="15"/>
      <c r="AR56" s="15"/>
      <c r="AS56" s="15"/>
      <c r="AT56" s="15"/>
      <c r="AU56" s="15"/>
      <c r="AV56" s="15"/>
      <c r="AW56" s="15"/>
      <c r="AX56" s="15"/>
      <c r="AY56" s="15"/>
      <c r="AZ56" s="15"/>
      <c r="BA56" s="15"/>
      <c r="BB56" s="15"/>
      <c r="BC56" s="15"/>
      <c r="BD56" s="15"/>
      <c r="BE56" s="15"/>
      <c r="BF56" s="15"/>
      <c r="BG56" s="15"/>
      <c r="BH56" s="15"/>
      <c r="BI56" s="15"/>
      <c r="BJ56" s="15"/>
      <c r="BK56" s="15"/>
      <c r="BL56" s="15"/>
      <c r="BM56" s="15"/>
      <c r="BN56" s="15"/>
      <c r="BO56" s="15"/>
      <c r="BP56" s="15"/>
      <c r="BQ56" s="15"/>
      <c r="BR56" s="15"/>
      <c r="BS56" s="15"/>
      <c r="BT56" s="15"/>
      <c r="BU56" s="15"/>
      <c r="BV56" s="15"/>
      <c r="BW56" s="15"/>
      <c r="BX56" s="15"/>
      <c r="BY56" s="15"/>
      <c r="BZ56" s="15"/>
      <c r="CA56" s="15"/>
      <c r="CB56" s="15"/>
      <c r="CC56" s="15"/>
      <c r="CD56" s="15"/>
      <c r="CE56" s="15"/>
      <c r="CF56" s="15"/>
      <c r="CG56" s="15"/>
      <c r="CH56" s="15"/>
      <c r="CI56" s="15"/>
      <c r="CJ56" s="15"/>
      <c r="CK56" s="15"/>
      <c r="CL56" s="15"/>
      <c r="CM56" s="15"/>
      <c r="CN56" s="15"/>
      <c r="CO56" s="15"/>
      <c r="CP56" s="15"/>
      <c r="CQ56" s="15"/>
      <c r="CR56" s="15"/>
      <c r="CS56" s="15"/>
      <c r="CT56" s="15"/>
      <c r="CU56" s="15"/>
      <c r="CV56" s="15"/>
      <c r="CW56" s="15"/>
      <c r="CX56" s="15"/>
      <c r="CY56" s="15"/>
      <c r="CZ56" s="15"/>
      <c r="DA56" s="15"/>
      <c r="DB56" s="15"/>
      <c r="DC56" s="15"/>
    </row>
    <row r="57" spans="1:107" s="8" customFormat="1" ht="12.75" customHeight="1" x14ac:dyDescent="0.25">
      <c r="A57"/>
      <c r="B57" s="159"/>
      <c r="C57" s="166"/>
      <c r="D57" s="166"/>
      <c r="E57" s="166"/>
      <c r="F57" s="238" t="s">
        <v>773</v>
      </c>
      <c r="G57" s="238"/>
      <c r="H57" s="239"/>
      <c r="I57" s="323" t="s">
        <v>376</v>
      </c>
      <c r="J57" s="324"/>
      <c r="K57" s="325"/>
      <c r="L57" s="136">
        <v>981031</v>
      </c>
      <c r="M57" s="86">
        <v>983885</v>
      </c>
      <c r="N57" s="24"/>
      <c r="P57"/>
      <c r="Q57"/>
      <c r="R57"/>
      <c r="S57" s="15"/>
      <c r="T57" s="15"/>
      <c r="U57" s="15"/>
      <c r="V57" s="15"/>
      <c r="W57" s="15"/>
      <c r="X57" s="15"/>
      <c r="Y57" s="15"/>
      <c r="Z57" s="15"/>
      <c r="AA57" s="15"/>
      <c r="AB57" s="15"/>
      <c r="AC57" s="15"/>
      <c r="AD57" s="15"/>
      <c r="AE57" s="15"/>
      <c r="AF57" s="15"/>
      <c r="AG57" s="15"/>
      <c r="AH57" s="15"/>
      <c r="AI57" s="15"/>
      <c r="AJ57" s="15"/>
      <c r="AK57" s="15"/>
      <c r="AL57" s="15"/>
      <c r="AM57" s="15"/>
      <c r="AN57" s="15"/>
      <c r="AO57" s="15"/>
      <c r="AP57" s="15"/>
      <c r="AQ57" s="15"/>
      <c r="AR57" s="15"/>
      <c r="AS57" s="15"/>
      <c r="AT57" s="15"/>
      <c r="AU57" s="15"/>
      <c r="AV57" s="15"/>
      <c r="AW57" s="15"/>
      <c r="AX57" s="15"/>
      <c r="AY57" s="15"/>
      <c r="AZ57" s="15"/>
      <c r="BA57" s="15"/>
      <c r="BB57" s="15"/>
      <c r="BC57" s="15"/>
      <c r="BD57" s="15"/>
      <c r="BE57" s="15"/>
      <c r="BF57" s="15"/>
      <c r="BG57" s="15"/>
      <c r="BH57" s="15"/>
      <c r="BI57" s="15"/>
      <c r="BJ57" s="15"/>
      <c r="BK57" s="15"/>
      <c r="BL57" s="15"/>
      <c r="BM57" s="15"/>
      <c r="BN57" s="15"/>
      <c r="BO57" s="15"/>
      <c r="BP57" s="15"/>
      <c r="BQ57" s="15"/>
      <c r="BR57" s="15"/>
      <c r="BS57" s="15"/>
      <c r="BT57" s="15"/>
      <c r="BU57" s="15"/>
      <c r="BV57" s="15"/>
      <c r="BW57" s="15"/>
      <c r="BX57" s="15"/>
      <c r="BY57" s="15"/>
      <c r="BZ57" s="15"/>
      <c r="CA57" s="15"/>
      <c r="CB57" s="15"/>
      <c r="CC57" s="15"/>
      <c r="CD57" s="15"/>
      <c r="CE57" s="15"/>
      <c r="CF57" s="15"/>
      <c r="CG57" s="15"/>
      <c r="CH57" s="15"/>
      <c r="CI57" s="15"/>
      <c r="CJ57" s="15"/>
      <c r="CK57" s="15"/>
      <c r="CL57" s="15"/>
      <c r="CM57" s="15"/>
      <c r="CN57" s="15"/>
      <c r="CO57" s="15"/>
      <c r="CP57" s="15"/>
      <c r="CQ57" s="15"/>
      <c r="CR57" s="15"/>
      <c r="CS57" s="15"/>
      <c r="CT57" s="15"/>
      <c r="CU57" s="15"/>
      <c r="CV57" s="15"/>
      <c r="CW57" s="15"/>
      <c r="CX57" s="15"/>
      <c r="CY57" s="15"/>
      <c r="CZ57" s="15"/>
      <c r="DA57" s="15"/>
      <c r="DB57" s="15"/>
      <c r="DC57" s="15"/>
    </row>
    <row r="58" spans="1:107" s="8" customFormat="1" ht="12.75" customHeight="1" x14ac:dyDescent="0.25">
      <c r="A58"/>
      <c r="B58" s="159"/>
      <c r="C58" s="166"/>
      <c r="D58" s="166"/>
      <c r="E58" s="166"/>
      <c r="F58" s="172" t="s">
        <v>88</v>
      </c>
      <c r="G58" s="172" t="s">
        <v>215</v>
      </c>
      <c r="H58" s="118"/>
      <c r="I58" s="248" t="s">
        <v>586</v>
      </c>
      <c r="J58" s="238"/>
      <c r="K58" s="239"/>
      <c r="L58" s="202" t="s">
        <v>17</v>
      </c>
      <c r="M58" s="203"/>
      <c r="N58" s="204"/>
      <c r="P58"/>
      <c r="Q58"/>
      <c r="R58"/>
      <c r="S58" s="15"/>
      <c r="T58" s="15"/>
      <c r="U58" s="15"/>
      <c r="V58" s="15"/>
      <c r="W58" s="15"/>
      <c r="X58" s="15"/>
      <c r="Y58" s="15"/>
      <c r="Z58" s="15"/>
      <c r="AA58" s="15"/>
      <c r="AB58" s="15"/>
      <c r="AC58" s="15"/>
      <c r="AD58" s="15"/>
      <c r="AE58" s="15"/>
      <c r="AF58" s="15"/>
      <c r="AG58" s="15"/>
      <c r="AH58" s="15"/>
      <c r="AI58" s="15"/>
      <c r="AJ58" s="15"/>
      <c r="AK58" s="15"/>
      <c r="AL58" s="15"/>
      <c r="AM58" s="15"/>
      <c r="AN58" s="15"/>
      <c r="AO58" s="15"/>
      <c r="AP58" s="15"/>
      <c r="AQ58" s="15"/>
      <c r="AR58" s="15"/>
      <c r="AS58" s="15"/>
      <c r="AT58" s="15"/>
      <c r="AU58" s="15"/>
      <c r="AV58" s="15"/>
      <c r="AW58" s="15"/>
      <c r="AX58" s="15"/>
      <c r="AY58" s="15"/>
      <c r="AZ58" s="15"/>
      <c r="BA58" s="15"/>
      <c r="BB58" s="15"/>
      <c r="BC58" s="15"/>
      <c r="BD58" s="15"/>
      <c r="BE58" s="15"/>
      <c r="BF58" s="15"/>
      <c r="BG58" s="15"/>
      <c r="BH58" s="15"/>
      <c r="BI58" s="15"/>
      <c r="BJ58" s="15"/>
      <c r="BK58" s="15"/>
      <c r="BL58" s="15"/>
      <c r="BM58" s="15"/>
      <c r="BN58" s="15"/>
      <c r="BO58" s="15"/>
      <c r="BP58" s="15"/>
      <c r="BQ58" s="15"/>
      <c r="BR58" s="15"/>
      <c r="BS58" s="15"/>
      <c r="BT58" s="15"/>
      <c r="BU58" s="15"/>
      <c r="BV58" s="15"/>
      <c r="BW58" s="15"/>
      <c r="BX58" s="15"/>
      <c r="BY58" s="15"/>
      <c r="BZ58" s="15"/>
      <c r="CA58" s="15"/>
      <c r="CB58" s="15"/>
      <c r="CC58" s="15"/>
      <c r="CD58" s="15"/>
      <c r="CE58" s="15"/>
      <c r="CF58" s="15"/>
      <c r="CG58" s="15"/>
      <c r="CH58" s="15"/>
      <c r="CI58" s="15"/>
      <c r="CJ58" s="15"/>
      <c r="CK58" s="15"/>
      <c r="CL58" s="15"/>
      <c r="CM58" s="15"/>
      <c r="CN58" s="15"/>
      <c r="CO58" s="15"/>
      <c r="CP58" s="15"/>
      <c r="CQ58" s="15"/>
      <c r="CR58" s="15"/>
      <c r="CS58" s="15"/>
      <c r="CT58" s="15"/>
      <c r="CU58" s="15"/>
      <c r="CV58" s="15"/>
      <c r="CW58" s="15"/>
      <c r="CX58" s="15"/>
      <c r="CY58" s="15"/>
      <c r="CZ58" s="15"/>
      <c r="DA58" s="15"/>
      <c r="DB58" s="15"/>
      <c r="DC58" s="15"/>
    </row>
    <row r="59" spans="1:107" s="8" customFormat="1" ht="12.75" customHeight="1" x14ac:dyDescent="0.25">
      <c r="A59"/>
      <c r="B59" s="159"/>
      <c r="C59" s="166"/>
      <c r="D59" s="166"/>
      <c r="E59" s="166"/>
      <c r="F59" s="166"/>
      <c r="G59" s="166"/>
      <c r="H59" s="166"/>
      <c r="I59" s="216" t="s">
        <v>215</v>
      </c>
      <c r="J59" s="217"/>
      <c r="K59" s="227"/>
      <c r="L59" s="88"/>
      <c r="M59" s="137" t="s">
        <v>232</v>
      </c>
      <c r="N59" s="29"/>
      <c r="P59"/>
      <c r="Q59"/>
      <c r="R59"/>
      <c r="S59" s="15"/>
      <c r="T59" s="15"/>
      <c r="U59" s="15"/>
      <c r="V59" s="15"/>
      <c r="W59" s="15"/>
      <c r="X59" s="15"/>
      <c r="Y59" s="15"/>
      <c r="Z59" s="15"/>
      <c r="AA59" s="15"/>
      <c r="AB59" s="15"/>
      <c r="AC59" s="15"/>
      <c r="AD59" s="15"/>
      <c r="AE59" s="15"/>
      <c r="AF59" s="15"/>
      <c r="AG59" s="15"/>
      <c r="AH59" s="15"/>
      <c r="AI59" s="15"/>
      <c r="AJ59" s="15"/>
      <c r="AK59" s="15"/>
      <c r="AL59" s="15"/>
      <c r="AM59" s="15"/>
      <c r="AN59" s="15"/>
      <c r="AO59" s="15"/>
      <c r="AP59" s="15"/>
      <c r="AQ59" s="15"/>
      <c r="AR59" s="15"/>
      <c r="AS59" s="15"/>
      <c r="AT59" s="15"/>
      <c r="AU59" s="15"/>
      <c r="AV59" s="15"/>
      <c r="AW59" s="15"/>
      <c r="AX59" s="15"/>
      <c r="AY59" s="15"/>
      <c r="AZ59" s="15"/>
      <c r="BA59" s="15"/>
      <c r="BB59" s="15"/>
      <c r="BC59" s="15"/>
      <c r="BD59" s="15"/>
      <c r="BE59" s="15"/>
      <c r="BF59" s="15"/>
      <c r="BG59" s="15"/>
      <c r="BH59" s="15"/>
      <c r="BI59" s="15"/>
      <c r="BJ59" s="15"/>
      <c r="BK59" s="15"/>
      <c r="BL59" s="15"/>
      <c r="BM59" s="15"/>
      <c r="BN59" s="15"/>
      <c r="BO59" s="15"/>
      <c r="BP59" s="15"/>
      <c r="BQ59" s="15"/>
      <c r="BR59" s="15"/>
      <c r="BS59" s="15"/>
      <c r="BT59" s="15"/>
      <c r="BU59" s="15"/>
      <c r="BV59" s="15"/>
      <c r="BW59" s="15"/>
      <c r="BX59" s="15"/>
      <c r="BY59" s="15"/>
      <c r="BZ59" s="15"/>
      <c r="CA59" s="15"/>
      <c r="CB59" s="15"/>
      <c r="CC59" s="15"/>
      <c r="CD59" s="15"/>
      <c r="CE59" s="15"/>
      <c r="CF59" s="15"/>
      <c r="CG59" s="15"/>
      <c r="CH59" s="15"/>
      <c r="CI59" s="15"/>
      <c r="CJ59" s="15"/>
      <c r="CK59" s="15"/>
      <c r="CL59" s="15"/>
      <c r="CM59" s="15"/>
      <c r="CN59" s="15"/>
      <c r="CO59" s="15"/>
      <c r="CP59" s="15"/>
      <c r="CQ59" s="15"/>
      <c r="CR59" s="15"/>
      <c r="CS59" s="15"/>
      <c r="CT59" s="15"/>
      <c r="CU59" s="15"/>
      <c r="CV59" s="15"/>
      <c r="CW59" s="15"/>
      <c r="CX59" s="15"/>
      <c r="CY59" s="15"/>
      <c r="CZ59" s="15"/>
      <c r="DA59" s="15"/>
      <c r="DB59" s="15"/>
      <c r="DC59" s="15"/>
    </row>
    <row r="60" spans="1:107" s="8" customFormat="1" ht="12.75" customHeight="1" x14ac:dyDescent="0.25">
      <c r="A60"/>
      <c r="B60" s="159"/>
      <c r="C60" s="166"/>
      <c r="D60" s="166"/>
      <c r="E60" s="166"/>
      <c r="F60" s="166"/>
      <c r="G60" s="166"/>
      <c r="H60" s="166"/>
      <c r="I60" s="166"/>
      <c r="J60" s="166"/>
      <c r="K60" s="166"/>
      <c r="L60" s="166"/>
      <c r="M60" s="166"/>
      <c r="N60" s="116"/>
      <c r="P60"/>
      <c r="Q60"/>
      <c r="R60"/>
      <c r="S60" s="15"/>
      <c r="T60" s="15"/>
      <c r="U60" s="15"/>
      <c r="V60" s="15"/>
      <c r="W60" s="15"/>
      <c r="X60" s="15"/>
      <c r="Y60" s="15"/>
      <c r="Z60" s="15"/>
      <c r="AA60" s="15"/>
      <c r="AB60" s="15"/>
      <c r="AC60" s="15"/>
      <c r="AD60" s="15"/>
      <c r="AE60" s="15"/>
      <c r="AF60" s="15"/>
      <c r="AG60" s="15"/>
      <c r="AH60" s="15"/>
      <c r="AI60" s="15"/>
      <c r="AJ60" s="15"/>
      <c r="AK60" s="15"/>
      <c r="AL60" s="15"/>
      <c r="AM60" s="15"/>
      <c r="AN60" s="15"/>
      <c r="AO60" s="15"/>
      <c r="AP60" s="15"/>
      <c r="AQ60" s="15"/>
      <c r="AR60" s="15"/>
      <c r="AS60" s="15"/>
      <c r="AT60" s="15"/>
      <c r="AU60" s="15"/>
      <c r="AV60" s="15"/>
      <c r="AW60" s="15"/>
      <c r="AX60" s="15"/>
      <c r="AY60" s="15"/>
      <c r="AZ60" s="15"/>
      <c r="BA60" s="15"/>
      <c r="BB60" s="15"/>
      <c r="BC60" s="15"/>
      <c r="BD60" s="15"/>
      <c r="BE60" s="15"/>
      <c r="BF60" s="15"/>
      <c r="BG60" s="15"/>
      <c r="BH60" s="15"/>
      <c r="BI60" s="15"/>
      <c r="BJ60" s="15"/>
      <c r="BK60" s="15"/>
      <c r="BL60" s="15"/>
      <c r="BM60" s="15"/>
      <c r="BN60" s="15"/>
      <c r="BO60" s="15"/>
      <c r="BP60" s="15"/>
      <c r="BQ60" s="15"/>
      <c r="BR60" s="15"/>
      <c r="BS60" s="15"/>
      <c r="BT60" s="15"/>
      <c r="BU60" s="15"/>
      <c r="BV60" s="15"/>
      <c r="BW60" s="15"/>
      <c r="BX60" s="15"/>
      <c r="BY60" s="15"/>
      <c r="BZ60" s="15"/>
      <c r="CA60" s="15"/>
      <c r="CB60" s="15"/>
      <c r="CC60" s="15"/>
      <c r="CD60" s="15"/>
      <c r="CE60" s="15"/>
      <c r="CF60" s="15"/>
      <c r="CG60" s="15"/>
      <c r="CH60" s="15"/>
      <c r="CI60" s="15"/>
      <c r="CJ60" s="15"/>
      <c r="CK60" s="15"/>
      <c r="CL60" s="15"/>
      <c r="CM60" s="15"/>
      <c r="CN60" s="15"/>
      <c r="CO60" s="15"/>
      <c r="CP60" s="15"/>
      <c r="CQ60" s="15"/>
      <c r="CR60" s="15"/>
      <c r="CS60" s="15"/>
      <c r="CT60" s="15"/>
      <c r="CU60" s="15"/>
      <c r="CV60" s="15"/>
      <c r="CW60" s="15"/>
      <c r="CX60" s="15"/>
      <c r="CY60" s="15"/>
      <c r="CZ60" s="15"/>
      <c r="DA60" s="15"/>
      <c r="DB60" s="15"/>
      <c r="DC60" s="15"/>
    </row>
    <row r="61" spans="1:107" s="8" customFormat="1" ht="15" customHeight="1" x14ac:dyDescent="0.25">
      <c r="A61" s="155"/>
      <c r="B61" s="357" t="s">
        <v>200</v>
      </c>
      <c r="C61" s="358"/>
      <c r="D61" s="358"/>
      <c r="E61" s="358"/>
      <c r="F61" s="358"/>
      <c r="G61" s="358"/>
      <c r="H61" s="358"/>
      <c r="I61" s="358"/>
      <c r="J61" s="358"/>
      <c r="K61" s="358"/>
      <c r="L61" s="358"/>
      <c r="M61" s="358"/>
      <c r="N61" s="358"/>
      <c r="P61" s="128"/>
    </row>
    <row r="62" spans="1:107" s="8" customFormat="1" ht="12.75" customHeight="1" x14ac:dyDescent="0.25">
      <c r="A62"/>
      <c r="B62" s="355" t="s">
        <v>104</v>
      </c>
      <c r="C62" s="356"/>
      <c r="D62" s="149">
        <v>302</v>
      </c>
      <c r="E62" s="149">
        <v>308</v>
      </c>
      <c r="F62" s="149">
        <v>459</v>
      </c>
      <c r="G62" s="149">
        <v>465</v>
      </c>
      <c r="H62" s="149">
        <v>730</v>
      </c>
      <c r="I62" s="149">
        <v>911</v>
      </c>
      <c r="J62" s="149">
        <v>1085</v>
      </c>
      <c r="K62" s="149">
        <v>1443</v>
      </c>
      <c r="L62" s="149">
        <v>1673</v>
      </c>
      <c r="M62" s="149">
        <v>2047</v>
      </c>
      <c r="N62" s="150"/>
      <c r="P62" s="128"/>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row>
    <row r="63" spans="1:107" s="8" customFormat="1" ht="12.75" customHeight="1" x14ac:dyDescent="0.25">
      <c r="A63"/>
      <c r="B63" s="353" t="s">
        <v>103</v>
      </c>
      <c r="C63" s="354"/>
      <c r="D63" s="148">
        <v>303</v>
      </c>
      <c r="E63" s="148">
        <v>309</v>
      </c>
      <c r="F63" s="148">
        <v>460</v>
      </c>
      <c r="G63" s="148">
        <v>466</v>
      </c>
      <c r="H63" s="148">
        <v>731</v>
      </c>
      <c r="I63" s="148">
        <v>925</v>
      </c>
      <c r="J63" s="148">
        <v>1180</v>
      </c>
      <c r="K63" s="148">
        <v>1527</v>
      </c>
      <c r="L63" s="148">
        <v>1766</v>
      </c>
      <c r="M63" s="148">
        <v>2101</v>
      </c>
      <c r="N63" s="151"/>
      <c r="P63" s="128"/>
      <c r="Q63" s="15"/>
      <c r="R63" s="15"/>
      <c r="S63" s="15"/>
      <c r="T63" s="15"/>
      <c r="U63" s="15"/>
      <c r="V63" s="15"/>
      <c r="W63" s="15"/>
      <c r="X63" s="15"/>
      <c r="Y63" s="15"/>
      <c r="Z63" s="15"/>
      <c r="AA63" s="15"/>
      <c r="AB63" s="15"/>
      <c r="AC63" s="15"/>
      <c r="AD63" s="15"/>
      <c r="AE63" s="15"/>
      <c r="AF63" s="15"/>
      <c r="AG63" s="15"/>
      <c r="AH63" s="15"/>
      <c r="AI63" s="15"/>
      <c r="AJ63" s="15"/>
      <c r="AK63" s="15"/>
      <c r="AL63" s="15"/>
      <c r="AM63" s="15"/>
      <c r="AN63" s="15"/>
      <c r="AO63" s="15"/>
      <c r="AP63" s="15"/>
      <c r="AQ63" s="15"/>
      <c r="AR63" s="15"/>
      <c r="AS63" s="15"/>
      <c r="AT63" s="15"/>
      <c r="AU63" s="15"/>
      <c r="AV63" s="15"/>
      <c r="AW63" s="15"/>
      <c r="AX63" s="15"/>
      <c r="AY63" s="15"/>
      <c r="AZ63" s="15"/>
      <c r="BA63" s="15"/>
      <c r="BB63" s="15"/>
      <c r="BC63" s="15"/>
      <c r="BD63" s="15"/>
      <c r="BE63" s="15"/>
      <c r="BF63" s="15"/>
      <c r="BG63" s="15"/>
      <c r="BH63" s="15"/>
      <c r="BI63" s="15"/>
      <c r="BJ63" s="15"/>
      <c r="BK63" s="15"/>
      <c r="BL63" s="15"/>
      <c r="BM63" s="15"/>
      <c r="BN63" s="15"/>
      <c r="BO63" s="15"/>
      <c r="BP63" s="15"/>
      <c r="BQ63" s="15"/>
      <c r="BR63" s="15"/>
      <c r="BS63" s="15"/>
      <c r="BT63" s="15"/>
      <c r="BU63" s="15"/>
      <c r="BV63" s="15"/>
      <c r="BW63" s="15"/>
      <c r="BX63" s="15"/>
      <c r="BY63" s="15"/>
      <c r="BZ63" s="15"/>
      <c r="CA63" s="15"/>
      <c r="CB63" s="15"/>
      <c r="CC63" s="15"/>
      <c r="CD63" s="15"/>
      <c r="CE63" s="15"/>
      <c r="CF63" s="15"/>
      <c r="CG63" s="15"/>
      <c r="CH63" s="15"/>
      <c r="CI63" s="15"/>
      <c r="CJ63" s="15"/>
      <c r="CK63" s="15"/>
      <c r="CL63" s="15"/>
      <c r="CM63" s="15"/>
      <c r="CN63" s="15"/>
      <c r="CO63" s="15"/>
      <c r="CP63" s="15"/>
      <c r="CQ63" s="15"/>
      <c r="CR63" s="15"/>
      <c r="CS63" s="15"/>
      <c r="CT63" s="15"/>
      <c r="CU63" s="15"/>
      <c r="CV63" s="15"/>
      <c r="CW63" s="15"/>
      <c r="CX63" s="15"/>
      <c r="CY63" s="15"/>
      <c r="CZ63" s="15"/>
      <c r="DA63" s="15"/>
      <c r="DB63" s="15"/>
      <c r="DC63" s="15"/>
    </row>
    <row r="64" spans="1:107" s="8" customFormat="1" ht="12.75" customHeight="1" x14ac:dyDescent="0.25">
      <c r="A64"/>
      <c r="B64" s="351" t="s">
        <v>105</v>
      </c>
      <c r="C64" s="352"/>
      <c r="D64" s="148">
        <v>304</v>
      </c>
      <c r="E64" s="148">
        <v>310</v>
      </c>
      <c r="F64" s="148">
        <v>461</v>
      </c>
      <c r="G64" s="148">
        <v>467</v>
      </c>
      <c r="H64" s="148">
        <v>733</v>
      </c>
      <c r="I64" s="148">
        <v>950</v>
      </c>
      <c r="J64" s="148">
        <v>1224</v>
      </c>
      <c r="K64" s="148">
        <v>1528</v>
      </c>
      <c r="L64" s="148">
        <v>1769</v>
      </c>
      <c r="M64" s="148">
        <v>2122</v>
      </c>
      <c r="N64" s="151"/>
      <c r="P64" s="128"/>
      <c r="Q64" s="15"/>
      <c r="R64" s="15"/>
      <c r="S64" s="15"/>
      <c r="T64" s="15"/>
      <c r="U64" s="15"/>
      <c r="V64" s="15"/>
      <c r="W64" s="15"/>
      <c r="X64" s="15"/>
      <c r="Y64" s="15"/>
      <c r="Z64" s="15"/>
      <c r="AA64" s="15"/>
      <c r="AB64" s="15"/>
      <c r="AC64" s="15"/>
      <c r="AD64" s="15"/>
      <c r="AE64" s="15"/>
      <c r="AF64" s="15"/>
      <c r="AG64" s="15"/>
      <c r="AH64" s="15"/>
      <c r="AI64" s="15"/>
      <c r="AJ64" s="15"/>
      <c r="AK64" s="15"/>
      <c r="AL64" s="15"/>
      <c r="AM64" s="15"/>
      <c r="AN64" s="15"/>
      <c r="AO64" s="15"/>
      <c r="AP64" s="15"/>
      <c r="AQ64" s="15"/>
      <c r="AR64" s="15"/>
      <c r="AS64" s="15"/>
      <c r="AT64" s="15"/>
      <c r="AU64" s="15"/>
      <c r="AV64" s="15"/>
      <c r="AW64" s="15"/>
      <c r="AX64" s="15"/>
      <c r="AY64" s="15"/>
      <c r="AZ64" s="15"/>
      <c r="BA64" s="15"/>
      <c r="BB64" s="15"/>
      <c r="BC64" s="15"/>
      <c r="BD64" s="15"/>
      <c r="BE64" s="15"/>
      <c r="BF64" s="15"/>
      <c r="BG64" s="15"/>
      <c r="BH64" s="15"/>
      <c r="BI64" s="15"/>
      <c r="BJ64" s="15"/>
      <c r="BK64" s="15"/>
      <c r="BL64" s="15"/>
      <c r="BM64" s="15"/>
      <c r="BN64" s="15"/>
      <c r="BO64" s="15"/>
      <c r="BP64" s="15"/>
      <c r="BQ64" s="15"/>
      <c r="BR64" s="15"/>
      <c r="BS64" s="15"/>
      <c r="BT64" s="15"/>
      <c r="BU64" s="15"/>
      <c r="BV64" s="15"/>
      <c r="BW64" s="15"/>
      <c r="BX64" s="15"/>
      <c r="BY64" s="15"/>
      <c r="BZ64" s="15"/>
      <c r="CA64" s="15"/>
      <c r="CB64" s="15"/>
      <c r="CC64" s="15"/>
      <c r="CD64" s="15"/>
      <c r="CE64" s="15"/>
      <c r="CF64" s="15"/>
      <c r="CG64" s="15"/>
      <c r="CH64" s="15"/>
      <c r="CI64" s="15"/>
      <c r="CJ64" s="15"/>
      <c r="CK64" s="15"/>
      <c r="CL64" s="15"/>
      <c r="CM64" s="15"/>
      <c r="CN64" s="15"/>
      <c r="CO64" s="15"/>
      <c r="CP64" s="15"/>
      <c r="CQ64" s="15"/>
      <c r="CR64" s="15"/>
      <c r="CS64" s="15"/>
      <c r="CT64" s="15"/>
      <c r="CU64" s="15"/>
      <c r="CV64" s="15"/>
      <c r="CW64" s="15"/>
      <c r="CX64" s="15"/>
      <c r="CY64" s="15"/>
      <c r="CZ64" s="15"/>
      <c r="DA64" s="15"/>
      <c r="DB64" s="15"/>
      <c r="DC64" s="15"/>
    </row>
    <row r="65" spans="1:107" s="8" customFormat="1" ht="12.75" customHeight="1" x14ac:dyDescent="0.25">
      <c r="A65"/>
      <c r="B65" s="353">
        <v>280</v>
      </c>
      <c r="C65" s="354"/>
      <c r="D65" s="148">
        <v>305</v>
      </c>
      <c r="E65" s="148">
        <v>311</v>
      </c>
      <c r="F65" s="148">
        <v>462</v>
      </c>
      <c r="G65" s="148">
        <v>468</v>
      </c>
      <c r="H65" s="148">
        <v>908</v>
      </c>
      <c r="I65" s="148">
        <v>960</v>
      </c>
      <c r="J65" s="148">
        <v>1428</v>
      </c>
      <c r="K65" s="148">
        <v>1627</v>
      </c>
      <c r="L65" s="148">
        <v>1980</v>
      </c>
      <c r="M65" s="148"/>
      <c r="N65" s="151"/>
      <c r="P65" s="128"/>
      <c r="Q65" s="15"/>
      <c r="R65" s="15"/>
      <c r="S65" s="15"/>
      <c r="T65" s="15"/>
      <c r="U65" s="15"/>
      <c r="V65" s="15"/>
      <c r="W65" s="15"/>
      <c r="X65" s="15"/>
      <c r="Y65" s="15"/>
      <c r="Z65" s="15"/>
      <c r="AA65" s="15"/>
      <c r="AB65" s="15"/>
      <c r="AC65" s="15"/>
      <c r="AD65" s="15"/>
      <c r="AE65" s="15"/>
      <c r="AF65" s="15"/>
      <c r="AG65" s="15"/>
      <c r="AH65" s="15"/>
      <c r="AI65" s="15"/>
      <c r="AJ65" s="15"/>
      <c r="AK65" s="15"/>
      <c r="AL65" s="15"/>
      <c r="AM65" s="15"/>
      <c r="AN65" s="15"/>
      <c r="AO65" s="15"/>
      <c r="AP65" s="15"/>
      <c r="AQ65" s="15"/>
      <c r="AR65" s="15"/>
      <c r="AS65" s="15"/>
      <c r="AT65" s="15"/>
      <c r="AU65" s="15"/>
      <c r="AV65" s="15"/>
      <c r="AW65" s="15"/>
      <c r="AX65" s="15"/>
      <c r="AY65" s="15"/>
      <c r="AZ65" s="15"/>
      <c r="BA65" s="15"/>
      <c r="BB65" s="15"/>
      <c r="BC65" s="15"/>
      <c r="BD65" s="15"/>
      <c r="BE65" s="15"/>
      <c r="BF65" s="15"/>
      <c r="BG65" s="15"/>
      <c r="BH65" s="15"/>
      <c r="BI65" s="15"/>
      <c r="BJ65" s="15"/>
      <c r="BK65" s="15"/>
      <c r="BL65" s="15"/>
      <c r="BM65" s="15"/>
      <c r="BN65" s="15"/>
      <c r="BO65" s="15"/>
      <c r="BP65" s="15"/>
      <c r="BQ65" s="15"/>
      <c r="BR65" s="15"/>
      <c r="BS65" s="15"/>
      <c r="BT65" s="15"/>
      <c r="BU65" s="15"/>
      <c r="BV65" s="15"/>
      <c r="BW65" s="15"/>
      <c r="BX65" s="15"/>
      <c r="BY65" s="15"/>
      <c r="BZ65" s="15"/>
      <c r="CA65" s="15"/>
      <c r="CB65" s="15"/>
      <c r="CC65" s="15"/>
      <c r="CD65" s="15"/>
      <c r="CE65" s="15"/>
      <c r="CF65" s="15"/>
      <c r="CG65" s="15"/>
      <c r="CH65" s="15"/>
      <c r="CI65" s="15"/>
      <c r="CJ65" s="15"/>
      <c r="CK65" s="15"/>
      <c r="CL65" s="15"/>
      <c r="CM65" s="15"/>
      <c r="CN65" s="15"/>
      <c r="CO65" s="15"/>
      <c r="CP65" s="15"/>
      <c r="CQ65" s="15"/>
      <c r="CR65" s="15"/>
      <c r="CS65" s="15"/>
      <c r="CT65" s="15"/>
      <c r="CU65" s="15"/>
      <c r="CV65" s="15"/>
      <c r="CW65" s="15"/>
      <c r="CX65" s="15"/>
      <c r="CY65" s="15"/>
      <c r="CZ65" s="15"/>
      <c r="DA65" s="15"/>
      <c r="DB65" s="15"/>
      <c r="DC65" s="15"/>
    </row>
    <row r="66" spans="1:107" s="8" customFormat="1" ht="12.75" customHeight="1" x14ac:dyDescent="0.25">
      <c r="A66"/>
      <c r="B66" s="353">
        <v>287</v>
      </c>
      <c r="C66" s="354"/>
      <c r="D66" s="148">
        <v>306</v>
      </c>
      <c r="E66" s="148">
        <v>457</v>
      </c>
      <c r="F66" s="148">
        <v>463</v>
      </c>
      <c r="G66" s="148">
        <v>489</v>
      </c>
      <c r="H66" s="148">
        <v>909</v>
      </c>
      <c r="I66" s="148">
        <v>961</v>
      </c>
      <c r="J66" s="148">
        <v>1436</v>
      </c>
      <c r="K66" s="148">
        <v>1629</v>
      </c>
      <c r="L66" s="148">
        <v>1983</v>
      </c>
      <c r="M66" s="148"/>
      <c r="N66" s="151"/>
      <c r="P66" s="128"/>
      <c r="Q66" s="15"/>
      <c r="R66" s="15"/>
      <c r="S66" s="15"/>
      <c r="T66" s="15"/>
      <c r="U66" s="15"/>
      <c r="V66" s="15"/>
      <c r="W66" s="15"/>
      <c r="X66" s="15"/>
      <c r="Y66" s="15"/>
      <c r="Z66" s="15"/>
      <c r="AA66" s="15"/>
      <c r="AB66" s="15"/>
      <c r="AC66" s="15"/>
      <c r="AD66" s="15"/>
      <c r="AE66" s="15"/>
      <c r="AF66" s="15"/>
      <c r="AG66" s="15"/>
      <c r="AH66" s="15"/>
      <c r="AI66" s="15"/>
      <c r="AJ66" s="15"/>
      <c r="AK66" s="15"/>
      <c r="AL66" s="15"/>
      <c r="AM66" s="15"/>
      <c r="AN66" s="15"/>
      <c r="AO66" s="15"/>
      <c r="AP66" s="15"/>
      <c r="AQ66" s="15"/>
      <c r="AR66" s="15"/>
      <c r="AS66" s="15"/>
      <c r="AT66" s="15"/>
      <c r="AU66" s="15"/>
      <c r="AV66" s="15"/>
      <c r="AW66" s="15"/>
      <c r="AX66" s="15"/>
      <c r="AY66" s="15"/>
      <c r="AZ66" s="15"/>
      <c r="BA66" s="15"/>
      <c r="BB66" s="15"/>
      <c r="BC66" s="15"/>
      <c r="BD66" s="15"/>
      <c r="BE66" s="15"/>
      <c r="BF66" s="15"/>
      <c r="BG66" s="15"/>
      <c r="BH66" s="15"/>
      <c r="BI66" s="15"/>
      <c r="BJ66" s="15"/>
      <c r="BK66" s="15"/>
      <c r="BL66" s="15"/>
      <c r="BM66" s="15"/>
      <c r="BN66" s="15"/>
      <c r="BO66" s="15"/>
      <c r="BP66" s="15"/>
      <c r="BQ66" s="15"/>
      <c r="BR66" s="15"/>
      <c r="BS66" s="15"/>
      <c r="BT66" s="15"/>
      <c r="BU66" s="15"/>
      <c r="BV66" s="15"/>
      <c r="BW66" s="15"/>
      <c r="BX66" s="15"/>
      <c r="BY66" s="15"/>
      <c r="BZ66" s="15"/>
      <c r="CA66" s="15"/>
      <c r="CB66" s="15"/>
      <c r="CC66" s="15"/>
      <c r="CD66" s="15"/>
      <c r="CE66" s="15"/>
      <c r="CF66" s="15"/>
      <c r="CG66" s="15"/>
      <c r="CH66" s="15"/>
      <c r="CI66" s="15"/>
      <c r="CJ66" s="15"/>
      <c r="CK66" s="15"/>
      <c r="CL66" s="15"/>
      <c r="CM66" s="15"/>
      <c r="CN66" s="15"/>
      <c r="CO66" s="15"/>
      <c r="CP66" s="15"/>
      <c r="CQ66" s="15"/>
      <c r="CR66" s="15"/>
      <c r="CS66" s="15"/>
      <c r="CT66" s="15"/>
      <c r="CU66" s="15"/>
      <c r="CV66" s="15"/>
      <c r="CW66" s="15"/>
      <c r="CX66" s="15"/>
      <c r="CY66" s="15"/>
      <c r="CZ66" s="15"/>
      <c r="DA66" s="15"/>
      <c r="DB66" s="15"/>
      <c r="DC66" s="15"/>
    </row>
    <row r="67" spans="1:107" s="8" customFormat="1" ht="12.75" customHeight="1" x14ac:dyDescent="0.25">
      <c r="A67"/>
      <c r="B67" s="361">
        <v>301</v>
      </c>
      <c r="C67" s="362"/>
      <c r="D67" s="152">
        <v>307</v>
      </c>
      <c r="E67" s="152">
        <v>458</v>
      </c>
      <c r="F67" s="152">
        <v>464</v>
      </c>
      <c r="G67" s="152">
        <v>490</v>
      </c>
      <c r="H67" s="152">
        <v>910</v>
      </c>
      <c r="I67" s="152">
        <v>1084</v>
      </c>
      <c r="J67" s="152">
        <v>1442</v>
      </c>
      <c r="K67" s="152">
        <v>1669</v>
      </c>
      <c r="L67" s="152">
        <v>1984</v>
      </c>
      <c r="M67" s="152"/>
      <c r="N67" s="154">
        <f>COUNTA(B62:M67)+COUNTA(N62:N66)</f>
        <v>63</v>
      </c>
      <c r="P67" s="128"/>
      <c r="Q67" s="15"/>
      <c r="R67" s="15"/>
      <c r="S67" s="15"/>
      <c r="T67" s="15"/>
      <c r="U67" s="15"/>
      <c r="V67" s="15"/>
      <c r="W67" s="15"/>
      <c r="X67" s="15"/>
      <c r="Y67" s="15"/>
      <c r="Z67" s="15"/>
      <c r="AA67" s="15"/>
      <c r="AB67" s="15"/>
      <c r="AC67" s="15"/>
      <c r="AD67" s="15"/>
      <c r="AE67" s="15"/>
      <c r="AF67" s="15"/>
      <c r="AG67" s="15"/>
      <c r="AH67" s="15"/>
      <c r="AI67" s="15"/>
      <c r="AJ67" s="15"/>
      <c r="AK67" s="15"/>
      <c r="AL67" s="15"/>
      <c r="AM67" s="15"/>
      <c r="AN67" s="15"/>
      <c r="AO67" s="15"/>
      <c r="AP67" s="15"/>
      <c r="AQ67" s="15"/>
      <c r="AR67" s="15"/>
      <c r="AS67" s="15"/>
      <c r="AT67" s="15"/>
      <c r="AU67" s="15"/>
      <c r="AV67" s="15"/>
      <c r="AW67" s="15"/>
      <c r="AX67" s="15"/>
      <c r="AY67" s="15"/>
      <c r="AZ67" s="15"/>
      <c r="BA67" s="15"/>
      <c r="BB67" s="15"/>
      <c r="BC67" s="15"/>
      <c r="BD67" s="15"/>
      <c r="BE67" s="15"/>
      <c r="BF67" s="15"/>
      <c r="BG67" s="15"/>
      <c r="BH67" s="15"/>
      <c r="BI67" s="15"/>
      <c r="BJ67" s="15"/>
      <c r="BK67" s="15"/>
      <c r="BL67" s="15"/>
      <c r="BM67" s="15"/>
      <c r="BN67" s="15"/>
      <c r="BO67" s="15"/>
      <c r="BP67" s="15"/>
      <c r="BQ67" s="15"/>
      <c r="BR67" s="15"/>
      <c r="BS67" s="15"/>
      <c r="BT67" s="15"/>
      <c r="BU67" s="15"/>
      <c r="BV67" s="15"/>
      <c r="BW67" s="15"/>
      <c r="BX67" s="15"/>
      <c r="BY67" s="15"/>
      <c r="BZ67" s="15"/>
      <c r="CA67" s="15"/>
      <c r="CB67" s="15"/>
      <c r="CC67" s="15"/>
      <c r="CD67" s="15"/>
      <c r="CE67" s="15"/>
      <c r="CF67" s="15"/>
      <c r="CG67" s="15"/>
      <c r="CH67" s="15"/>
      <c r="CI67" s="15"/>
      <c r="CJ67" s="15"/>
      <c r="CK67" s="15"/>
      <c r="CL67" s="15"/>
      <c r="CM67" s="15"/>
      <c r="CN67" s="15"/>
      <c r="CO67" s="15"/>
      <c r="CP67" s="15"/>
      <c r="CQ67" s="15"/>
      <c r="CR67" s="15"/>
      <c r="CS67" s="15"/>
      <c r="CT67" s="15"/>
      <c r="CU67" s="15"/>
      <c r="CV67" s="15"/>
      <c r="CW67" s="15"/>
      <c r="CX67" s="15"/>
      <c r="CY67" s="15"/>
      <c r="CZ67" s="15"/>
      <c r="DA67" s="15"/>
      <c r="DB67" s="15"/>
      <c r="DC67" s="15"/>
    </row>
    <row r="68" spans="1:107" s="8" customFormat="1" ht="15" customHeight="1" x14ac:dyDescent="0.25">
      <c r="A68" s="155"/>
      <c r="B68" s="357" t="s">
        <v>26</v>
      </c>
      <c r="C68" s="358"/>
      <c r="D68" s="358"/>
      <c r="E68" s="358"/>
      <c r="F68" s="358"/>
      <c r="G68" s="358"/>
      <c r="H68" s="358"/>
      <c r="I68" s="358"/>
      <c r="J68" s="358"/>
      <c r="K68" s="358"/>
      <c r="L68" s="358"/>
      <c r="M68" s="358"/>
      <c r="N68" s="360"/>
      <c r="P68" s="128"/>
    </row>
    <row r="69" spans="1:107" s="9" customFormat="1" ht="12.75" customHeight="1" x14ac:dyDescent="0.25">
      <c r="A69"/>
      <c r="B69" s="216" t="s">
        <v>106</v>
      </c>
      <c r="C69" s="217"/>
      <c r="D69" s="111">
        <v>6950</v>
      </c>
      <c r="E69" s="172">
        <v>10141</v>
      </c>
      <c r="F69" s="172">
        <v>10986</v>
      </c>
      <c r="G69" s="172">
        <v>11789</v>
      </c>
      <c r="H69" s="172">
        <v>13120</v>
      </c>
      <c r="I69" s="111">
        <v>13992</v>
      </c>
      <c r="J69" s="172">
        <v>14747</v>
      </c>
      <c r="K69" s="172">
        <v>15605</v>
      </c>
      <c r="L69" s="172">
        <v>16626</v>
      </c>
      <c r="M69" s="172">
        <v>17706</v>
      </c>
      <c r="N69" s="174"/>
      <c r="P69" s="129"/>
      <c r="Q69" s="15"/>
      <c r="R69" s="15"/>
      <c r="S69" s="15"/>
      <c r="T69" s="15"/>
      <c r="U69" s="15"/>
      <c r="V69" s="15"/>
      <c r="W69" s="15"/>
      <c r="X69" s="15"/>
      <c r="Y69" s="15"/>
      <c r="Z69" s="15"/>
      <c r="AA69" s="15"/>
      <c r="AB69" s="15"/>
      <c r="AC69" s="15"/>
      <c r="AD69" s="15"/>
      <c r="AE69" s="15"/>
      <c r="AF69" s="15"/>
      <c r="AG69" s="15"/>
      <c r="AH69" s="15"/>
      <c r="AI69" s="15"/>
      <c r="AJ69" s="15"/>
      <c r="AK69" s="15"/>
      <c r="AL69" s="15"/>
      <c r="AM69" s="15"/>
      <c r="AN69" s="15"/>
      <c r="AO69" s="15"/>
      <c r="AP69" s="15"/>
      <c r="AQ69" s="15"/>
      <c r="AR69" s="15"/>
      <c r="AS69" s="15"/>
      <c r="AT69" s="15"/>
      <c r="AU69" s="15"/>
      <c r="AV69" s="15"/>
      <c r="AW69" s="15"/>
      <c r="AX69" s="15"/>
      <c r="AY69" s="15"/>
      <c r="AZ69" s="15"/>
      <c r="BA69" s="15"/>
      <c r="BB69" s="15"/>
      <c r="BC69" s="15"/>
      <c r="BD69" s="15"/>
      <c r="BE69" s="15"/>
      <c r="BF69" s="15"/>
      <c r="BG69" s="15"/>
      <c r="BH69" s="15"/>
      <c r="BI69" s="15"/>
      <c r="BJ69" s="15"/>
      <c r="BK69" s="15"/>
      <c r="BL69" s="15"/>
      <c r="BM69" s="15"/>
      <c r="BN69" s="15"/>
      <c r="BO69" s="15"/>
      <c r="BP69" s="15"/>
      <c r="BQ69" s="15"/>
      <c r="BR69" s="15"/>
      <c r="BS69" s="15"/>
      <c r="BT69" s="15"/>
      <c r="BU69" s="15"/>
      <c r="BV69" s="15"/>
      <c r="BW69" s="15"/>
      <c r="BX69" s="15"/>
      <c r="BY69" s="15"/>
      <c r="BZ69" s="15"/>
      <c r="CA69" s="15"/>
      <c r="CB69" s="15"/>
      <c r="CC69" s="15"/>
      <c r="CD69" s="15"/>
      <c r="CE69" s="15"/>
      <c r="CF69" s="15"/>
      <c r="CG69" s="15"/>
      <c r="CH69" s="15"/>
      <c r="CI69" s="15"/>
      <c r="CJ69" s="15"/>
      <c r="CK69" s="15"/>
      <c r="CL69" s="15"/>
      <c r="CM69" s="15"/>
      <c r="CN69" s="15"/>
      <c r="CO69" s="15"/>
      <c r="CP69" s="15"/>
      <c r="CQ69" s="15"/>
      <c r="CR69" s="15"/>
      <c r="CS69" s="15"/>
      <c r="CT69" s="15"/>
      <c r="CU69" s="15"/>
      <c r="CV69" s="15"/>
      <c r="CW69" s="15"/>
      <c r="CX69" s="15"/>
      <c r="CY69" s="15"/>
      <c r="CZ69" s="15"/>
      <c r="DA69" s="15"/>
      <c r="DB69" s="15"/>
      <c r="DC69" s="15"/>
    </row>
    <row r="70" spans="1:107" s="9" customFormat="1" ht="12.75" customHeight="1" x14ac:dyDescent="0.25">
      <c r="A70"/>
      <c r="B70" s="216">
        <v>479</v>
      </c>
      <c r="C70" s="217"/>
      <c r="D70" s="172">
        <v>7007</v>
      </c>
      <c r="E70" s="172">
        <v>10142</v>
      </c>
      <c r="F70" s="111">
        <v>10989</v>
      </c>
      <c r="G70" s="172">
        <v>11801</v>
      </c>
      <c r="H70" s="172">
        <v>13138</v>
      </c>
      <c r="I70" s="172">
        <v>14005</v>
      </c>
      <c r="J70" s="172">
        <v>14755</v>
      </c>
      <c r="K70" s="172">
        <v>15612</v>
      </c>
      <c r="L70" s="172">
        <v>16657</v>
      </c>
      <c r="M70" s="172">
        <v>17716</v>
      </c>
      <c r="N70" s="174"/>
      <c r="P70" s="129"/>
      <c r="Q70" s="15"/>
      <c r="R70" s="15"/>
      <c r="S70" s="15"/>
      <c r="T70" s="15"/>
      <c r="U70" s="15"/>
      <c r="V70" s="15"/>
      <c r="W70" s="15"/>
      <c r="X70" s="15"/>
      <c r="Y70" s="15"/>
      <c r="Z70" s="15"/>
      <c r="AA70" s="15"/>
      <c r="AB70" s="15"/>
      <c r="AC70" s="15"/>
      <c r="AD70" s="15"/>
      <c r="AE70" s="15"/>
      <c r="AF70" s="15"/>
      <c r="AG70" s="15"/>
      <c r="AH70" s="15"/>
      <c r="AI70" s="15"/>
      <c r="AJ70" s="15"/>
      <c r="AK70" s="15"/>
      <c r="AL70" s="15"/>
      <c r="AM70" s="15"/>
      <c r="AN70" s="15"/>
      <c r="AO70" s="15"/>
      <c r="AP70" s="15"/>
      <c r="AQ70" s="15"/>
      <c r="AR70" s="15"/>
      <c r="AS70" s="15"/>
      <c r="AT70" s="15"/>
      <c r="AU70" s="15"/>
      <c r="AV70" s="15"/>
      <c r="AW70" s="15"/>
      <c r="AX70" s="15"/>
      <c r="AY70" s="15"/>
      <c r="AZ70" s="15"/>
      <c r="BA70" s="15"/>
      <c r="BB70" s="15"/>
      <c r="BC70" s="15"/>
      <c r="BD70" s="15"/>
      <c r="BE70" s="15"/>
      <c r="BF70" s="15"/>
      <c r="BG70" s="15"/>
      <c r="BH70" s="15"/>
      <c r="BI70" s="15"/>
      <c r="BJ70" s="15"/>
      <c r="BK70" s="15"/>
      <c r="BL70" s="15"/>
      <c r="BM70" s="15"/>
      <c r="BN70" s="15"/>
      <c r="BO70" s="15"/>
      <c r="BP70" s="15"/>
      <c r="BQ70" s="15"/>
      <c r="BR70" s="15"/>
      <c r="BS70" s="15"/>
      <c r="BT70" s="15"/>
      <c r="BU70" s="15"/>
      <c r="BV70" s="15"/>
      <c r="BW70" s="15"/>
      <c r="BX70" s="15"/>
      <c r="BY70" s="15"/>
      <c r="BZ70" s="15"/>
      <c r="CA70" s="15"/>
      <c r="CB70" s="15"/>
      <c r="CC70" s="15"/>
      <c r="CD70" s="15"/>
      <c r="CE70" s="15"/>
      <c r="CF70" s="15"/>
      <c r="CG70" s="15"/>
      <c r="CH70" s="15"/>
      <c r="CI70" s="15"/>
      <c r="CJ70" s="15"/>
      <c r="CK70" s="15"/>
      <c r="CL70" s="15"/>
      <c r="CM70" s="15"/>
      <c r="CN70" s="15"/>
      <c r="CO70" s="15"/>
      <c r="CP70" s="15"/>
      <c r="CQ70" s="15"/>
      <c r="CR70" s="15"/>
      <c r="CS70" s="15"/>
      <c r="CT70" s="15"/>
      <c r="CU70" s="15"/>
      <c r="CV70" s="15"/>
      <c r="CW70" s="15"/>
      <c r="CX70" s="15"/>
      <c r="CY70" s="15"/>
      <c r="CZ70" s="15"/>
      <c r="DA70" s="15"/>
      <c r="DB70" s="15"/>
      <c r="DC70" s="15"/>
    </row>
    <row r="71" spans="1:107" s="9" customFormat="1" ht="12.75" customHeight="1" x14ac:dyDescent="0.25">
      <c r="A71"/>
      <c r="B71" s="216">
        <v>482</v>
      </c>
      <c r="C71" s="217"/>
      <c r="D71" s="172">
        <v>7022</v>
      </c>
      <c r="E71" s="168">
        <v>10149</v>
      </c>
      <c r="F71" s="172">
        <v>11006</v>
      </c>
      <c r="G71" s="172">
        <v>11809</v>
      </c>
      <c r="H71" s="172">
        <v>13185</v>
      </c>
      <c r="I71" s="172">
        <v>14012</v>
      </c>
      <c r="J71" s="172">
        <v>14761</v>
      </c>
      <c r="K71" s="172">
        <v>15629</v>
      </c>
      <c r="L71" s="172">
        <v>16660</v>
      </c>
      <c r="M71" s="172">
        <v>17721</v>
      </c>
      <c r="N71" s="174"/>
      <c r="P71" s="129"/>
      <c r="Q71" s="15"/>
      <c r="R71" s="15"/>
      <c r="S71" s="15"/>
      <c r="T71" s="15"/>
      <c r="U71" s="15"/>
      <c r="V71" s="15"/>
      <c r="W71" s="15"/>
      <c r="X71" s="15"/>
      <c r="Y71" s="15"/>
      <c r="Z71" s="15"/>
      <c r="AA71" s="15"/>
      <c r="AB71" s="15"/>
      <c r="AC71" s="15"/>
      <c r="AD71" s="15"/>
      <c r="AE71" s="15"/>
      <c r="AF71" s="15"/>
      <c r="AG71" s="15"/>
      <c r="AH71" s="15"/>
      <c r="AI71" s="15"/>
      <c r="AJ71" s="15"/>
      <c r="AK71" s="15"/>
      <c r="AL71" s="15"/>
      <c r="AM71" s="15"/>
      <c r="AN71" s="15"/>
      <c r="AO71" s="15"/>
      <c r="AP71" s="15"/>
      <c r="AQ71" s="15"/>
      <c r="AR71" s="15"/>
      <c r="AS71" s="15"/>
      <c r="AT71" s="15"/>
      <c r="AU71" s="15"/>
      <c r="AV71" s="15"/>
      <c r="AW71" s="15"/>
      <c r="AX71" s="15"/>
      <c r="AY71" s="15"/>
      <c r="AZ71" s="15"/>
      <c r="BA71" s="15"/>
      <c r="BB71" s="15"/>
      <c r="BC71" s="15"/>
      <c r="BD71" s="15"/>
      <c r="BE71" s="15"/>
      <c r="BF71" s="15"/>
      <c r="BG71" s="15"/>
      <c r="BH71" s="15"/>
      <c r="BI71" s="15"/>
      <c r="BJ71" s="15"/>
      <c r="BK71" s="15"/>
      <c r="BL71" s="15"/>
      <c r="BM71" s="15"/>
      <c r="BN71" s="15"/>
      <c r="BO71" s="15"/>
      <c r="BP71" s="15"/>
      <c r="BQ71" s="15"/>
      <c r="BR71" s="15"/>
      <c r="BS71" s="15"/>
      <c r="BT71" s="15"/>
      <c r="BU71" s="15"/>
      <c r="BV71" s="15"/>
      <c r="BW71" s="15"/>
      <c r="BX71" s="15"/>
      <c r="BY71" s="15"/>
      <c r="BZ71" s="15"/>
      <c r="CA71" s="15"/>
      <c r="CB71" s="15"/>
      <c r="CC71" s="15"/>
      <c r="CD71" s="15"/>
      <c r="CE71" s="15"/>
      <c r="CF71" s="15"/>
      <c r="CG71" s="15"/>
      <c r="CH71" s="15"/>
      <c r="CI71" s="15"/>
      <c r="CJ71" s="15"/>
      <c r="CK71" s="15"/>
      <c r="CL71" s="15"/>
      <c r="CM71" s="15"/>
      <c r="CN71" s="15"/>
      <c r="CO71" s="15"/>
      <c r="CP71" s="15"/>
      <c r="CQ71" s="15"/>
      <c r="CR71" s="15"/>
      <c r="CS71" s="15"/>
      <c r="CT71" s="15"/>
      <c r="CU71" s="15"/>
      <c r="CV71" s="15"/>
      <c r="CW71" s="15"/>
      <c r="CX71" s="15"/>
      <c r="CY71" s="15"/>
      <c r="CZ71" s="15"/>
      <c r="DA71" s="15"/>
      <c r="DB71" s="15"/>
      <c r="DC71" s="15"/>
    </row>
    <row r="72" spans="1:107" s="9" customFormat="1" ht="12.75" customHeight="1" x14ac:dyDescent="0.25">
      <c r="A72"/>
      <c r="B72" s="216">
        <v>773</v>
      </c>
      <c r="C72" s="217"/>
      <c r="D72" s="168">
        <v>7190</v>
      </c>
      <c r="E72" s="168">
        <v>10172</v>
      </c>
      <c r="F72" s="172">
        <v>11029</v>
      </c>
      <c r="G72" s="172">
        <v>11828</v>
      </c>
      <c r="H72" s="172">
        <v>13191</v>
      </c>
      <c r="I72" s="172">
        <v>14019</v>
      </c>
      <c r="J72" s="172">
        <v>14769</v>
      </c>
      <c r="K72" s="172">
        <v>15644</v>
      </c>
      <c r="L72" s="172">
        <v>16683</v>
      </c>
      <c r="M72" s="172">
        <v>17747</v>
      </c>
      <c r="N72" s="174"/>
      <c r="P72" s="129"/>
      <c r="Q72" s="15"/>
      <c r="R72" s="15"/>
      <c r="S72" s="15"/>
      <c r="T72" s="15"/>
      <c r="U72" s="15"/>
      <c r="V72" s="15"/>
      <c r="W72" s="15"/>
      <c r="X72" s="15"/>
      <c r="Y72" s="15"/>
      <c r="Z72" s="15"/>
      <c r="AA72" s="15"/>
      <c r="AB72" s="15"/>
      <c r="AC72" s="15"/>
      <c r="AD72" s="15"/>
      <c r="AE72" s="15"/>
      <c r="AF72" s="15"/>
      <c r="AG72" s="15"/>
      <c r="AH72" s="15"/>
      <c r="AI72" s="15"/>
      <c r="AJ72" s="15"/>
      <c r="AK72" s="15"/>
      <c r="AL72" s="15"/>
      <c r="AM72" s="15"/>
      <c r="AN72" s="15"/>
      <c r="AO72" s="15"/>
      <c r="AP72" s="15"/>
      <c r="AQ72" s="15"/>
      <c r="AR72" s="15"/>
      <c r="AS72" s="15"/>
      <c r="AT72" s="15"/>
      <c r="AU72" s="15"/>
      <c r="AV72" s="15"/>
      <c r="AW72" s="15"/>
      <c r="AX72" s="15"/>
      <c r="AY72" s="15"/>
      <c r="AZ72" s="15"/>
      <c r="BA72" s="15"/>
      <c r="BB72" s="15"/>
      <c r="BC72" s="15"/>
      <c r="BD72" s="15"/>
      <c r="BE72" s="15"/>
      <c r="BF72" s="15"/>
      <c r="BG72" s="15"/>
      <c r="BH72" s="15"/>
      <c r="BI72" s="15"/>
      <c r="BJ72" s="15"/>
      <c r="BK72" s="15"/>
      <c r="BL72" s="15"/>
      <c r="BM72" s="15"/>
      <c r="BN72" s="15"/>
      <c r="BO72" s="15"/>
      <c r="BP72" s="15"/>
      <c r="BQ72" s="15"/>
      <c r="BR72" s="15"/>
      <c r="BS72" s="15"/>
      <c r="BT72" s="15"/>
      <c r="BU72" s="15"/>
      <c r="BV72" s="15"/>
      <c r="BW72" s="15"/>
      <c r="BX72" s="15"/>
      <c r="BY72" s="15"/>
      <c r="BZ72" s="15"/>
      <c r="CA72" s="15"/>
      <c r="CB72" s="15"/>
      <c r="CC72" s="15"/>
      <c r="CD72" s="15"/>
      <c r="CE72" s="15"/>
      <c r="CF72" s="15"/>
      <c r="CG72" s="15"/>
      <c r="CH72" s="15"/>
      <c r="CI72" s="15"/>
      <c r="CJ72" s="15"/>
      <c r="CK72" s="15"/>
      <c r="CL72" s="15"/>
      <c r="CM72" s="15"/>
      <c r="CN72" s="15"/>
      <c r="CO72" s="15"/>
      <c r="CP72" s="15"/>
      <c r="CQ72" s="15"/>
      <c r="CR72" s="15"/>
      <c r="CS72" s="15"/>
      <c r="CT72" s="15"/>
      <c r="CU72" s="15"/>
      <c r="CV72" s="15"/>
      <c r="CW72" s="15"/>
      <c r="CX72" s="15"/>
      <c r="CY72" s="15"/>
      <c r="CZ72" s="15"/>
      <c r="DA72" s="15"/>
      <c r="DB72" s="15"/>
      <c r="DC72" s="15"/>
    </row>
    <row r="73" spans="1:107" s="9" customFormat="1" ht="12.75" customHeight="1" x14ac:dyDescent="0.25">
      <c r="A73"/>
      <c r="B73" s="216">
        <v>2200</v>
      </c>
      <c r="C73" s="217"/>
      <c r="D73" s="168">
        <v>7262</v>
      </c>
      <c r="E73" s="172">
        <v>10178</v>
      </c>
      <c r="F73" s="172">
        <v>11061</v>
      </c>
      <c r="G73" s="172">
        <v>11851</v>
      </c>
      <c r="H73" s="172">
        <v>13216</v>
      </c>
      <c r="I73" s="172">
        <v>14035</v>
      </c>
      <c r="J73" s="172">
        <v>14798</v>
      </c>
      <c r="K73" s="172">
        <v>15655</v>
      </c>
      <c r="L73" s="172">
        <v>16684</v>
      </c>
      <c r="M73" s="172">
        <v>17826</v>
      </c>
      <c r="N73" s="174"/>
      <c r="P73" s="129"/>
      <c r="Q73" s="15"/>
      <c r="R73" s="15"/>
      <c r="S73" s="15"/>
      <c r="T73" s="15"/>
      <c r="U73" s="15"/>
      <c r="V73" s="15"/>
      <c r="W73" s="15"/>
      <c r="X73" s="15"/>
      <c r="Y73" s="15"/>
      <c r="Z73" s="15"/>
      <c r="AA73" s="15"/>
      <c r="AB73" s="15"/>
      <c r="AC73" s="15"/>
      <c r="AD73" s="15"/>
      <c r="AE73" s="15"/>
      <c r="AF73" s="15"/>
      <c r="AG73" s="15"/>
      <c r="AH73" s="15"/>
      <c r="AI73" s="15"/>
      <c r="AJ73" s="15"/>
      <c r="AK73" s="15"/>
      <c r="AL73" s="15"/>
      <c r="AM73" s="15"/>
      <c r="AN73" s="15"/>
      <c r="AO73" s="15"/>
      <c r="AP73" s="15"/>
      <c r="AQ73" s="15"/>
      <c r="AR73" s="15"/>
      <c r="AS73" s="15"/>
      <c r="AT73" s="15"/>
      <c r="AU73" s="15"/>
      <c r="AV73" s="15"/>
      <c r="AW73" s="15"/>
      <c r="AX73" s="15"/>
      <c r="AY73" s="15"/>
      <c r="AZ73" s="15"/>
      <c r="BA73" s="15"/>
      <c r="BB73" s="15"/>
      <c r="BC73" s="15"/>
      <c r="BD73" s="15"/>
      <c r="BE73" s="15"/>
      <c r="BF73" s="15"/>
      <c r="BG73" s="15"/>
      <c r="BH73" s="15"/>
      <c r="BI73" s="15"/>
      <c r="BJ73" s="15"/>
      <c r="BK73" s="15"/>
      <c r="BL73" s="15"/>
      <c r="BM73" s="15"/>
      <c r="BN73" s="15"/>
      <c r="BO73" s="15"/>
      <c r="BP73" s="15"/>
      <c r="BQ73" s="15"/>
      <c r="BR73" s="15"/>
      <c r="BS73" s="15"/>
      <c r="BT73" s="15"/>
      <c r="BU73" s="15"/>
      <c r="BV73" s="15"/>
      <c r="BW73" s="15"/>
      <c r="BX73" s="15"/>
      <c r="BY73" s="15"/>
      <c r="BZ73" s="15"/>
      <c r="CA73" s="15"/>
      <c r="CB73" s="15"/>
      <c r="CC73" s="15"/>
      <c r="CD73" s="15"/>
      <c r="CE73" s="15"/>
      <c r="CF73" s="15"/>
      <c r="CG73" s="15"/>
      <c r="CH73" s="15"/>
      <c r="CI73" s="15"/>
      <c r="CJ73" s="15"/>
      <c r="CK73" s="15"/>
      <c r="CL73" s="15"/>
      <c r="CM73" s="15"/>
      <c r="CN73" s="15"/>
      <c r="CO73" s="15"/>
      <c r="CP73" s="15"/>
      <c r="CQ73" s="15"/>
      <c r="CR73" s="15"/>
      <c r="CS73" s="15"/>
      <c r="CT73" s="15"/>
      <c r="CU73" s="15"/>
      <c r="CV73" s="15"/>
      <c r="CW73" s="15"/>
      <c r="CX73" s="15"/>
      <c r="CY73" s="15"/>
      <c r="CZ73" s="15"/>
      <c r="DA73" s="15"/>
      <c r="DB73" s="15"/>
      <c r="DC73" s="15"/>
    </row>
    <row r="74" spans="1:107" s="9" customFormat="1" ht="12.75" customHeight="1" x14ac:dyDescent="0.25">
      <c r="A74"/>
      <c r="B74" s="216">
        <v>2402</v>
      </c>
      <c r="C74" s="217"/>
      <c r="D74" s="168">
        <v>7274</v>
      </c>
      <c r="E74" s="168">
        <v>10203</v>
      </c>
      <c r="F74" s="172">
        <v>11077</v>
      </c>
      <c r="G74" s="172">
        <v>11871</v>
      </c>
      <c r="H74" s="172">
        <v>13225</v>
      </c>
      <c r="I74" s="172">
        <v>14041</v>
      </c>
      <c r="J74" s="172">
        <v>14836</v>
      </c>
      <c r="K74" s="172">
        <v>15686</v>
      </c>
      <c r="L74" s="172">
        <v>16690</v>
      </c>
      <c r="M74" s="172">
        <v>17859</v>
      </c>
      <c r="N74" s="174"/>
      <c r="P74" s="129"/>
      <c r="Q74" s="15"/>
      <c r="R74" s="15"/>
      <c r="S74" s="15"/>
      <c r="T74" s="15"/>
      <c r="U74" s="15"/>
      <c r="V74" s="15"/>
      <c r="W74" s="15"/>
      <c r="X74" s="15"/>
      <c r="Y74" s="15"/>
      <c r="Z74" s="15"/>
      <c r="AA74" s="15"/>
      <c r="AB74" s="15"/>
      <c r="AC74" s="15"/>
      <c r="AD74" s="15"/>
      <c r="AE74" s="15"/>
      <c r="AF74" s="15"/>
      <c r="AG74" s="15"/>
      <c r="AH74" s="15"/>
      <c r="AI74" s="15"/>
      <c r="AJ74" s="15"/>
      <c r="AK74" s="15"/>
      <c r="AL74" s="15"/>
      <c r="AM74" s="15"/>
      <c r="AN74" s="15"/>
      <c r="AO74" s="15"/>
      <c r="AP74" s="15"/>
      <c r="AQ74" s="15"/>
      <c r="AR74" s="15"/>
      <c r="AS74" s="15"/>
      <c r="AT74" s="15"/>
      <c r="AU74" s="15"/>
      <c r="AV74" s="15"/>
      <c r="AW74" s="15"/>
      <c r="AX74" s="15"/>
      <c r="AY74" s="15"/>
      <c r="AZ74" s="15"/>
      <c r="BA74" s="15"/>
      <c r="BB74" s="15"/>
      <c r="BC74" s="15"/>
      <c r="BD74" s="15"/>
      <c r="BE74" s="15"/>
      <c r="BF74" s="15"/>
      <c r="BG74" s="15"/>
      <c r="BH74" s="15"/>
      <c r="BI74" s="15"/>
      <c r="BJ74" s="15"/>
      <c r="BK74" s="15"/>
      <c r="BL74" s="15"/>
      <c r="BM74" s="15"/>
      <c r="BN74" s="15"/>
      <c r="BO74" s="15"/>
      <c r="BP74" s="15"/>
      <c r="BQ74" s="15"/>
      <c r="BR74" s="15"/>
      <c r="BS74" s="15"/>
      <c r="BT74" s="15"/>
      <c r="BU74" s="15"/>
      <c r="BV74" s="15"/>
      <c r="BW74" s="15"/>
      <c r="BX74" s="15"/>
      <c r="BY74" s="15"/>
      <c r="BZ74" s="15"/>
      <c r="CA74" s="15"/>
      <c r="CB74" s="15"/>
      <c r="CC74" s="15"/>
      <c r="CD74" s="15"/>
      <c r="CE74" s="15"/>
      <c r="CF74" s="15"/>
      <c r="CG74" s="15"/>
      <c r="CH74" s="15"/>
      <c r="CI74" s="15"/>
      <c r="CJ74" s="15"/>
      <c r="CK74" s="15"/>
      <c r="CL74" s="15"/>
      <c r="CM74" s="15"/>
      <c r="CN74" s="15"/>
      <c r="CO74" s="15"/>
      <c r="CP74" s="15"/>
      <c r="CQ74" s="15"/>
      <c r="CR74" s="15"/>
      <c r="CS74" s="15"/>
      <c r="CT74" s="15"/>
      <c r="CU74" s="15"/>
      <c r="CV74" s="15"/>
      <c r="CW74" s="15"/>
      <c r="CX74" s="15"/>
      <c r="CY74" s="15"/>
      <c r="CZ74" s="15"/>
      <c r="DA74" s="15"/>
      <c r="DB74" s="15"/>
      <c r="DC74" s="15"/>
    </row>
    <row r="75" spans="1:107" s="9" customFormat="1" ht="12.75" customHeight="1" x14ac:dyDescent="0.25">
      <c r="A75"/>
      <c r="B75" s="216">
        <v>2420</v>
      </c>
      <c r="C75" s="217"/>
      <c r="D75" s="168">
        <v>7493</v>
      </c>
      <c r="E75" s="168">
        <v>10228</v>
      </c>
      <c r="F75" s="172">
        <v>11109</v>
      </c>
      <c r="G75" s="172">
        <v>11886</v>
      </c>
      <c r="H75" s="172">
        <v>13256</v>
      </c>
      <c r="I75" s="172">
        <v>14050</v>
      </c>
      <c r="J75" s="172">
        <v>14884</v>
      </c>
      <c r="K75" s="172">
        <v>15714</v>
      </c>
      <c r="L75" s="172">
        <v>16716</v>
      </c>
      <c r="M75" s="172">
        <v>17861</v>
      </c>
      <c r="N75" s="174"/>
      <c r="P75" s="129"/>
      <c r="Q75" s="15"/>
      <c r="R75" s="15"/>
      <c r="S75" s="15"/>
      <c r="T75" s="15"/>
      <c r="U75" s="15"/>
      <c r="V75" s="15"/>
      <c r="W75" s="15"/>
      <c r="X75" s="15"/>
      <c r="Y75" s="15"/>
      <c r="Z75" s="15"/>
      <c r="AA75" s="15"/>
      <c r="AB75" s="15"/>
      <c r="AC75" s="15"/>
      <c r="AD75" s="15"/>
      <c r="AE75" s="15"/>
      <c r="AF75" s="15"/>
      <c r="AG75" s="15"/>
      <c r="AH75" s="15"/>
      <c r="AI75" s="15"/>
      <c r="AJ75" s="15"/>
      <c r="AK75" s="15"/>
      <c r="AL75" s="15"/>
      <c r="AM75" s="15"/>
      <c r="AN75" s="15"/>
      <c r="AO75" s="15"/>
      <c r="AP75" s="15"/>
      <c r="AQ75" s="15"/>
      <c r="AR75" s="15"/>
      <c r="AS75" s="15"/>
      <c r="AT75" s="15"/>
      <c r="AU75" s="15"/>
      <c r="AV75" s="15"/>
      <c r="AW75" s="15"/>
      <c r="AX75" s="15"/>
      <c r="AY75" s="15"/>
      <c r="AZ75" s="15"/>
      <c r="BA75" s="15"/>
      <c r="BB75" s="15"/>
      <c r="BC75" s="15"/>
      <c r="BD75" s="15"/>
      <c r="BE75" s="15"/>
      <c r="BF75" s="15"/>
      <c r="BG75" s="15"/>
      <c r="BH75" s="15"/>
      <c r="BI75" s="15"/>
      <c r="BJ75" s="15"/>
      <c r="BK75" s="15"/>
      <c r="BL75" s="15"/>
      <c r="BM75" s="15"/>
      <c r="BN75" s="15"/>
      <c r="BO75" s="15"/>
      <c r="BP75" s="15"/>
      <c r="BQ75" s="15"/>
      <c r="BR75" s="15"/>
      <c r="BS75" s="15"/>
      <c r="BT75" s="15"/>
      <c r="BU75" s="15"/>
      <c r="BV75" s="15"/>
      <c r="BW75" s="15"/>
      <c r="BX75" s="15"/>
      <c r="BY75" s="15"/>
      <c r="BZ75" s="15"/>
      <c r="CA75" s="15"/>
      <c r="CB75" s="15"/>
      <c r="CC75" s="15"/>
      <c r="CD75" s="15"/>
      <c r="CE75" s="15"/>
      <c r="CF75" s="15"/>
      <c r="CG75" s="15"/>
      <c r="CH75" s="15"/>
      <c r="CI75" s="15"/>
      <c r="CJ75" s="15"/>
      <c r="CK75" s="15"/>
      <c r="CL75" s="15"/>
      <c r="CM75" s="15"/>
      <c r="CN75" s="15"/>
      <c r="CO75" s="15"/>
      <c r="CP75" s="15"/>
      <c r="CQ75" s="15"/>
      <c r="CR75" s="15"/>
      <c r="CS75" s="15"/>
      <c r="CT75" s="15"/>
      <c r="CU75" s="15"/>
      <c r="CV75" s="15"/>
      <c r="CW75" s="15"/>
      <c r="CX75" s="15"/>
      <c r="CY75" s="15"/>
      <c r="CZ75" s="15"/>
      <c r="DA75" s="15"/>
      <c r="DB75" s="15"/>
      <c r="DC75" s="15"/>
    </row>
    <row r="76" spans="1:107" s="9" customFormat="1" ht="12.75" customHeight="1" x14ac:dyDescent="0.25">
      <c r="A76"/>
      <c r="B76" s="216">
        <v>2425</v>
      </c>
      <c r="C76" s="217"/>
      <c r="D76" s="172">
        <v>7611</v>
      </c>
      <c r="E76" s="172">
        <v>10253</v>
      </c>
      <c r="F76" s="172">
        <v>11110</v>
      </c>
      <c r="G76" s="172">
        <v>11898</v>
      </c>
      <c r="H76" s="172">
        <v>13259</v>
      </c>
      <c r="I76" s="172">
        <v>14063</v>
      </c>
      <c r="J76" s="172">
        <v>14900</v>
      </c>
      <c r="K76" s="172">
        <v>15782</v>
      </c>
      <c r="L76" s="172">
        <v>16717</v>
      </c>
      <c r="M76" s="172">
        <v>17865</v>
      </c>
      <c r="N76" s="174"/>
      <c r="P76" s="129"/>
      <c r="Q76" s="15"/>
      <c r="R76" s="15"/>
      <c r="S76" s="15"/>
      <c r="T76" s="15"/>
      <c r="U76" s="15"/>
      <c r="V76" s="15"/>
      <c r="W76" s="15"/>
      <c r="X76" s="15"/>
      <c r="Y76" s="15"/>
      <c r="Z76" s="15"/>
      <c r="AA76" s="15"/>
      <c r="AB76" s="15"/>
      <c r="AC76" s="15"/>
      <c r="AD76" s="15"/>
      <c r="AE76" s="15"/>
      <c r="AF76" s="15"/>
      <c r="AG76" s="15"/>
      <c r="AH76" s="15"/>
      <c r="AI76" s="15"/>
      <c r="AJ76" s="15"/>
      <c r="AK76" s="15"/>
      <c r="AL76" s="15"/>
      <c r="AM76" s="15"/>
      <c r="AN76" s="15"/>
      <c r="AO76" s="15"/>
      <c r="AP76" s="15"/>
      <c r="AQ76" s="15"/>
      <c r="AR76" s="15"/>
      <c r="AS76" s="15"/>
      <c r="AT76" s="15"/>
      <c r="AU76" s="15"/>
      <c r="AV76" s="15"/>
      <c r="AW76" s="15"/>
      <c r="AX76" s="15"/>
      <c r="AY76" s="15"/>
      <c r="AZ76" s="15"/>
      <c r="BA76" s="15"/>
      <c r="BB76" s="15"/>
      <c r="BC76" s="15"/>
      <c r="BD76" s="15"/>
      <c r="BE76" s="15"/>
      <c r="BF76" s="15"/>
      <c r="BG76" s="15"/>
      <c r="BH76" s="15"/>
      <c r="BI76" s="15"/>
      <c r="BJ76" s="15"/>
      <c r="BK76" s="15"/>
      <c r="BL76" s="15"/>
      <c r="BM76" s="15"/>
      <c r="BN76" s="15"/>
      <c r="BO76" s="15"/>
      <c r="BP76" s="15"/>
      <c r="BQ76" s="15"/>
      <c r="BR76" s="15"/>
      <c r="BS76" s="15"/>
      <c r="BT76" s="15"/>
      <c r="BU76" s="15"/>
      <c r="BV76" s="15"/>
      <c r="BW76" s="15"/>
      <c r="BX76" s="15"/>
      <c r="BY76" s="15"/>
      <c r="BZ76" s="15"/>
      <c r="CA76" s="15"/>
      <c r="CB76" s="15"/>
      <c r="CC76" s="15"/>
      <c r="CD76" s="15"/>
      <c r="CE76" s="15"/>
      <c r="CF76" s="15"/>
      <c r="CG76" s="15"/>
      <c r="CH76" s="15"/>
      <c r="CI76" s="15"/>
      <c r="CJ76" s="15"/>
      <c r="CK76" s="15"/>
      <c r="CL76" s="15"/>
      <c r="CM76" s="15"/>
      <c r="CN76" s="15"/>
      <c r="CO76" s="15"/>
      <c r="CP76" s="15"/>
      <c r="CQ76" s="15"/>
      <c r="CR76" s="15"/>
      <c r="CS76" s="15"/>
      <c r="CT76" s="15"/>
      <c r="CU76" s="15"/>
      <c r="CV76" s="15"/>
      <c r="CW76" s="15"/>
      <c r="CX76" s="15"/>
      <c r="CY76" s="15"/>
      <c r="CZ76" s="15"/>
      <c r="DA76" s="15"/>
      <c r="DB76" s="15"/>
      <c r="DC76" s="15"/>
    </row>
    <row r="77" spans="1:107" s="9" customFormat="1" ht="12.75" customHeight="1" x14ac:dyDescent="0.25">
      <c r="A77"/>
      <c r="B77" s="216">
        <v>2700</v>
      </c>
      <c r="C77" s="217"/>
      <c r="D77" s="172">
        <v>7834</v>
      </c>
      <c r="E77" s="172">
        <v>10258</v>
      </c>
      <c r="F77" s="172">
        <v>11111</v>
      </c>
      <c r="G77" s="172">
        <v>11962</v>
      </c>
      <c r="H77" s="172">
        <v>13283</v>
      </c>
      <c r="I77" s="172">
        <v>14064</v>
      </c>
      <c r="J77" s="172">
        <v>14905</v>
      </c>
      <c r="K77" s="172">
        <v>15800</v>
      </c>
      <c r="L77" s="172">
        <v>16718</v>
      </c>
      <c r="M77" s="172">
        <v>17869</v>
      </c>
      <c r="N77" s="174"/>
      <c r="P77" s="129"/>
      <c r="Q77" s="15"/>
      <c r="R77" s="15"/>
      <c r="S77" s="15"/>
      <c r="T77" s="15"/>
      <c r="U77" s="15"/>
      <c r="V77" s="15"/>
      <c r="W77" s="15"/>
      <c r="X77" s="15"/>
      <c r="Y77" s="15"/>
      <c r="Z77" s="15"/>
      <c r="AA77" s="15"/>
      <c r="AB77" s="15"/>
      <c r="AC77" s="15"/>
      <c r="AD77" s="15"/>
      <c r="AE77" s="15"/>
      <c r="AF77" s="15"/>
      <c r="AG77" s="15"/>
      <c r="AH77" s="15"/>
      <c r="AI77" s="15"/>
      <c r="AJ77" s="15"/>
      <c r="AK77" s="15"/>
      <c r="AL77" s="15"/>
      <c r="AM77" s="15"/>
      <c r="AN77" s="15"/>
      <c r="AO77" s="15"/>
      <c r="AP77" s="15"/>
      <c r="AQ77" s="15"/>
      <c r="AR77" s="15"/>
      <c r="AS77" s="15"/>
      <c r="AT77" s="15"/>
      <c r="AU77" s="15"/>
      <c r="AV77" s="15"/>
      <c r="AW77" s="15"/>
      <c r="AX77" s="15"/>
      <c r="AY77" s="15"/>
      <c r="AZ77" s="15"/>
      <c r="BA77" s="15"/>
      <c r="BB77" s="15"/>
      <c r="BC77" s="15"/>
      <c r="BD77" s="15"/>
      <c r="BE77" s="15"/>
      <c r="BF77" s="15"/>
      <c r="BG77" s="15"/>
      <c r="BH77" s="15"/>
      <c r="BI77" s="15"/>
      <c r="BJ77" s="15"/>
      <c r="BK77" s="15"/>
      <c r="BL77" s="15"/>
      <c r="BM77" s="15"/>
      <c r="BN77" s="15"/>
      <c r="BO77" s="15"/>
      <c r="BP77" s="15"/>
      <c r="BQ77" s="15"/>
      <c r="BR77" s="15"/>
      <c r="BS77" s="15"/>
      <c r="BT77" s="15"/>
      <c r="BU77" s="15"/>
      <c r="BV77" s="15"/>
      <c r="BW77" s="15"/>
      <c r="BX77" s="15"/>
      <c r="BY77" s="15"/>
      <c r="BZ77" s="15"/>
      <c r="CA77" s="15"/>
      <c r="CB77" s="15"/>
      <c r="CC77" s="15"/>
      <c r="CD77" s="15"/>
      <c r="CE77" s="15"/>
      <c r="CF77" s="15"/>
      <c r="CG77" s="15"/>
      <c r="CH77" s="15"/>
      <c r="CI77" s="15"/>
      <c r="CJ77" s="15"/>
      <c r="CK77" s="15"/>
      <c r="CL77" s="15"/>
      <c r="CM77" s="15"/>
      <c r="CN77" s="15"/>
      <c r="CO77" s="15"/>
      <c r="CP77" s="15"/>
      <c r="CQ77" s="15"/>
      <c r="CR77" s="15"/>
      <c r="CS77" s="15"/>
      <c r="CT77" s="15"/>
      <c r="CU77" s="15"/>
      <c r="CV77" s="15"/>
      <c r="CW77" s="15"/>
      <c r="CX77" s="15"/>
      <c r="CY77" s="15"/>
      <c r="CZ77" s="15"/>
      <c r="DA77" s="15"/>
      <c r="DB77" s="15"/>
      <c r="DC77" s="15"/>
    </row>
    <row r="78" spans="1:107" s="9" customFormat="1" ht="12.75" customHeight="1" x14ac:dyDescent="0.25">
      <c r="A78"/>
      <c r="B78" s="216">
        <v>2727</v>
      </c>
      <c r="C78" s="217"/>
      <c r="D78" s="172">
        <v>7931</v>
      </c>
      <c r="E78" s="172">
        <v>10263</v>
      </c>
      <c r="F78" s="172">
        <v>11127</v>
      </c>
      <c r="G78" s="172">
        <v>11966</v>
      </c>
      <c r="H78" s="172">
        <v>13306</v>
      </c>
      <c r="I78" s="172">
        <v>14071</v>
      </c>
      <c r="J78" s="172">
        <v>14908</v>
      </c>
      <c r="K78" s="172">
        <v>15806</v>
      </c>
      <c r="L78" s="172">
        <v>16720</v>
      </c>
      <c r="M78" s="172"/>
      <c r="N78" s="174"/>
      <c r="P78" s="129"/>
      <c r="Q78" s="15"/>
      <c r="R78" s="15"/>
      <c r="S78" s="15"/>
      <c r="T78" s="15"/>
      <c r="U78" s="15"/>
      <c r="V78" s="15"/>
      <c r="W78" s="15"/>
      <c r="X78" s="15"/>
      <c r="Y78" s="15"/>
      <c r="Z78" s="15"/>
      <c r="AA78" s="15"/>
      <c r="AB78" s="15"/>
      <c r="AC78" s="15"/>
      <c r="AD78" s="15"/>
      <c r="AE78" s="15"/>
      <c r="AF78" s="15"/>
      <c r="AG78" s="15"/>
      <c r="AH78" s="15"/>
      <c r="AI78" s="15"/>
      <c r="AJ78" s="15"/>
      <c r="AK78" s="15"/>
      <c r="AL78" s="15"/>
      <c r="AM78" s="15"/>
      <c r="AN78" s="15"/>
      <c r="AO78" s="15"/>
      <c r="AP78" s="15"/>
      <c r="AQ78" s="15"/>
      <c r="AR78" s="15"/>
      <c r="AS78" s="15"/>
      <c r="AT78" s="15"/>
      <c r="AU78" s="15"/>
      <c r="AV78" s="15"/>
      <c r="AW78" s="15"/>
      <c r="AX78" s="15"/>
      <c r="AY78" s="15"/>
      <c r="AZ78" s="15"/>
      <c r="BA78" s="15"/>
      <c r="BB78" s="15"/>
      <c r="BC78" s="15"/>
      <c r="BD78" s="15"/>
      <c r="BE78" s="15"/>
      <c r="BF78" s="15"/>
      <c r="BG78" s="15"/>
      <c r="BH78" s="15"/>
      <c r="BI78" s="15"/>
      <c r="BJ78" s="15"/>
      <c r="BK78" s="15"/>
      <c r="BL78" s="15"/>
      <c r="BM78" s="15"/>
      <c r="BN78" s="15"/>
      <c r="BO78" s="15"/>
      <c r="BP78" s="15"/>
      <c r="BQ78" s="15"/>
      <c r="BR78" s="15"/>
      <c r="BS78" s="15"/>
      <c r="BT78" s="15"/>
      <c r="BU78" s="15"/>
      <c r="BV78" s="15"/>
      <c r="BW78" s="15"/>
      <c r="BX78" s="15"/>
      <c r="BY78" s="15"/>
      <c r="BZ78" s="15"/>
      <c r="CA78" s="15"/>
      <c r="CB78" s="15"/>
      <c r="CC78" s="15"/>
      <c r="CD78" s="15"/>
      <c r="CE78" s="15"/>
      <c r="CF78" s="15"/>
      <c r="CG78" s="15"/>
      <c r="CH78" s="15"/>
      <c r="CI78" s="15"/>
      <c r="CJ78" s="15"/>
      <c r="CK78" s="15"/>
      <c r="CL78" s="15"/>
      <c r="CM78" s="15"/>
      <c r="CN78" s="15"/>
      <c r="CO78" s="15"/>
      <c r="CP78" s="15"/>
      <c r="CQ78" s="15"/>
      <c r="CR78" s="15"/>
      <c r="CS78" s="15"/>
      <c r="CT78" s="15"/>
      <c r="CU78" s="15"/>
      <c r="CV78" s="15"/>
      <c r="CW78" s="15"/>
      <c r="CX78" s="15"/>
      <c r="CY78" s="15"/>
      <c r="CZ78" s="15"/>
      <c r="DA78" s="15"/>
      <c r="DB78" s="15"/>
      <c r="DC78" s="15"/>
    </row>
    <row r="79" spans="1:107" s="9" customFormat="1" ht="12.75" customHeight="1" x14ac:dyDescent="0.25">
      <c r="A79"/>
      <c r="B79" s="216">
        <v>2977</v>
      </c>
      <c r="C79" s="217"/>
      <c r="D79" s="172">
        <v>7948</v>
      </c>
      <c r="E79" s="168">
        <v>10272</v>
      </c>
      <c r="F79" s="172">
        <v>11159</v>
      </c>
      <c r="G79" s="111">
        <v>11968</v>
      </c>
      <c r="H79" s="172">
        <v>13346</v>
      </c>
      <c r="I79" s="172">
        <v>14088</v>
      </c>
      <c r="J79" s="172">
        <v>14969</v>
      </c>
      <c r="K79" s="172">
        <v>15807</v>
      </c>
      <c r="L79" s="172">
        <v>16727</v>
      </c>
      <c r="M79" s="172"/>
      <c r="N79" s="174"/>
      <c r="P79" s="129"/>
      <c r="Q79" s="15"/>
      <c r="R79" s="15"/>
      <c r="S79" s="15"/>
      <c r="T79" s="15"/>
      <c r="U79" s="15"/>
      <c r="V79" s="15"/>
      <c r="W79" s="15"/>
      <c r="X79" s="15"/>
      <c r="Y79" s="15"/>
      <c r="Z79" s="15"/>
      <c r="AA79" s="15"/>
      <c r="AB79" s="15"/>
      <c r="AC79" s="15"/>
      <c r="AD79" s="15"/>
      <c r="AE79" s="15"/>
      <c r="AF79" s="15"/>
      <c r="AG79" s="15"/>
      <c r="AH79" s="15"/>
      <c r="AI79" s="15"/>
      <c r="AJ79" s="15"/>
      <c r="AK79" s="15"/>
      <c r="AL79" s="15"/>
      <c r="AM79" s="15"/>
      <c r="AN79" s="15"/>
      <c r="AO79" s="15"/>
      <c r="AP79" s="15"/>
      <c r="AQ79" s="15"/>
      <c r="AR79" s="15"/>
      <c r="AS79" s="15"/>
      <c r="AT79" s="15"/>
      <c r="AU79" s="15"/>
      <c r="AV79" s="15"/>
      <c r="AW79" s="15"/>
      <c r="AX79" s="15"/>
      <c r="AY79" s="15"/>
      <c r="AZ79" s="15"/>
      <c r="BA79" s="15"/>
      <c r="BB79" s="15"/>
      <c r="BC79" s="15"/>
      <c r="BD79" s="15"/>
      <c r="BE79" s="15"/>
      <c r="BF79" s="15"/>
      <c r="BG79" s="15"/>
      <c r="BH79" s="15"/>
      <c r="BI79" s="15"/>
      <c r="BJ79" s="15"/>
      <c r="BK79" s="15"/>
      <c r="BL79" s="15"/>
      <c r="BM79" s="15"/>
      <c r="BN79" s="15"/>
      <c r="BO79" s="15"/>
      <c r="BP79" s="15"/>
      <c r="BQ79" s="15"/>
      <c r="BR79" s="15"/>
      <c r="BS79" s="15"/>
      <c r="BT79" s="15"/>
      <c r="BU79" s="15"/>
      <c r="BV79" s="15"/>
      <c r="BW79" s="15"/>
      <c r="BX79" s="15"/>
      <c r="BY79" s="15"/>
      <c r="BZ79" s="15"/>
      <c r="CA79" s="15"/>
      <c r="CB79" s="15"/>
      <c r="CC79" s="15"/>
      <c r="CD79" s="15"/>
      <c r="CE79" s="15"/>
      <c r="CF79" s="15"/>
      <c r="CG79" s="15"/>
      <c r="CH79" s="15"/>
      <c r="CI79" s="15"/>
      <c r="CJ79" s="15"/>
      <c r="CK79" s="15"/>
      <c r="CL79" s="15"/>
      <c r="CM79" s="15"/>
      <c r="CN79" s="15"/>
      <c r="CO79" s="15"/>
      <c r="CP79" s="15"/>
      <c r="CQ79" s="15"/>
      <c r="CR79" s="15"/>
      <c r="CS79" s="15"/>
      <c r="CT79" s="15"/>
      <c r="CU79" s="15"/>
      <c r="CV79" s="15"/>
      <c r="CW79" s="15"/>
      <c r="CX79" s="15"/>
      <c r="CY79" s="15"/>
      <c r="CZ79" s="15"/>
      <c r="DA79" s="15"/>
      <c r="DB79" s="15"/>
      <c r="DC79" s="15"/>
    </row>
    <row r="80" spans="1:107" s="9" customFormat="1" ht="12.75" customHeight="1" x14ac:dyDescent="0.25">
      <c r="A80"/>
      <c r="B80" s="205">
        <v>2995</v>
      </c>
      <c r="C80" s="206"/>
      <c r="D80" s="168">
        <v>7959</v>
      </c>
      <c r="E80" s="168">
        <v>10291</v>
      </c>
      <c r="F80" s="172">
        <v>11182</v>
      </c>
      <c r="G80" s="172">
        <v>12008</v>
      </c>
      <c r="H80" s="172">
        <v>13390</v>
      </c>
      <c r="I80" s="172">
        <v>14134</v>
      </c>
      <c r="J80" s="172">
        <v>14977</v>
      </c>
      <c r="K80" s="172">
        <v>15859</v>
      </c>
      <c r="L80" s="172">
        <v>16760</v>
      </c>
      <c r="M80" s="172"/>
      <c r="N80" s="174"/>
      <c r="P80" s="129"/>
      <c r="Q80" s="15"/>
      <c r="R80" s="15"/>
      <c r="S80" s="15"/>
      <c r="T80" s="15"/>
      <c r="U80" s="15"/>
      <c r="V80" s="15"/>
      <c r="W80" s="15"/>
      <c r="X80" s="15"/>
      <c r="Y80" s="15"/>
      <c r="Z80" s="15"/>
      <c r="AA80" s="15"/>
      <c r="AB80" s="15"/>
      <c r="AC80" s="15"/>
      <c r="AD80" s="15"/>
      <c r="AE80" s="15"/>
      <c r="AF80" s="15"/>
      <c r="AG80" s="15"/>
      <c r="AH80" s="15"/>
      <c r="AI80" s="15"/>
      <c r="AJ80" s="15"/>
      <c r="AK80" s="15"/>
      <c r="AL80" s="15"/>
      <c r="AM80" s="15"/>
      <c r="AN80" s="15"/>
      <c r="AO80" s="15"/>
      <c r="AP80" s="15"/>
      <c r="AQ80" s="15"/>
      <c r="AR80" s="15"/>
      <c r="AS80" s="15"/>
      <c r="AT80" s="15"/>
      <c r="AU80" s="15"/>
      <c r="AV80" s="15"/>
      <c r="AW80" s="15"/>
      <c r="AX80" s="15"/>
      <c r="AY80" s="15"/>
      <c r="AZ80" s="15"/>
      <c r="BA80" s="15"/>
      <c r="BB80" s="15"/>
      <c r="BC80" s="15"/>
      <c r="BD80" s="15"/>
      <c r="BE80" s="15"/>
      <c r="BF80" s="15"/>
      <c r="BG80" s="15"/>
      <c r="BH80" s="15"/>
      <c r="BI80" s="15"/>
      <c r="BJ80" s="15"/>
      <c r="BK80" s="15"/>
      <c r="BL80" s="15"/>
      <c r="BM80" s="15"/>
      <c r="BN80" s="15"/>
      <c r="BO80" s="15"/>
      <c r="BP80" s="15"/>
      <c r="BQ80" s="15"/>
      <c r="BR80" s="15"/>
      <c r="BS80" s="15"/>
      <c r="BT80" s="15"/>
      <c r="BU80" s="15"/>
      <c r="BV80" s="15"/>
      <c r="BW80" s="15"/>
      <c r="BX80" s="15"/>
      <c r="BY80" s="15"/>
      <c r="BZ80" s="15"/>
      <c r="CA80" s="15"/>
      <c r="CB80" s="15"/>
      <c r="CC80" s="15"/>
      <c r="CD80" s="15"/>
      <c r="CE80" s="15"/>
      <c r="CF80" s="15"/>
      <c r="CG80" s="15"/>
      <c r="CH80" s="15"/>
      <c r="CI80" s="15"/>
      <c r="CJ80" s="15"/>
      <c r="CK80" s="15"/>
      <c r="CL80" s="15"/>
      <c r="CM80" s="15"/>
      <c r="CN80" s="15"/>
      <c r="CO80" s="15"/>
      <c r="CP80" s="15"/>
      <c r="CQ80" s="15"/>
      <c r="CR80" s="15"/>
      <c r="CS80" s="15"/>
      <c r="CT80" s="15"/>
      <c r="CU80" s="15"/>
      <c r="CV80" s="15"/>
      <c r="CW80" s="15"/>
      <c r="CX80" s="15"/>
      <c r="CY80" s="15"/>
      <c r="CZ80" s="15"/>
      <c r="DA80" s="15"/>
      <c r="DB80" s="15"/>
      <c r="DC80" s="15"/>
    </row>
    <row r="81" spans="1:107" s="9" customFormat="1" ht="12.75" customHeight="1" x14ac:dyDescent="0.25">
      <c r="A81"/>
      <c r="B81" s="205">
        <v>2996</v>
      </c>
      <c r="C81" s="206"/>
      <c r="D81" s="111">
        <v>7986</v>
      </c>
      <c r="E81" s="172">
        <v>10309</v>
      </c>
      <c r="F81" s="172">
        <v>11185</v>
      </c>
      <c r="G81" s="172">
        <v>12216</v>
      </c>
      <c r="H81" s="172">
        <v>13408</v>
      </c>
      <c r="I81" s="172">
        <v>14137</v>
      </c>
      <c r="J81" s="111">
        <v>14992</v>
      </c>
      <c r="K81" s="172">
        <v>15945</v>
      </c>
      <c r="L81" s="172">
        <v>16761</v>
      </c>
      <c r="M81" s="172"/>
      <c r="N81" s="174"/>
      <c r="P81" s="129"/>
      <c r="Q81" s="15"/>
      <c r="R81" s="15"/>
      <c r="S81" s="15"/>
      <c r="T81" s="15"/>
      <c r="U81" s="15"/>
      <c r="V81" s="15"/>
      <c r="W81" s="15"/>
      <c r="X81" s="15"/>
      <c r="Y81" s="15"/>
      <c r="Z81" s="15"/>
      <c r="AA81" s="15"/>
      <c r="AB81" s="15"/>
      <c r="AC81" s="15"/>
      <c r="AD81" s="15"/>
      <c r="AE81" s="15"/>
      <c r="AF81" s="15"/>
      <c r="AG81" s="15"/>
      <c r="AH81" s="15"/>
      <c r="AI81" s="15"/>
      <c r="AJ81" s="15"/>
      <c r="AK81" s="15"/>
      <c r="AL81" s="15"/>
      <c r="AM81" s="15"/>
      <c r="AN81" s="15"/>
      <c r="AO81" s="15"/>
      <c r="AP81" s="15"/>
      <c r="AQ81" s="15"/>
      <c r="AR81" s="15"/>
      <c r="AS81" s="15"/>
      <c r="AT81" s="15"/>
      <c r="AU81" s="15"/>
      <c r="AV81" s="15"/>
      <c r="AW81" s="15"/>
      <c r="AX81" s="15"/>
      <c r="AY81" s="15"/>
      <c r="AZ81" s="15"/>
      <c r="BA81" s="15"/>
      <c r="BB81" s="15"/>
      <c r="BC81" s="15"/>
      <c r="BD81" s="15"/>
      <c r="BE81" s="15"/>
      <c r="BF81" s="15"/>
      <c r="BG81" s="15"/>
      <c r="BH81" s="15"/>
      <c r="BI81" s="15"/>
      <c r="BJ81" s="15"/>
      <c r="BK81" s="15"/>
      <c r="BL81" s="15"/>
      <c r="BM81" s="15"/>
      <c r="BN81" s="15"/>
      <c r="BO81" s="15"/>
      <c r="BP81" s="15"/>
      <c r="BQ81" s="15"/>
      <c r="BR81" s="15"/>
      <c r="BS81" s="15"/>
      <c r="BT81" s="15"/>
      <c r="BU81" s="15"/>
      <c r="BV81" s="15"/>
      <c r="BW81" s="15"/>
      <c r="BX81" s="15"/>
      <c r="BY81" s="15"/>
      <c r="BZ81" s="15"/>
      <c r="CA81" s="15"/>
      <c r="CB81" s="15"/>
      <c r="CC81" s="15"/>
      <c r="CD81" s="15"/>
      <c r="CE81" s="15"/>
      <c r="CF81" s="15"/>
      <c r="CG81" s="15"/>
      <c r="CH81" s="15"/>
      <c r="CI81" s="15"/>
      <c r="CJ81" s="15"/>
      <c r="CK81" s="15"/>
      <c r="CL81" s="15"/>
      <c r="CM81" s="15"/>
      <c r="CN81" s="15"/>
      <c r="CO81" s="15"/>
      <c r="CP81" s="15"/>
      <c r="CQ81" s="15"/>
      <c r="CR81" s="15"/>
      <c r="CS81" s="15"/>
      <c r="CT81" s="15"/>
      <c r="CU81" s="15"/>
      <c r="CV81" s="15"/>
      <c r="CW81" s="15"/>
      <c r="CX81" s="15"/>
      <c r="CY81" s="15"/>
      <c r="CZ81" s="15"/>
      <c r="DA81" s="15"/>
      <c r="DB81" s="15"/>
      <c r="DC81" s="15"/>
    </row>
    <row r="82" spans="1:107" s="9" customFormat="1" ht="12.75" customHeight="1" x14ac:dyDescent="0.25">
      <c r="A82"/>
      <c r="B82" s="205">
        <v>2998</v>
      </c>
      <c r="C82" s="206"/>
      <c r="D82" s="172">
        <v>8001</v>
      </c>
      <c r="E82" s="172">
        <v>10317</v>
      </c>
      <c r="F82" s="172">
        <v>11193</v>
      </c>
      <c r="G82" s="172">
        <v>12248</v>
      </c>
      <c r="H82" s="172">
        <v>13426</v>
      </c>
      <c r="I82" s="172">
        <v>14140</v>
      </c>
      <c r="J82" s="172">
        <v>15018</v>
      </c>
      <c r="K82" s="172">
        <v>15952</v>
      </c>
      <c r="L82" s="172">
        <v>16784</v>
      </c>
      <c r="M82" s="172"/>
      <c r="N82" s="174"/>
      <c r="P82" s="129"/>
      <c r="Q82" s="15"/>
      <c r="R82" s="15"/>
      <c r="S82" s="15"/>
      <c r="T82" s="15"/>
      <c r="U82" s="15"/>
      <c r="V82" s="15"/>
      <c r="W82" s="15"/>
      <c r="X82" s="15"/>
      <c r="Y82" s="15"/>
      <c r="Z82" s="15"/>
      <c r="AA82" s="15"/>
      <c r="AB82" s="15"/>
      <c r="AC82" s="15"/>
      <c r="AD82" s="15"/>
      <c r="AE82" s="15"/>
      <c r="AF82" s="15"/>
      <c r="AG82" s="15"/>
      <c r="AH82" s="15"/>
      <c r="AI82" s="15"/>
      <c r="AJ82" s="15"/>
      <c r="AK82" s="15"/>
      <c r="AL82" s="15"/>
      <c r="AM82" s="15"/>
      <c r="AN82" s="15"/>
      <c r="AO82" s="15"/>
      <c r="AP82" s="15"/>
      <c r="AQ82" s="15"/>
      <c r="AR82" s="15"/>
      <c r="AS82" s="15"/>
      <c r="AT82" s="15"/>
      <c r="AU82" s="15"/>
      <c r="AV82" s="15"/>
      <c r="AW82" s="15"/>
      <c r="AX82" s="15"/>
      <c r="AY82" s="15"/>
      <c r="AZ82" s="15"/>
      <c r="BA82" s="15"/>
      <c r="BB82" s="15"/>
      <c r="BC82" s="15"/>
      <c r="BD82" s="15"/>
      <c r="BE82" s="15"/>
      <c r="BF82" s="15"/>
      <c r="BG82" s="15"/>
      <c r="BH82" s="15"/>
      <c r="BI82" s="15"/>
      <c r="BJ82" s="15"/>
      <c r="BK82" s="15"/>
      <c r="BL82" s="15"/>
      <c r="BM82" s="15"/>
      <c r="BN82" s="15"/>
      <c r="BO82" s="15"/>
      <c r="BP82" s="15"/>
      <c r="BQ82" s="15"/>
      <c r="BR82" s="15"/>
      <c r="BS82" s="15"/>
      <c r="BT82" s="15"/>
      <c r="BU82" s="15"/>
      <c r="BV82" s="15"/>
      <c r="BW82" s="15"/>
      <c r="BX82" s="15"/>
      <c r="BY82" s="15"/>
      <c r="BZ82" s="15"/>
      <c r="CA82" s="15"/>
      <c r="CB82" s="15"/>
      <c r="CC82" s="15"/>
      <c r="CD82" s="15"/>
      <c r="CE82" s="15"/>
      <c r="CF82" s="15"/>
      <c r="CG82" s="15"/>
      <c r="CH82" s="15"/>
      <c r="CI82" s="15"/>
      <c r="CJ82" s="15"/>
      <c r="CK82" s="15"/>
      <c r="CL82" s="15"/>
      <c r="CM82" s="15"/>
      <c r="CN82" s="15"/>
      <c r="CO82" s="15"/>
      <c r="CP82" s="15"/>
      <c r="CQ82" s="15"/>
      <c r="CR82" s="15"/>
      <c r="CS82" s="15"/>
      <c r="CT82" s="15"/>
      <c r="CU82" s="15"/>
      <c r="CV82" s="15"/>
      <c r="CW82" s="15"/>
      <c r="CX82" s="15"/>
      <c r="CY82" s="15"/>
      <c r="CZ82" s="15"/>
      <c r="DA82" s="15"/>
      <c r="DB82" s="15"/>
      <c r="DC82" s="15"/>
    </row>
    <row r="83" spans="1:107" s="9" customFormat="1" ht="12.75" customHeight="1" x14ac:dyDescent="0.25">
      <c r="A83"/>
      <c r="B83" s="205">
        <v>3136</v>
      </c>
      <c r="C83" s="206"/>
      <c r="D83" s="172">
        <v>8010</v>
      </c>
      <c r="E83" s="172">
        <v>10318</v>
      </c>
      <c r="F83" s="172">
        <v>11212</v>
      </c>
      <c r="G83" s="172">
        <v>12270</v>
      </c>
      <c r="H83" s="172">
        <v>13450</v>
      </c>
      <c r="I83" s="172">
        <v>14178</v>
      </c>
      <c r="J83" s="172">
        <v>15026</v>
      </c>
      <c r="K83" s="172">
        <v>15954</v>
      </c>
      <c r="L83" s="172">
        <v>16881</v>
      </c>
      <c r="M83" s="172"/>
      <c r="N83" s="174"/>
      <c r="P83" s="129"/>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c r="AP83" s="15"/>
      <c r="AQ83" s="15"/>
      <c r="AR83" s="15"/>
      <c r="AS83" s="15"/>
      <c r="AT83" s="15"/>
      <c r="AU83" s="15"/>
      <c r="AV83" s="15"/>
      <c r="AW83" s="15"/>
      <c r="AX83" s="15"/>
      <c r="AY83" s="15"/>
      <c r="AZ83" s="15"/>
      <c r="BA83" s="15"/>
      <c r="BB83" s="15"/>
      <c r="BC83" s="15"/>
      <c r="BD83" s="15"/>
      <c r="BE83" s="15"/>
      <c r="BF83" s="15"/>
      <c r="BG83" s="15"/>
      <c r="BH83" s="15"/>
      <c r="BI83" s="15"/>
      <c r="BJ83" s="15"/>
      <c r="BK83" s="15"/>
      <c r="BL83" s="15"/>
      <c r="BM83" s="15"/>
      <c r="BN83" s="15"/>
      <c r="BO83" s="15"/>
      <c r="BP83" s="15"/>
      <c r="BQ83" s="15"/>
      <c r="BR83" s="15"/>
      <c r="BS83" s="15"/>
      <c r="BT83" s="15"/>
      <c r="BU83" s="15"/>
      <c r="BV83" s="15"/>
      <c r="BW83" s="15"/>
      <c r="BX83" s="15"/>
      <c r="BY83" s="15"/>
      <c r="BZ83" s="15"/>
      <c r="CA83" s="15"/>
      <c r="CB83" s="15"/>
      <c r="CC83" s="15"/>
      <c r="CD83" s="15"/>
      <c r="CE83" s="15"/>
      <c r="CF83" s="15"/>
      <c r="CG83" s="15"/>
      <c r="CH83" s="15"/>
      <c r="CI83" s="15"/>
      <c r="CJ83" s="15"/>
      <c r="CK83" s="15"/>
      <c r="CL83" s="15"/>
      <c r="CM83" s="15"/>
      <c r="CN83" s="15"/>
      <c r="CO83" s="15"/>
      <c r="CP83" s="15"/>
      <c r="CQ83" s="15"/>
      <c r="CR83" s="15"/>
      <c r="CS83" s="15"/>
      <c r="CT83" s="15"/>
      <c r="CU83" s="15"/>
      <c r="CV83" s="15"/>
      <c r="CW83" s="15"/>
      <c r="CX83" s="15"/>
      <c r="CY83" s="15"/>
      <c r="CZ83" s="15"/>
      <c r="DA83" s="15"/>
      <c r="DB83" s="15"/>
      <c r="DC83" s="15"/>
    </row>
    <row r="84" spans="1:107" s="9" customFormat="1" ht="12.75" customHeight="1" x14ac:dyDescent="0.25">
      <c r="A84"/>
      <c r="B84" s="216">
        <v>3160</v>
      </c>
      <c r="C84" s="217"/>
      <c r="D84" s="172">
        <v>8022</v>
      </c>
      <c r="E84" s="172">
        <v>10376</v>
      </c>
      <c r="F84" s="172">
        <v>11216</v>
      </c>
      <c r="G84" s="172">
        <v>12279</v>
      </c>
      <c r="H84" s="172">
        <v>13478</v>
      </c>
      <c r="I84" s="172">
        <v>14188</v>
      </c>
      <c r="J84" s="172">
        <v>15051</v>
      </c>
      <c r="K84" s="111">
        <v>15963</v>
      </c>
      <c r="L84" s="172">
        <v>16882</v>
      </c>
      <c r="M84" s="172"/>
      <c r="N84" s="174"/>
      <c r="P84" s="129"/>
      <c r="Q84" s="15"/>
      <c r="R84" s="15"/>
      <c r="S84" s="15"/>
      <c r="T84" s="15"/>
      <c r="U84" s="15"/>
      <c r="V84" s="15"/>
      <c r="W84" s="15"/>
      <c r="X84" s="15"/>
      <c r="Y84" s="15"/>
      <c r="Z84" s="15"/>
      <c r="AA84" s="15"/>
      <c r="AB84" s="15"/>
      <c r="AC84" s="15"/>
      <c r="AD84" s="15"/>
      <c r="AE84" s="15"/>
      <c r="AF84" s="15"/>
      <c r="AG84" s="15"/>
      <c r="AH84" s="15"/>
      <c r="AI84" s="15"/>
      <c r="AJ84" s="15"/>
      <c r="AK84" s="15"/>
      <c r="AL84" s="15"/>
      <c r="AM84" s="15"/>
      <c r="AN84" s="15"/>
      <c r="AO84" s="15"/>
      <c r="AP84" s="15"/>
      <c r="AQ84" s="15"/>
      <c r="AR84" s="15"/>
      <c r="AS84" s="15"/>
      <c r="AT84" s="15"/>
      <c r="AU84" s="15"/>
      <c r="AV84" s="15"/>
      <c r="AW84" s="15"/>
      <c r="AX84" s="15"/>
      <c r="AY84" s="15"/>
      <c r="AZ84" s="15"/>
      <c r="BA84" s="15"/>
      <c r="BB84" s="15"/>
      <c r="BC84" s="15"/>
      <c r="BD84" s="15"/>
      <c r="BE84" s="15"/>
      <c r="BF84" s="15"/>
      <c r="BG84" s="15"/>
      <c r="BH84" s="15"/>
      <c r="BI84" s="15"/>
      <c r="BJ84" s="15"/>
      <c r="BK84" s="15"/>
      <c r="BL84" s="15"/>
      <c r="BM84" s="15"/>
      <c r="BN84" s="15"/>
      <c r="BO84" s="15"/>
      <c r="BP84" s="15"/>
      <c r="BQ84" s="15"/>
      <c r="BR84" s="15"/>
      <c r="BS84" s="15"/>
      <c r="BT84" s="15"/>
      <c r="BU84" s="15"/>
      <c r="BV84" s="15"/>
      <c r="BW84" s="15"/>
      <c r="BX84" s="15"/>
      <c r="BY84" s="15"/>
      <c r="BZ84" s="15"/>
      <c r="CA84" s="15"/>
      <c r="CB84" s="15"/>
      <c r="CC84" s="15"/>
      <c r="CD84" s="15"/>
      <c r="CE84" s="15"/>
      <c r="CF84" s="15"/>
      <c r="CG84" s="15"/>
      <c r="CH84" s="15"/>
      <c r="CI84" s="15"/>
      <c r="CJ84" s="15"/>
      <c r="CK84" s="15"/>
      <c r="CL84" s="15"/>
      <c r="CM84" s="15"/>
      <c r="CN84" s="15"/>
      <c r="CO84" s="15"/>
      <c r="CP84" s="15"/>
      <c r="CQ84" s="15"/>
      <c r="CR84" s="15"/>
      <c r="CS84" s="15"/>
      <c r="CT84" s="15"/>
      <c r="CU84" s="15"/>
      <c r="CV84" s="15"/>
      <c r="CW84" s="15"/>
      <c r="CX84" s="15"/>
      <c r="CY84" s="15"/>
      <c r="CZ84" s="15"/>
      <c r="DA84" s="15"/>
      <c r="DB84" s="15"/>
      <c r="DC84" s="15"/>
    </row>
    <row r="85" spans="1:107" s="9" customFormat="1" ht="12.75" customHeight="1" x14ac:dyDescent="0.25">
      <c r="A85"/>
      <c r="B85" s="205">
        <v>3163</v>
      </c>
      <c r="C85" s="206"/>
      <c r="D85" s="172">
        <v>8046</v>
      </c>
      <c r="E85" s="172">
        <v>10401</v>
      </c>
      <c r="F85" s="172">
        <v>11223</v>
      </c>
      <c r="G85" s="172">
        <v>12368</v>
      </c>
      <c r="H85" s="172">
        <v>13484</v>
      </c>
      <c r="I85" s="172">
        <v>14202</v>
      </c>
      <c r="J85" s="172">
        <v>15052</v>
      </c>
      <c r="K85" s="172">
        <v>16002</v>
      </c>
      <c r="L85" s="172">
        <v>16888</v>
      </c>
      <c r="M85" s="172"/>
      <c r="N85" s="174"/>
      <c r="P85" s="129"/>
      <c r="Q85" s="15"/>
      <c r="R85" s="15"/>
      <c r="S85" s="15"/>
      <c r="T85" s="15"/>
      <c r="U85" s="15"/>
      <c r="V85" s="15"/>
      <c r="W85" s="15"/>
      <c r="X85" s="15"/>
      <c r="Y85" s="15"/>
      <c r="Z85" s="15"/>
      <c r="AA85" s="15"/>
      <c r="AB85" s="15"/>
      <c r="AC85" s="15"/>
      <c r="AD85" s="15"/>
      <c r="AE85" s="15"/>
      <c r="AF85" s="15"/>
      <c r="AG85" s="15"/>
      <c r="AH85" s="15"/>
      <c r="AI85" s="15"/>
      <c r="AJ85" s="15"/>
      <c r="AK85" s="15"/>
      <c r="AL85" s="15"/>
      <c r="AM85" s="15"/>
      <c r="AN85" s="15"/>
      <c r="AO85" s="15"/>
      <c r="AP85" s="15"/>
      <c r="AQ85" s="15"/>
      <c r="AR85" s="15"/>
      <c r="AS85" s="15"/>
      <c r="AT85" s="15"/>
      <c r="AU85" s="15"/>
      <c r="AV85" s="15"/>
      <c r="AW85" s="15"/>
      <c r="AX85" s="15"/>
      <c r="AY85" s="15"/>
      <c r="AZ85" s="15"/>
      <c r="BA85" s="15"/>
      <c r="BB85" s="15"/>
      <c r="BC85" s="15"/>
      <c r="BD85" s="15"/>
      <c r="BE85" s="15"/>
      <c r="BF85" s="15"/>
      <c r="BG85" s="15"/>
      <c r="BH85" s="15"/>
      <c r="BI85" s="15"/>
      <c r="BJ85" s="15"/>
      <c r="BK85" s="15"/>
      <c r="BL85" s="15"/>
      <c r="BM85" s="15"/>
      <c r="BN85" s="15"/>
      <c r="BO85" s="15"/>
      <c r="BP85" s="15"/>
      <c r="BQ85" s="15"/>
      <c r="BR85" s="15"/>
      <c r="BS85" s="15"/>
      <c r="BT85" s="15"/>
      <c r="BU85" s="15"/>
      <c r="BV85" s="15"/>
      <c r="BW85" s="15"/>
      <c r="BX85" s="15"/>
      <c r="BY85" s="15"/>
      <c r="BZ85" s="15"/>
      <c r="CA85" s="15"/>
      <c r="CB85" s="15"/>
      <c r="CC85" s="15"/>
      <c r="CD85" s="15"/>
      <c r="CE85" s="15"/>
      <c r="CF85" s="15"/>
      <c r="CG85" s="15"/>
      <c r="CH85" s="15"/>
      <c r="CI85" s="15"/>
      <c r="CJ85" s="15"/>
      <c r="CK85" s="15"/>
      <c r="CL85" s="15"/>
      <c r="CM85" s="15"/>
      <c r="CN85" s="15"/>
      <c r="CO85" s="15"/>
      <c r="CP85" s="15"/>
      <c r="CQ85" s="15"/>
      <c r="CR85" s="15"/>
      <c r="CS85" s="15"/>
      <c r="CT85" s="15"/>
      <c r="CU85" s="15"/>
      <c r="CV85" s="15"/>
      <c r="CW85" s="15"/>
      <c r="CX85" s="15"/>
      <c r="CY85" s="15"/>
      <c r="CZ85" s="15"/>
      <c r="DA85" s="15"/>
      <c r="DB85" s="15"/>
      <c r="DC85" s="15"/>
    </row>
    <row r="86" spans="1:107" s="9" customFormat="1" ht="12.75" customHeight="1" x14ac:dyDescent="0.25">
      <c r="A86"/>
      <c r="B86" s="216">
        <v>3170</v>
      </c>
      <c r="C86" s="217"/>
      <c r="D86" s="168">
        <v>8055</v>
      </c>
      <c r="E86" s="172">
        <v>10404</v>
      </c>
      <c r="F86" s="172">
        <v>11228</v>
      </c>
      <c r="G86" s="172">
        <v>12384</v>
      </c>
      <c r="H86" s="172">
        <v>13531</v>
      </c>
      <c r="I86" s="172">
        <v>14258</v>
      </c>
      <c r="J86" s="172">
        <v>15059</v>
      </c>
      <c r="K86" s="172">
        <v>16008</v>
      </c>
      <c r="L86" s="172">
        <v>16894</v>
      </c>
      <c r="M86" s="172"/>
      <c r="N86" s="174"/>
      <c r="P86" s="127"/>
      <c r="Q86" s="15"/>
      <c r="R86" s="15"/>
      <c r="S86" s="15"/>
      <c r="T86" s="15"/>
      <c r="U86" s="15"/>
      <c r="V86" s="15"/>
      <c r="W86" s="15"/>
      <c r="X86" s="15"/>
      <c r="Y86" s="15"/>
      <c r="Z86" s="15"/>
      <c r="AA86" s="15"/>
      <c r="AB86" s="15"/>
      <c r="AC86" s="15"/>
      <c r="AD86" s="15"/>
      <c r="AE86" s="15"/>
      <c r="AF86" s="15"/>
      <c r="AG86" s="15"/>
      <c r="AH86" s="15"/>
      <c r="AI86" s="15"/>
      <c r="AJ86" s="15"/>
      <c r="AK86" s="15"/>
      <c r="AL86" s="15"/>
      <c r="AM86" s="15"/>
      <c r="AN86" s="15"/>
      <c r="AO86" s="15"/>
      <c r="AP86" s="15"/>
      <c r="AQ86" s="15"/>
      <c r="AR86" s="15"/>
      <c r="AS86" s="15"/>
      <c r="AT86" s="15"/>
      <c r="AU86" s="15"/>
      <c r="AV86" s="15"/>
      <c r="AW86" s="15"/>
      <c r="AX86" s="15"/>
      <c r="AY86" s="15"/>
      <c r="AZ86" s="15"/>
      <c r="BA86" s="15"/>
      <c r="BB86" s="15"/>
      <c r="BC86" s="15"/>
      <c r="BD86" s="15"/>
      <c r="BE86" s="15"/>
      <c r="BF86" s="15"/>
      <c r="BG86" s="15"/>
      <c r="BH86" s="15"/>
      <c r="BI86" s="15"/>
      <c r="BJ86" s="15"/>
      <c r="BK86" s="15"/>
      <c r="BL86" s="15"/>
      <c r="BM86" s="15"/>
      <c r="BN86" s="15"/>
      <c r="BO86" s="15"/>
      <c r="BP86" s="15"/>
      <c r="BQ86" s="15"/>
      <c r="BR86" s="15"/>
      <c r="BS86" s="15"/>
      <c r="BT86" s="15"/>
      <c r="BU86" s="15"/>
      <c r="BV86" s="15"/>
      <c r="BW86" s="15"/>
      <c r="BX86" s="15"/>
      <c r="BY86" s="15"/>
      <c r="BZ86" s="15"/>
      <c r="CA86" s="15"/>
      <c r="CB86" s="15"/>
      <c r="CC86" s="15"/>
      <c r="CD86" s="15"/>
      <c r="CE86" s="15"/>
      <c r="CF86" s="15"/>
      <c r="CG86" s="15"/>
      <c r="CH86" s="15"/>
      <c r="CI86" s="15"/>
      <c r="CJ86" s="15"/>
      <c r="CK86" s="15"/>
      <c r="CL86" s="15"/>
      <c r="CM86" s="15"/>
      <c r="CN86" s="15"/>
      <c r="CO86" s="15"/>
      <c r="CP86" s="15"/>
      <c r="CQ86" s="15"/>
      <c r="CR86" s="15"/>
      <c r="CS86" s="15"/>
      <c r="CT86" s="15"/>
      <c r="CU86" s="15"/>
      <c r="CV86" s="15"/>
      <c r="CW86" s="15"/>
      <c r="CX86" s="15"/>
      <c r="CY86" s="15"/>
      <c r="CZ86" s="15"/>
      <c r="DA86" s="15"/>
      <c r="DB86" s="15"/>
      <c r="DC86" s="15"/>
    </row>
    <row r="87" spans="1:107" s="9" customFormat="1" ht="12.75" customHeight="1" x14ac:dyDescent="0.25">
      <c r="A87"/>
      <c r="B87" s="205">
        <v>3190</v>
      </c>
      <c r="C87" s="206"/>
      <c r="D87" s="168">
        <v>8127</v>
      </c>
      <c r="E87" s="172">
        <v>10415</v>
      </c>
      <c r="F87" s="172">
        <v>11237</v>
      </c>
      <c r="G87" s="172">
        <v>12393</v>
      </c>
      <c r="H87" s="172">
        <v>13546</v>
      </c>
      <c r="I87" s="172">
        <v>14280</v>
      </c>
      <c r="J87" s="172">
        <v>15962</v>
      </c>
      <c r="K87" s="172">
        <v>16095</v>
      </c>
      <c r="L87" s="172">
        <v>16914</v>
      </c>
      <c r="M87" s="172"/>
      <c r="N87" s="174"/>
      <c r="P87" s="127"/>
      <c r="Q87" s="15"/>
      <c r="R87" s="15"/>
      <c r="S87" s="15"/>
      <c r="T87" s="15"/>
      <c r="U87" s="15"/>
      <c r="V87" s="15"/>
      <c r="W87" s="15"/>
      <c r="X87" s="15"/>
      <c r="Y87" s="15"/>
      <c r="Z87" s="15"/>
      <c r="AA87" s="15"/>
      <c r="AB87" s="15"/>
      <c r="AC87" s="15"/>
      <c r="AD87" s="15"/>
      <c r="AE87" s="15"/>
      <c r="AF87" s="15"/>
      <c r="AG87" s="15"/>
      <c r="AH87" s="15"/>
      <c r="AI87" s="15"/>
      <c r="AJ87" s="15"/>
      <c r="AK87" s="15"/>
      <c r="AL87" s="15"/>
      <c r="AM87" s="15"/>
      <c r="AN87" s="15"/>
      <c r="AO87" s="15"/>
      <c r="AP87" s="15"/>
      <c r="AQ87" s="15"/>
      <c r="AR87" s="15"/>
      <c r="AS87" s="15"/>
      <c r="AT87" s="15"/>
      <c r="AU87" s="15"/>
      <c r="AV87" s="15"/>
      <c r="AW87" s="15"/>
      <c r="AX87" s="15"/>
      <c r="AY87" s="15"/>
      <c r="AZ87" s="15"/>
      <c r="BA87" s="15"/>
      <c r="BB87" s="15"/>
      <c r="BC87" s="15"/>
      <c r="BD87" s="15"/>
      <c r="BE87" s="15"/>
      <c r="BF87" s="15"/>
      <c r="BG87" s="15"/>
      <c r="BH87" s="15"/>
      <c r="BI87" s="15"/>
      <c r="BJ87" s="15"/>
      <c r="BK87" s="15"/>
      <c r="BL87" s="15"/>
      <c r="BM87" s="15"/>
      <c r="BN87" s="15"/>
      <c r="BO87" s="15"/>
      <c r="BP87" s="15"/>
      <c r="BQ87" s="15"/>
      <c r="BR87" s="15"/>
      <c r="BS87" s="15"/>
      <c r="BT87" s="15"/>
      <c r="BU87" s="15"/>
      <c r="BV87" s="15"/>
      <c r="BW87" s="15"/>
      <c r="BX87" s="15"/>
      <c r="BY87" s="15"/>
      <c r="BZ87" s="15"/>
      <c r="CA87" s="15"/>
      <c r="CB87" s="15"/>
      <c r="CC87" s="15"/>
      <c r="CD87" s="15"/>
      <c r="CE87" s="15"/>
      <c r="CF87" s="15"/>
      <c r="CG87" s="15"/>
      <c r="CH87" s="15"/>
      <c r="CI87" s="15"/>
      <c r="CJ87" s="15"/>
      <c r="CK87" s="15"/>
      <c r="CL87" s="15"/>
      <c r="CM87" s="15"/>
      <c r="CN87" s="15"/>
      <c r="CO87" s="15"/>
      <c r="CP87" s="15"/>
      <c r="CQ87" s="15"/>
      <c r="CR87" s="15"/>
      <c r="CS87" s="15"/>
      <c r="CT87" s="15"/>
      <c r="CU87" s="15"/>
      <c r="CV87" s="15"/>
      <c r="CW87" s="15"/>
      <c r="CX87" s="15"/>
      <c r="CY87" s="15"/>
      <c r="CZ87" s="15"/>
      <c r="DA87" s="15"/>
      <c r="DB87" s="15"/>
      <c r="DC87" s="15"/>
    </row>
    <row r="88" spans="1:107" s="9" customFormat="1" ht="12.75" customHeight="1" x14ac:dyDescent="0.25">
      <c r="A88"/>
      <c r="B88" s="205">
        <v>3333</v>
      </c>
      <c r="C88" s="206"/>
      <c r="D88" s="172">
        <v>8181</v>
      </c>
      <c r="E88" s="172">
        <v>10447</v>
      </c>
      <c r="F88" s="172">
        <v>11243</v>
      </c>
      <c r="G88" s="172">
        <v>12422</v>
      </c>
      <c r="H88" s="172">
        <v>13568</v>
      </c>
      <c r="I88" s="172">
        <v>14323</v>
      </c>
      <c r="J88" s="172">
        <v>14063</v>
      </c>
      <c r="K88" s="172">
        <v>16106</v>
      </c>
      <c r="L88" s="172">
        <v>16974</v>
      </c>
      <c r="M88" s="172"/>
      <c r="N88" s="174"/>
      <c r="P88" s="127"/>
      <c r="Q88" s="15"/>
      <c r="R88" s="15"/>
      <c r="S88" s="15"/>
      <c r="T88" s="15"/>
      <c r="U88" s="15"/>
      <c r="V88" s="15"/>
      <c r="W88" s="15"/>
      <c r="X88" s="15"/>
      <c r="Y88" s="15"/>
      <c r="Z88" s="15"/>
      <c r="AA88" s="15"/>
      <c r="AB88" s="15"/>
      <c r="AC88" s="15"/>
      <c r="AD88" s="15"/>
      <c r="AE88" s="15"/>
      <c r="AF88" s="15"/>
      <c r="AG88" s="15"/>
      <c r="AH88" s="15"/>
      <c r="AI88" s="15"/>
      <c r="AJ88" s="15"/>
      <c r="AK88" s="15"/>
      <c r="AL88" s="15"/>
      <c r="AM88" s="15"/>
      <c r="AN88" s="15"/>
      <c r="AO88" s="15"/>
      <c r="AP88" s="15"/>
      <c r="AQ88" s="15"/>
      <c r="AR88" s="15"/>
      <c r="AS88" s="15"/>
      <c r="AT88" s="15"/>
      <c r="AU88" s="15"/>
      <c r="AV88" s="15"/>
      <c r="AW88" s="15"/>
      <c r="AX88" s="15"/>
      <c r="AY88" s="15"/>
      <c r="AZ88" s="15"/>
      <c r="BA88" s="15"/>
      <c r="BB88" s="15"/>
      <c r="BC88" s="15"/>
      <c r="BD88" s="15"/>
      <c r="BE88" s="15"/>
      <c r="BF88" s="15"/>
      <c r="BG88" s="15"/>
      <c r="BH88" s="15"/>
      <c r="BI88" s="15"/>
      <c r="BJ88" s="15"/>
      <c r="BK88" s="15"/>
      <c r="BL88" s="15"/>
      <c r="BM88" s="15"/>
      <c r="BN88" s="15"/>
      <c r="BO88" s="15"/>
      <c r="BP88" s="15"/>
      <c r="BQ88" s="15"/>
      <c r="BR88" s="15"/>
      <c r="BS88" s="15"/>
      <c r="BT88" s="15"/>
      <c r="BU88" s="15"/>
      <c r="BV88" s="15"/>
      <c r="BW88" s="15"/>
      <c r="BX88" s="15"/>
      <c r="BY88" s="15"/>
      <c r="BZ88" s="15"/>
      <c r="CA88" s="15"/>
      <c r="CB88" s="15"/>
      <c r="CC88" s="15"/>
      <c r="CD88" s="15"/>
      <c r="CE88" s="15"/>
      <c r="CF88" s="15"/>
      <c r="CG88" s="15"/>
      <c r="CH88" s="15"/>
      <c r="CI88" s="15"/>
      <c r="CJ88" s="15"/>
      <c r="CK88" s="15"/>
      <c r="CL88" s="15"/>
      <c r="CM88" s="15"/>
      <c r="CN88" s="15"/>
      <c r="CO88" s="15"/>
      <c r="CP88" s="15"/>
      <c r="CQ88" s="15"/>
      <c r="CR88" s="15"/>
      <c r="CS88" s="15"/>
      <c r="CT88" s="15"/>
      <c r="CU88" s="15"/>
      <c r="CV88" s="15"/>
      <c r="CW88" s="15"/>
      <c r="CX88" s="15"/>
      <c r="CY88" s="15"/>
      <c r="CZ88" s="15"/>
      <c r="DA88" s="15"/>
      <c r="DB88" s="15"/>
      <c r="DC88" s="15"/>
    </row>
    <row r="89" spans="1:107" s="9" customFormat="1" ht="12.75" customHeight="1" x14ac:dyDescent="0.25">
      <c r="A89"/>
      <c r="B89" s="216">
        <v>4472</v>
      </c>
      <c r="C89" s="217"/>
      <c r="D89" s="172">
        <v>8182</v>
      </c>
      <c r="E89" s="172">
        <v>10461</v>
      </c>
      <c r="F89" s="168">
        <v>11249</v>
      </c>
      <c r="G89" s="172">
        <v>12427</v>
      </c>
      <c r="H89" s="172">
        <v>13582</v>
      </c>
      <c r="I89" s="172">
        <v>14338</v>
      </c>
      <c r="J89" s="172">
        <v>15069</v>
      </c>
      <c r="K89" s="172">
        <v>16132</v>
      </c>
      <c r="L89" s="172">
        <v>17021</v>
      </c>
      <c r="M89" s="172"/>
      <c r="N89" s="174"/>
      <c r="P89" s="127"/>
      <c r="Q89" s="15"/>
      <c r="R89" s="15"/>
      <c r="S89" s="15"/>
      <c r="T89" s="15"/>
      <c r="U89" s="15"/>
      <c r="V89" s="15"/>
      <c r="W89" s="15"/>
      <c r="X89" s="15"/>
      <c r="Y89" s="15"/>
      <c r="Z89" s="15"/>
      <c r="AA89" s="15"/>
      <c r="AB89" s="15"/>
      <c r="AC89" s="15"/>
      <c r="AD89" s="15"/>
      <c r="AE89" s="15"/>
      <c r="AF89" s="15"/>
      <c r="AG89" s="15"/>
      <c r="AH89" s="15"/>
      <c r="AI89" s="15"/>
      <c r="AJ89" s="15"/>
      <c r="AK89" s="15"/>
      <c r="AL89" s="15"/>
      <c r="AM89" s="15"/>
      <c r="AN89" s="15"/>
      <c r="AO89" s="15"/>
      <c r="AP89" s="15"/>
      <c r="AQ89" s="15"/>
      <c r="AR89" s="15"/>
      <c r="AS89" s="15"/>
      <c r="AT89" s="15"/>
      <c r="AU89" s="15"/>
      <c r="AV89" s="15"/>
      <c r="AW89" s="15"/>
      <c r="AX89" s="15"/>
      <c r="AY89" s="15"/>
      <c r="AZ89" s="15"/>
      <c r="BA89" s="15"/>
      <c r="BB89" s="15"/>
      <c r="BC89" s="15"/>
      <c r="BD89" s="15"/>
      <c r="BE89" s="15"/>
      <c r="BF89" s="15"/>
      <c r="BG89" s="15"/>
      <c r="BH89" s="15"/>
      <c r="BI89" s="15"/>
      <c r="BJ89" s="15"/>
      <c r="BK89" s="15"/>
      <c r="BL89" s="15"/>
      <c r="BM89" s="15"/>
      <c r="BN89" s="15"/>
      <c r="BO89" s="15"/>
      <c r="BP89" s="15"/>
      <c r="BQ89" s="15"/>
      <c r="BR89" s="15"/>
      <c r="BS89" s="15"/>
      <c r="BT89" s="15"/>
      <c r="BU89" s="15"/>
      <c r="BV89" s="15"/>
      <c r="BW89" s="15"/>
      <c r="BX89" s="15"/>
      <c r="BY89" s="15"/>
      <c r="BZ89" s="15"/>
      <c r="CA89" s="15"/>
      <c r="CB89" s="15"/>
      <c r="CC89" s="15"/>
      <c r="CD89" s="15"/>
      <c r="CE89" s="15"/>
      <c r="CF89" s="15"/>
      <c r="CG89" s="15"/>
      <c r="CH89" s="15"/>
      <c r="CI89" s="15"/>
      <c r="CJ89" s="15"/>
      <c r="CK89" s="15"/>
      <c r="CL89" s="15"/>
      <c r="CM89" s="15"/>
      <c r="CN89" s="15"/>
      <c r="CO89" s="15"/>
      <c r="CP89" s="15"/>
      <c r="CQ89" s="15"/>
      <c r="CR89" s="15"/>
      <c r="CS89" s="15"/>
      <c r="CT89" s="15"/>
      <c r="CU89" s="15"/>
      <c r="CV89" s="15"/>
      <c r="CW89" s="15"/>
      <c r="CX89" s="15"/>
      <c r="CY89" s="15"/>
      <c r="CZ89" s="15"/>
      <c r="DA89" s="15"/>
      <c r="DB89" s="15"/>
      <c r="DC89" s="15"/>
    </row>
    <row r="90" spans="1:107" s="9" customFormat="1" ht="12.75" customHeight="1" x14ac:dyDescent="0.25">
      <c r="A90"/>
      <c r="B90" s="216">
        <v>4483</v>
      </c>
      <c r="C90" s="217"/>
      <c r="D90" s="172">
        <v>8222</v>
      </c>
      <c r="E90" s="172">
        <v>10480</v>
      </c>
      <c r="F90" s="172">
        <v>11252</v>
      </c>
      <c r="G90" s="172">
        <v>12428</v>
      </c>
      <c r="H90" s="172">
        <v>13621</v>
      </c>
      <c r="I90" s="172">
        <v>14340</v>
      </c>
      <c r="J90" s="172">
        <v>15099</v>
      </c>
      <c r="K90" s="172">
        <v>16134</v>
      </c>
      <c r="L90" s="172">
        <v>17060</v>
      </c>
      <c r="M90" s="172"/>
      <c r="N90" s="174"/>
      <c r="P90" s="127"/>
      <c r="Q90" s="15"/>
      <c r="R90" s="15"/>
      <c r="S90" s="15"/>
      <c r="T90" s="15"/>
      <c r="U90" s="15"/>
      <c r="V90" s="15"/>
      <c r="W90" s="15"/>
      <c r="X90" s="15"/>
      <c r="Y90" s="15"/>
      <c r="Z90" s="15"/>
      <c r="AA90" s="15"/>
      <c r="AB90" s="15"/>
      <c r="AC90" s="15"/>
      <c r="AD90" s="15"/>
      <c r="AE90" s="15"/>
      <c r="AF90" s="15"/>
      <c r="AG90" s="15"/>
      <c r="AH90" s="15"/>
      <c r="AI90" s="15"/>
      <c r="AJ90" s="15"/>
      <c r="AK90" s="15"/>
      <c r="AL90" s="15"/>
      <c r="AM90" s="15"/>
      <c r="AN90" s="15"/>
      <c r="AO90" s="15"/>
      <c r="AP90" s="15"/>
      <c r="AQ90" s="15"/>
      <c r="AR90" s="15"/>
      <c r="AS90" s="15"/>
      <c r="AT90" s="15"/>
      <c r="AU90" s="15"/>
      <c r="AV90" s="15"/>
      <c r="AW90" s="15"/>
      <c r="AX90" s="15"/>
      <c r="AY90" s="15"/>
      <c r="AZ90" s="15"/>
      <c r="BA90" s="15"/>
      <c r="BB90" s="15"/>
      <c r="BC90" s="15"/>
      <c r="BD90" s="15"/>
      <c r="BE90" s="15"/>
      <c r="BF90" s="15"/>
      <c r="BG90" s="15"/>
      <c r="BH90" s="15"/>
      <c r="BI90" s="15"/>
      <c r="BJ90" s="15"/>
      <c r="BK90" s="15"/>
      <c r="BL90" s="15"/>
      <c r="BM90" s="15"/>
      <c r="BN90" s="15"/>
      <c r="BO90" s="15"/>
      <c r="BP90" s="15"/>
      <c r="BQ90" s="15"/>
      <c r="BR90" s="15"/>
      <c r="BS90" s="15"/>
      <c r="BT90" s="15"/>
      <c r="BU90" s="15"/>
      <c r="BV90" s="15"/>
      <c r="BW90" s="15"/>
      <c r="BX90" s="15"/>
      <c r="BY90" s="15"/>
      <c r="BZ90" s="15"/>
      <c r="CA90" s="15"/>
      <c r="CB90" s="15"/>
      <c r="CC90" s="15"/>
      <c r="CD90" s="15"/>
      <c r="CE90" s="15"/>
      <c r="CF90" s="15"/>
      <c r="CG90" s="15"/>
      <c r="CH90" s="15"/>
      <c r="CI90" s="15"/>
      <c r="CJ90" s="15"/>
      <c r="CK90" s="15"/>
      <c r="CL90" s="15"/>
      <c r="CM90" s="15"/>
      <c r="CN90" s="15"/>
      <c r="CO90" s="15"/>
      <c r="CP90" s="15"/>
      <c r="CQ90" s="15"/>
      <c r="CR90" s="15"/>
      <c r="CS90" s="15"/>
      <c r="CT90" s="15"/>
      <c r="CU90" s="15"/>
      <c r="CV90" s="15"/>
      <c r="CW90" s="15"/>
      <c r="CX90" s="15"/>
      <c r="CY90" s="15"/>
      <c r="CZ90" s="15"/>
      <c r="DA90" s="15"/>
      <c r="DB90" s="15"/>
      <c r="DC90" s="15"/>
    </row>
    <row r="91" spans="1:107" s="9" customFormat="1" ht="12.75" customHeight="1" x14ac:dyDescent="0.25">
      <c r="A91"/>
      <c r="B91" s="216">
        <v>4485</v>
      </c>
      <c r="C91" s="217"/>
      <c r="D91" s="168">
        <v>8277</v>
      </c>
      <c r="E91" s="172">
        <v>10495</v>
      </c>
      <c r="F91" s="172">
        <v>11266</v>
      </c>
      <c r="G91" s="172">
        <v>12592</v>
      </c>
      <c r="H91" s="172">
        <v>13625</v>
      </c>
      <c r="I91" s="172">
        <v>14341</v>
      </c>
      <c r="J91" s="172">
        <v>15169</v>
      </c>
      <c r="K91" s="172">
        <v>16173</v>
      </c>
      <c r="L91" s="172">
        <v>17061</v>
      </c>
      <c r="M91" s="172"/>
      <c r="N91" s="174"/>
      <c r="P91" s="127"/>
      <c r="Q91" s="15"/>
      <c r="R91" s="15"/>
      <c r="S91" s="15"/>
      <c r="T91" s="15"/>
      <c r="U91" s="15"/>
      <c r="V91" s="15"/>
      <c r="W91" s="15"/>
      <c r="X91" s="15"/>
      <c r="Y91" s="15"/>
      <c r="Z91" s="15"/>
      <c r="AA91" s="15"/>
      <c r="AB91" s="15"/>
      <c r="AC91" s="15"/>
      <c r="AD91" s="15"/>
      <c r="AE91" s="15"/>
      <c r="AF91" s="15"/>
      <c r="AG91" s="15"/>
      <c r="AH91" s="15"/>
      <c r="AI91" s="15"/>
      <c r="AJ91" s="15"/>
      <c r="AK91" s="15"/>
      <c r="AL91" s="15"/>
      <c r="AM91" s="15"/>
      <c r="AN91" s="15"/>
      <c r="AO91" s="15"/>
      <c r="AP91" s="15"/>
      <c r="AQ91" s="15"/>
      <c r="AR91" s="15"/>
      <c r="AS91" s="15"/>
      <c r="AT91" s="15"/>
      <c r="AU91" s="15"/>
      <c r="AV91" s="15"/>
      <c r="AW91" s="15"/>
      <c r="AX91" s="15"/>
      <c r="AY91" s="15"/>
      <c r="AZ91" s="15"/>
      <c r="BA91" s="15"/>
      <c r="BB91" s="15"/>
      <c r="BC91" s="15"/>
      <c r="BD91" s="15"/>
      <c r="BE91" s="15"/>
      <c r="BF91" s="15"/>
      <c r="BG91" s="15"/>
      <c r="BH91" s="15"/>
      <c r="BI91" s="15"/>
      <c r="BJ91" s="15"/>
      <c r="BK91" s="15"/>
      <c r="BL91" s="15"/>
      <c r="BM91" s="15"/>
      <c r="BN91" s="15"/>
      <c r="BO91" s="15"/>
      <c r="BP91" s="15"/>
      <c r="BQ91" s="15"/>
      <c r="BR91" s="15"/>
      <c r="BS91" s="15"/>
      <c r="BT91" s="15"/>
      <c r="BU91" s="15"/>
      <c r="BV91" s="15"/>
      <c r="BW91" s="15"/>
      <c r="BX91" s="15"/>
      <c r="BY91" s="15"/>
      <c r="BZ91" s="15"/>
      <c r="CA91" s="15"/>
      <c r="CB91" s="15"/>
      <c r="CC91" s="15"/>
      <c r="CD91" s="15"/>
      <c r="CE91" s="15"/>
      <c r="CF91" s="15"/>
      <c r="CG91" s="15"/>
      <c r="CH91" s="15"/>
      <c r="CI91" s="15"/>
      <c r="CJ91" s="15"/>
      <c r="CK91" s="15"/>
      <c r="CL91" s="15"/>
      <c r="CM91" s="15"/>
      <c r="CN91" s="15"/>
      <c r="CO91" s="15"/>
      <c r="CP91" s="15"/>
      <c r="CQ91" s="15"/>
      <c r="CR91" s="15"/>
      <c r="CS91" s="15"/>
      <c r="CT91" s="15"/>
      <c r="CU91" s="15"/>
      <c r="CV91" s="15"/>
      <c r="CW91" s="15"/>
      <c r="CX91" s="15"/>
      <c r="CY91" s="15"/>
      <c r="CZ91" s="15"/>
      <c r="DA91" s="15"/>
      <c r="DB91" s="15"/>
      <c r="DC91" s="15"/>
    </row>
    <row r="92" spans="1:107" s="9" customFormat="1" ht="12.75" customHeight="1" x14ac:dyDescent="0.25">
      <c r="A92"/>
      <c r="B92" s="205">
        <v>4503</v>
      </c>
      <c r="C92" s="206"/>
      <c r="D92" s="172">
        <v>8306</v>
      </c>
      <c r="E92" s="172">
        <v>10509</v>
      </c>
      <c r="F92" s="172">
        <v>11269</v>
      </c>
      <c r="G92" s="172">
        <v>12593</v>
      </c>
      <c r="H92" s="172">
        <v>13637</v>
      </c>
      <c r="I92" s="172">
        <v>14358</v>
      </c>
      <c r="J92" s="172">
        <v>15172</v>
      </c>
      <c r="K92" s="172">
        <v>16189</v>
      </c>
      <c r="L92" s="172">
        <v>17209</v>
      </c>
      <c r="M92" s="172"/>
      <c r="N92" s="174"/>
      <c r="P92" s="127"/>
      <c r="Q92" s="15"/>
      <c r="R92" s="15"/>
      <c r="S92" s="15"/>
      <c r="T92" s="15"/>
      <c r="U92" s="15"/>
      <c r="V92" s="15"/>
      <c r="W92" s="15"/>
      <c r="X92" s="15"/>
      <c r="Y92" s="15"/>
      <c r="Z92" s="15"/>
      <c r="AA92" s="15"/>
      <c r="AB92" s="15"/>
      <c r="AC92" s="15"/>
      <c r="AD92" s="15"/>
      <c r="AE92" s="15"/>
      <c r="AF92" s="15"/>
      <c r="AG92" s="15"/>
      <c r="AH92" s="15"/>
      <c r="AI92" s="15"/>
      <c r="AJ92" s="15"/>
      <c r="AK92" s="15"/>
      <c r="AL92" s="15"/>
      <c r="AM92" s="15"/>
      <c r="AN92" s="15"/>
      <c r="AO92" s="15"/>
      <c r="AP92" s="15"/>
      <c r="AQ92" s="15"/>
      <c r="AR92" s="15"/>
      <c r="AS92" s="15"/>
      <c r="AT92" s="15"/>
      <c r="AU92" s="15"/>
      <c r="AV92" s="15"/>
      <c r="AW92" s="15"/>
      <c r="AX92" s="15"/>
      <c r="AY92" s="15"/>
      <c r="AZ92" s="15"/>
      <c r="BA92" s="15"/>
      <c r="BB92" s="15"/>
      <c r="BC92" s="15"/>
      <c r="BD92" s="15"/>
      <c r="BE92" s="15"/>
      <c r="BF92" s="15"/>
      <c r="BG92" s="15"/>
      <c r="BH92" s="15"/>
      <c r="BI92" s="15"/>
      <c r="BJ92" s="15"/>
      <c r="BK92" s="15"/>
      <c r="BL92" s="15"/>
      <c r="BM92" s="15"/>
      <c r="BN92" s="15"/>
      <c r="BO92" s="15"/>
      <c r="BP92" s="15"/>
      <c r="BQ92" s="15"/>
      <c r="BR92" s="15"/>
      <c r="BS92" s="15"/>
      <c r="BT92" s="15"/>
      <c r="BU92" s="15"/>
      <c r="BV92" s="15"/>
      <c r="BW92" s="15"/>
      <c r="BX92" s="15"/>
      <c r="BY92" s="15"/>
      <c r="BZ92" s="15"/>
      <c r="CA92" s="15"/>
      <c r="CB92" s="15"/>
      <c r="CC92" s="15"/>
      <c r="CD92" s="15"/>
      <c r="CE92" s="15"/>
      <c r="CF92" s="15"/>
      <c r="CG92" s="15"/>
      <c r="CH92" s="15"/>
      <c r="CI92" s="15"/>
      <c r="CJ92" s="15"/>
      <c r="CK92" s="15"/>
      <c r="CL92" s="15"/>
      <c r="CM92" s="15"/>
      <c r="CN92" s="15"/>
      <c r="CO92" s="15"/>
      <c r="CP92" s="15"/>
      <c r="CQ92" s="15"/>
      <c r="CR92" s="15"/>
      <c r="CS92" s="15"/>
      <c r="CT92" s="15"/>
      <c r="CU92" s="15"/>
      <c r="CV92" s="15"/>
      <c r="CW92" s="15"/>
      <c r="CX92" s="15"/>
      <c r="CY92" s="15"/>
      <c r="CZ92" s="15"/>
      <c r="DA92" s="15"/>
      <c r="DB92" s="15"/>
      <c r="DC92" s="15"/>
    </row>
    <row r="93" spans="1:107" s="9" customFormat="1" ht="12.75" customHeight="1" x14ac:dyDescent="0.25">
      <c r="A93"/>
      <c r="B93" s="216">
        <v>4734</v>
      </c>
      <c r="C93" s="217"/>
      <c r="D93" s="168">
        <v>8455</v>
      </c>
      <c r="E93" s="172">
        <v>10546</v>
      </c>
      <c r="F93" s="172">
        <v>11273</v>
      </c>
      <c r="G93" s="172">
        <v>12603</v>
      </c>
      <c r="H93" s="172">
        <v>13638</v>
      </c>
      <c r="I93" s="172">
        <v>14372</v>
      </c>
      <c r="J93" s="172">
        <v>15173</v>
      </c>
      <c r="K93" s="172">
        <v>16200</v>
      </c>
      <c r="L93" s="172">
        <v>17217</v>
      </c>
      <c r="M93" s="172"/>
      <c r="N93" s="174"/>
      <c r="P93" s="127"/>
      <c r="Q93" s="15"/>
      <c r="R93" s="15"/>
      <c r="S93" s="15"/>
      <c r="T93" s="15"/>
      <c r="U93" s="15"/>
      <c r="V93" s="15"/>
      <c r="W93" s="15"/>
      <c r="X93" s="15"/>
      <c r="Y93" s="15"/>
      <c r="Z93" s="15"/>
      <c r="AA93" s="15"/>
      <c r="AB93" s="15"/>
      <c r="AC93" s="15"/>
      <c r="AD93" s="15"/>
      <c r="AE93" s="15"/>
      <c r="AF93" s="15"/>
      <c r="AG93" s="15"/>
      <c r="AH93" s="15"/>
      <c r="AI93" s="15"/>
      <c r="AJ93" s="15"/>
      <c r="AK93" s="15"/>
      <c r="AL93" s="15"/>
      <c r="AM93" s="15"/>
      <c r="AN93" s="15"/>
      <c r="AO93" s="15"/>
      <c r="AP93" s="15"/>
      <c r="AQ93" s="15"/>
      <c r="AR93" s="15"/>
      <c r="AS93" s="15"/>
      <c r="AT93" s="15"/>
      <c r="AU93" s="15"/>
      <c r="AV93" s="15"/>
      <c r="AW93" s="15"/>
      <c r="AX93" s="15"/>
      <c r="AY93" s="15"/>
      <c r="AZ93" s="15"/>
      <c r="BA93" s="15"/>
      <c r="BB93" s="15"/>
      <c r="BC93" s="15"/>
      <c r="BD93" s="15"/>
      <c r="BE93" s="15"/>
      <c r="BF93" s="15"/>
      <c r="BG93" s="15"/>
      <c r="BH93" s="15"/>
      <c r="BI93" s="15"/>
      <c r="BJ93" s="15"/>
      <c r="BK93" s="15"/>
      <c r="BL93" s="15"/>
      <c r="BM93" s="15"/>
      <c r="BN93" s="15"/>
      <c r="BO93" s="15"/>
      <c r="BP93" s="15"/>
      <c r="BQ93" s="15"/>
      <c r="BR93" s="15"/>
      <c r="BS93" s="15"/>
      <c r="BT93" s="15"/>
      <c r="BU93" s="15"/>
      <c r="BV93" s="15"/>
      <c r="BW93" s="15"/>
      <c r="BX93" s="15"/>
      <c r="BY93" s="15"/>
      <c r="BZ93" s="15"/>
      <c r="CA93" s="15"/>
      <c r="CB93" s="15"/>
      <c r="CC93" s="15"/>
      <c r="CD93" s="15"/>
      <c r="CE93" s="15"/>
      <c r="CF93" s="15"/>
      <c r="CG93" s="15"/>
      <c r="CH93" s="15"/>
      <c r="CI93" s="15"/>
      <c r="CJ93" s="15"/>
      <c r="CK93" s="15"/>
      <c r="CL93" s="15"/>
      <c r="CM93" s="15"/>
      <c r="CN93" s="15"/>
      <c r="CO93" s="15"/>
      <c r="CP93" s="15"/>
      <c r="CQ93" s="15"/>
      <c r="CR93" s="15"/>
      <c r="CS93" s="15"/>
      <c r="CT93" s="15"/>
      <c r="CU93" s="15"/>
      <c r="CV93" s="15"/>
      <c r="CW93" s="15"/>
      <c r="CX93" s="15"/>
      <c r="CY93" s="15"/>
      <c r="CZ93" s="15"/>
      <c r="DA93" s="15"/>
      <c r="DB93" s="15"/>
      <c r="DC93" s="15"/>
    </row>
    <row r="94" spans="1:107" s="9" customFormat="1" ht="12.75" customHeight="1" x14ac:dyDescent="0.25">
      <c r="A94"/>
      <c r="B94" s="216">
        <v>4819</v>
      </c>
      <c r="C94" s="217"/>
      <c r="D94" s="168">
        <v>8586</v>
      </c>
      <c r="E94" s="172">
        <v>10566</v>
      </c>
      <c r="F94" s="172">
        <v>11303</v>
      </c>
      <c r="G94" s="172">
        <v>12604</v>
      </c>
      <c r="H94" s="172">
        <v>13676</v>
      </c>
      <c r="I94" s="172">
        <v>14415</v>
      </c>
      <c r="J94" s="172">
        <v>15192</v>
      </c>
      <c r="K94" s="172">
        <v>16238</v>
      </c>
      <c r="L94" s="172">
        <v>17241</v>
      </c>
      <c r="M94" s="172"/>
      <c r="N94" s="174"/>
      <c r="P94" s="127"/>
      <c r="Q94" s="15"/>
      <c r="R94" s="15"/>
      <c r="S94" s="15"/>
      <c r="T94" s="15"/>
      <c r="U94" s="15"/>
      <c r="V94" s="15"/>
      <c r="W94" s="15"/>
      <c r="X94" s="15"/>
      <c r="Y94" s="15"/>
      <c r="Z94" s="15"/>
      <c r="AA94" s="15"/>
      <c r="AB94" s="15"/>
      <c r="AC94" s="15"/>
      <c r="AD94" s="15"/>
      <c r="AE94" s="15"/>
      <c r="AF94" s="15"/>
      <c r="AG94" s="15"/>
      <c r="AH94" s="15"/>
      <c r="AI94" s="15"/>
      <c r="AJ94" s="15"/>
      <c r="AK94" s="15"/>
      <c r="AL94" s="15"/>
      <c r="AM94" s="15"/>
      <c r="AN94" s="15"/>
      <c r="AO94" s="15"/>
      <c r="AP94" s="15"/>
      <c r="AQ94" s="15"/>
      <c r="AR94" s="15"/>
      <c r="AS94" s="15"/>
      <c r="AT94" s="15"/>
      <c r="AU94" s="15"/>
      <c r="AV94" s="15"/>
      <c r="AW94" s="15"/>
      <c r="AX94" s="15"/>
      <c r="AY94" s="15"/>
      <c r="AZ94" s="15"/>
      <c r="BA94" s="15"/>
      <c r="BB94" s="15"/>
      <c r="BC94" s="15"/>
      <c r="BD94" s="15"/>
      <c r="BE94" s="15"/>
      <c r="BF94" s="15"/>
      <c r="BG94" s="15"/>
      <c r="BH94" s="15"/>
      <c r="BI94" s="15"/>
      <c r="BJ94" s="15"/>
      <c r="BK94" s="15"/>
      <c r="BL94" s="15"/>
      <c r="BM94" s="15"/>
      <c r="BN94" s="15"/>
      <c r="BO94" s="15"/>
      <c r="BP94" s="15"/>
      <c r="BQ94" s="15"/>
      <c r="BR94" s="15"/>
      <c r="BS94" s="15"/>
      <c r="BT94" s="15"/>
      <c r="BU94" s="15"/>
      <c r="BV94" s="15"/>
      <c r="BW94" s="15"/>
      <c r="BX94" s="15"/>
      <c r="BY94" s="15"/>
      <c r="BZ94" s="15"/>
      <c r="CA94" s="15"/>
      <c r="CB94" s="15"/>
      <c r="CC94" s="15"/>
      <c r="CD94" s="15"/>
      <c r="CE94" s="15"/>
      <c r="CF94" s="15"/>
      <c r="CG94" s="15"/>
      <c r="CH94" s="15"/>
      <c r="CI94" s="15"/>
      <c r="CJ94" s="15"/>
      <c r="CK94" s="15"/>
      <c r="CL94" s="15"/>
      <c r="CM94" s="15"/>
      <c r="CN94" s="15"/>
      <c r="CO94" s="15"/>
      <c r="CP94" s="15"/>
      <c r="CQ94" s="15"/>
      <c r="CR94" s="15"/>
      <c r="CS94" s="15"/>
      <c r="CT94" s="15"/>
      <c r="CU94" s="15"/>
      <c r="CV94" s="15"/>
      <c r="CW94" s="15"/>
      <c r="CX94" s="15"/>
      <c r="CY94" s="15"/>
      <c r="CZ94" s="15"/>
      <c r="DA94" s="15"/>
      <c r="DB94" s="15"/>
      <c r="DC94" s="15"/>
    </row>
    <row r="95" spans="1:107" s="9" customFormat="1" ht="12.75" customHeight="1" x14ac:dyDescent="0.25">
      <c r="A95"/>
      <c r="B95" s="216">
        <v>4881</v>
      </c>
      <c r="C95" s="217"/>
      <c r="D95" s="168">
        <v>8599</v>
      </c>
      <c r="E95" s="172">
        <v>10597</v>
      </c>
      <c r="F95" s="172">
        <v>11331</v>
      </c>
      <c r="G95" s="172">
        <v>12630</v>
      </c>
      <c r="H95" s="172">
        <v>13714</v>
      </c>
      <c r="I95" s="172">
        <v>14446</v>
      </c>
      <c r="J95" s="172">
        <v>15216</v>
      </c>
      <c r="K95" s="172">
        <v>16256</v>
      </c>
      <c r="L95" s="172">
        <v>17270</v>
      </c>
      <c r="M95" s="172"/>
      <c r="N95" s="174"/>
      <c r="P95" s="127"/>
      <c r="Q95" s="15"/>
      <c r="R95" s="15"/>
      <c r="S95" s="15"/>
      <c r="T95" s="15"/>
      <c r="U95" s="15"/>
      <c r="V95" s="15"/>
      <c r="W95" s="15"/>
      <c r="X95" s="15"/>
      <c r="Y95" s="15"/>
      <c r="Z95" s="15"/>
      <c r="AA95" s="15"/>
      <c r="AB95" s="15"/>
      <c r="AC95" s="15"/>
      <c r="AD95" s="15"/>
      <c r="AE95" s="15"/>
      <c r="AF95" s="15"/>
      <c r="AG95" s="15"/>
      <c r="AH95" s="15"/>
      <c r="AI95" s="15"/>
      <c r="AJ95" s="15"/>
      <c r="AK95" s="15"/>
      <c r="AL95" s="15"/>
      <c r="AM95" s="15"/>
      <c r="AN95" s="15"/>
      <c r="AO95" s="15"/>
      <c r="AP95" s="15"/>
      <c r="AQ95" s="15"/>
      <c r="AR95" s="15"/>
      <c r="AS95" s="15"/>
      <c r="AT95" s="15"/>
      <c r="AU95" s="15"/>
      <c r="AV95" s="15"/>
      <c r="AW95" s="15"/>
      <c r="AX95" s="15"/>
      <c r="AY95" s="15"/>
      <c r="AZ95" s="15"/>
      <c r="BA95" s="15"/>
      <c r="BB95" s="15"/>
      <c r="BC95" s="15"/>
      <c r="BD95" s="15"/>
      <c r="BE95" s="15"/>
      <c r="BF95" s="15"/>
      <c r="BG95" s="15"/>
      <c r="BH95" s="15"/>
      <c r="BI95" s="15"/>
      <c r="BJ95" s="15"/>
      <c r="BK95" s="15"/>
      <c r="BL95" s="15"/>
      <c r="BM95" s="15"/>
      <c r="BN95" s="15"/>
      <c r="BO95" s="15"/>
      <c r="BP95" s="15"/>
      <c r="BQ95" s="15"/>
      <c r="BR95" s="15"/>
      <c r="BS95" s="15"/>
      <c r="BT95" s="15"/>
      <c r="BU95" s="15"/>
      <c r="BV95" s="15"/>
      <c r="BW95" s="15"/>
      <c r="BX95" s="15"/>
      <c r="BY95" s="15"/>
      <c r="BZ95" s="15"/>
      <c r="CA95" s="15"/>
      <c r="CB95" s="15"/>
      <c r="CC95" s="15"/>
      <c r="CD95" s="15"/>
      <c r="CE95" s="15"/>
      <c r="CF95" s="15"/>
      <c r="CG95" s="15"/>
      <c r="CH95" s="15"/>
      <c r="CI95" s="15"/>
      <c r="CJ95" s="15"/>
      <c r="CK95" s="15"/>
      <c r="CL95" s="15"/>
      <c r="CM95" s="15"/>
      <c r="CN95" s="15"/>
      <c r="CO95" s="15"/>
      <c r="CP95" s="15"/>
      <c r="CQ95" s="15"/>
      <c r="CR95" s="15"/>
      <c r="CS95" s="15"/>
      <c r="CT95" s="15"/>
      <c r="CU95" s="15"/>
      <c r="CV95" s="15"/>
      <c r="CW95" s="15"/>
      <c r="CX95" s="15"/>
      <c r="CY95" s="15"/>
      <c r="CZ95" s="15"/>
      <c r="DA95" s="15"/>
      <c r="DB95" s="15"/>
      <c r="DC95" s="15"/>
    </row>
    <row r="96" spans="1:107" s="9" customFormat="1" ht="12" customHeight="1" x14ac:dyDescent="0.25">
      <c r="A96"/>
      <c r="B96" s="216">
        <v>4884</v>
      </c>
      <c r="C96" s="217"/>
      <c r="D96" s="172">
        <v>8607</v>
      </c>
      <c r="E96" s="172">
        <v>10599</v>
      </c>
      <c r="F96" s="172">
        <v>11352</v>
      </c>
      <c r="G96" s="172">
        <v>12643</v>
      </c>
      <c r="H96" s="172">
        <v>13715</v>
      </c>
      <c r="I96" s="172">
        <v>14523</v>
      </c>
      <c r="J96" s="172">
        <v>15286</v>
      </c>
      <c r="K96" s="172">
        <v>16267</v>
      </c>
      <c r="L96" s="172">
        <v>17271</v>
      </c>
      <c r="M96" s="172"/>
      <c r="N96" s="174"/>
      <c r="P96" s="127"/>
      <c r="Q96" s="15"/>
      <c r="R96" s="15"/>
      <c r="S96" s="15"/>
      <c r="T96" s="15"/>
      <c r="U96" s="15"/>
      <c r="V96" s="15"/>
      <c r="W96" s="15"/>
      <c r="X96" s="15"/>
      <c r="Y96" s="15"/>
      <c r="Z96" s="15"/>
      <c r="AA96" s="15"/>
      <c r="AB96" s="15"/>
      <c r="AC96" s="15"/>
      <c r="AD96" s="15"/>
      <c r="AE96" s="15"/>
      <c r="AF96" s="15"/>
      <c r="AG96" s="15"/>
      <c r="AH96" s="15"/>
      <c r="AI96" s="15"/>
      <c r="AJ96" s="15"/>
      <c r="AK96" s="15"/>
      <c r="AL96" s="15"/>
      <c r="AM96" s="15"/>
      <c r="AN96" s="15"/>
      <c r="AO96" s="15"/>
      <c r="AP96" s="15"/>
      <c r="AQ96" s="15"/>
      <c r="AR96" s="15"/>
      <c r="AS96" s="15"/>
      <c r="AT96" s="15"/>
      <c r="AU96" s="15"/>
      <c r="AV96" s="15"/>
      <c r="AW96" s="15"/>
      <c r="AX96" s="15"/>
      <c r="AY96" s="15"/>
      <c r="AZ96" s="15"/>
      <c r="BA96" s="15"/>
      <c r="BB96" s="15"/>
      <c r="BC96" s="15"/>
      <c r="BD96" s="15"/>
      <c r="BE96" s="15"/>
      <c r="BF96" s="15"/>
      <c r="BG96" s="15"/>
      <c r="BH96" s="15"/>
      <c r="BI96" s="15"/>
      <c r="BJ96" s="15"/>
      <c r="BK96" s="15"/>
      <c r="BL96" s="15"/>
      <c r="BM96" s="15"/>
      <c r="BN96" s="15"/>
      <c r="BO96" s="15"/>
      <c r="BP96" s="15"/>
      <c r="BQ96" s="15"/>
      <c r="BR96" s="15"/>
      <c r="BS96" s="15"/>
      <c r="BT96" s="15"/>
      <c r="BU96" s="15"/>
      <c r="BV96" s="15"/>
      <c r="BW96" s="15"/>
      <c r="BX96" s="15"/>
      <c r="BY96" s="15"/>
      <c r="BZ96" s="15"/>
      <c r="CA96" s="15"/>
      <c r="CB96" s="15"/>
      <c r="CC96" s="15"/>
      <c r="CD96" s="15"/>
      <c r="CE96" s="15"/>
      <c r="CF96" s="15"/>
      <c r="CG96" s="15"/>
      <c r="CH96" s="15"/>
      <c r="CI96" s="15"/>
      <c r="CJ96" s="15"/>
      <c r="CK96" s="15"/>
      <c r="CL96" s="15"/>
      <c r="CM96" s="15"/>
      <c r="CN96" s="15"/>
      <c r="CO96" s="15"/>
      <c r="CP96" s="15"/>
      <c r="CQ96" s="15"/>
      <c r="CR96" s="15"/>
      <c r="CS96" s="15"/>
      <c r="CT96" s="15"/>
      <c r="CU96" s="15"/>
      <c r="CV96" s="15"/>
      <c r="CW96" s="15"/>
      <c r="CX96" s="15"/>
      <c r="CY96" s="15"/>
      <c r="CZ96" s="15"/>
      <c r="DA96" s="15"/>
      <c r="DB96" s="15"/>
      <c r="DC96" s="15"/>
    </row>
    <row r="97" spans="1:107" s="9" customFormat="1" ht="12" customHeight="1" x14ac:dyDescent="0.25">
      <c r="A97"/>
      <c r="B97" s="216">
        <v>4898</v>
      </c>
      <c r="C97" s="217"/>
      <c r="D97" s="172">
        <v>8609</v>
      </c>
      <c r="E97" s="168">
        <v>10608</v>
      </c>
      <c r="F97" s="172">
        <v>11367</v>
      </c>
      <c r="G97" s="172">
        <v>12691</v>
      </c>
      <c r="H97" s="172">
        <v>13717</v>
      </c>
      <c r="I97" s="172">
        <v>14524</v>
      </c>
      <c r="J97" s="172">
        <v>15288</v>
      </c>
      <c r="K97" s="172">
        <v>16277</v>
      </c>
      <c r="L97" s="172">
        <v>17276</v>
      </c>
      <c r="M97" s="172"/>
      <c r="N97" s="174"/>
      <c r="P97" s="127"/>
      <c r="Q97" s="15"/>
      <c r="R97" s="15"/>
      <c r="S97" s="15"/>
      <c r="T97" s="15"/>
      <c r="U97" s="15"/>
      <c r="V97" s="15"/>
      <c r="W97" s="15"/>
      <c r="X97" s="15"/>
      <c r="Y97" s="15"/>
      <c r="Z97" s="15"/>
      <c r="AA97" s="15"/>
      <c r="AB97" s="15"/>
      <c r="AC97" s="15"/>
      <c r="AD97" s="15"/>
      <c r="AE97" s="15"/>
      <c r="AF97" s="15"/>
      <c r="AG97" s="15"/>
      <c r="AH97" s="15"/>
      <c r="AI97" s="15"/>
      <c r="AJ97" s="15"/>
      <c r="AK97" s="15"/>
      <c r="AL97" s="15"/>
      <c r="AM97" s="15"/>
      <c r="AN97" s="15"/>
      <c r="AO97" s="15"/>
      <c r="AP97" s="15"/>
      <c r="AQ97" s="15"/>
      <c r="AR97" s="15"/>
      <c r="AS97" s="15"/>
      <c r="AT97" s="15"/>
      <c r="AU97" s="15"/>
      <c r="AV97" s="15"/>
      <c r="AW97" s="15"/>
      <c r="AX97" s="15"/>
      <c r="AY97" s="15"/>
      <c r="AZ97" s="15"/>
      <c r="BA97" s="15"/>
      <c r="BB97" s="15"/>
      <c r="BC97" s="15"/>
      <c r="BD97" s="15"/>
      <c r="BE97" s="15"/>
      <c r="BF97" s="15"/>
      <c r="BG97" s="15"/>
      <c r="BH97" s="15"/>
      <c r="BI97" s="15"/>
      <c r="BJ97" s="15"/>
      <c r="BK97" s="15"/>
      <c r="BL97" s="15"/>
      <c r="BM97" s="15"/>
      <c r="BN97" s="15"/>
      <c r="BO97" s="15"/>
      <c r="BP97" s="15"/>
      <c r="BQ97" s="15"/>
      <c r="BR97" s="15"/>
      <c r="BS97" s="15"/>
      <c r="BT97" s="15"/>
      <c r="BU97" s="15"/>
      <c r="BV97" s="15"/>
      <c r="BW97" s="15"/>
      <c r="BX97" s="15"/>
      <c r="BY97" s="15"/>
      <c r="BZ97" s="15"/>
      <c r="CA97" s="15"/>
      <c r="CB97" s="15"/>
      <c r="CC97" s="15"/>
      <c r="CD97" s="15"/>
      <c r="CE97" s="15"/>
      <c r="CF97" s="15"/>
      <c r="CG97" s="15"/>
      <c r="CH97" s="15"/>
      <c r="CI97" s="15"/>
      <c r="CJ97" s="15"/>
      <c r="CK97" s="15"/>
      <c r="CL97" s="15"/>
      <c r="CM97" s="15"/>
      <c r="CN97" s="15"/>
      <c r="CO97" s="15"/>
      <c r="CP97" s="15"/>
      <c r="CQ97" s="15"/>
      <c r="CR97" s="15"/>
      <c r="CS97" s="15"/>
      <c r="CT97" s="15"/>
      <c r="CU97" s="15"/>
      <c r="CV97" s="15"/>
      <c r="CW97" s="15"/>
      <c r="CX97" s="15"/>
      <c r="CY97" s="15"/>
      <c r="CZ97" s="15"/>
      <c r="DA97" s="15"/>
      <c r="DB97" s="15"/>
      <c r="DC97" s="15"/>
    </row>
    <row r="98" spans="1:107" s="9" customFormat="1" ht="12.75" customHeight="1" x14ac:dyDescent="0.25">
      <c r="A98"/>
      <c r="B98" s="216">
        <v>4932</v>
      </c>
      <c r="C98" s="217"/>
      <c r="D98" s="172">
        <v>8632</v>
      </c>
      <c r="E98" s="172">
        <v>10609</v>
      </c>
      <c r="F98" s="172">
        <v>11379</v>
      </c>
      <c r="G98" s="172">
        <v>12695</v>
      </c>
      <c r="H98" s="172">
        <v>13739</v>
      </c>
      <c r="I98" s="172">
        <v>14526</v>
      </c>
      <c r="J98" s="172">
        <v>15300</v>
      </c>
      <c r="K98" s="172">
        <v>16278</v>
      </c>
      <c r="L98" s="172">
        <v>17294</v>
      </c>
      <c r="M98" s="172"/>
      <c r="N98" s="174"/>
      <c r="P98" s="127"/>
      <c r="Q98" s="15"/>
      <c r="R98" s="15"/>
      <c r="S98" s="15"/>
      <c r="T98" s="15"/>
      <c r="U98" s="15"/>
      <c r="V98" s="15"/>
      <c r="W98" s="15"/>
      <c r="X98" s="15"/>
      <c r="Y98" s="15"/>
      <c r="Z98" s="15"/>
      <c r="AA98" s="15"/>
      <c r="AB98" s="15"/>
      <c r="AC98" s="15"/>
      <c r="AD98" s="15"/>
      <c r="AE98" s="15"/>
      <c r="AF98" s="15"/>
      <c r="AG98" s="15"/>
      <c r="AH98" s="15"/>
      <c r="AI98" s="15"/>
      <c r="AJ98" s="15"/>
      <c r="AK98" s="15"/>
      <c r="AL98" s="15"/>
      <c r="AM98" s="15"/>
      <c r="AN98" s="15"/>
      <c r="AO98" s="15"/>
      <c r="AP98" s="15"/>
      <c r="AQ98" s="15"/>
      <c r="AR98" s="15"/>
      <c r="AS98" s="15"/>
      <c r="AT98" s="15"/>
      <c r="AU98" s="15"/>
      <c r="AV98" s="15"/>
      <c r="AW98" s="15"/>
      <c r="AX98" s="15"/>
      <c r="AY98" s="15"/>
      <c r="AZ98" s="15"/>
      <c r="BA98" s="15"/>
      <c r="BB98" s="15"/>
      <c r="BC98" s="15"/>
      <c r="BD98" s="15"/>
      <c r="BE98" s="15"/>
      <c r="BF98" s="15"/>
      <c r="BG98" s="15"/>
      <c r="BH98" s="15"/>
      <c r="BI98" s="15"/>
      <c r="BJ98" s="15"/>
      <c r="BK98" s="15"/>
      <c r="BL98" s="15"/>
      <c r="BM98" s="15"/>
      <c r="BN98" s="15"/>
      <c r="BO98" s="15"/>
      <c r="BP98" s="15"/>
      <c r="BQ98" s="15"/>
      <c r="BR98" s="15"/>
      <c r="BS98" s="15"/>
      <c r="BT98" s="15"/>
      <c r="BU98" s="15"/>
      <c r="BV98" s="15"/>
      <c r="BW98" s="15"/>
      <c r="BX98" s="15"/>
      <c r="BY98" s="15"/>
      <c r="BZ98" s="15"/>
      <c r="CA98" s="15"/>
      <c r="CB98" s="15"/>
      <c r="CC98" s="15"/>
      <c r="CD98" s="15"/>
      <c r="CE98" s="15"/>
      <c r="CF98" s="15"/>
      <c r="CG98" s="15"/>
      <c r="CH98" s="15"/>
      <c r="CI98" s="15"/>
      <c r="CJ98" s="15"/>
      <c r="CK98" s="15"/>
      <c r="CL98" s="15"/>
      <c r="CM98" s="15"/>
      <c r="CN98" s="15"/>
      <c r="CO98" s="15"/>
      <c r="CP98" s="15"/>
      <c r="CQ98" s="15"/>
      <c r="CR98" s="15"/>
      <c r="CS98" s="15"/>
      <c r="CT98" s="15"/>
      <c r="CU98" s="15"/>
      <c r="CV98" s="15"/>
      <c r="CW98" s="15"/>
      <c r="CX98" s="15"/>
      <c r="CY98" s="15"/>
      <c r="CZ98" s="15"/>
      <c r="DA98" s="15"/>
      <c r="DB98" s="15"/>
      <c r="DC98" s="15"/>
    </row>
    <row r="99" spans="1:107" s="9" customFormat="1" ht="12" customHeight="1" x14ac:dyDescent="0.25">
      <c r="A99"/>
      <c r="B99" s="216">
        <v>4936</v>
      </c>
      <c r="C99" s="217"/>
      <c r="D99" s="172">
        <v>8641</v>
      </c>
      <c r="E99" s="172">
        <v>10621</v>
      </c>
      <c r="F99" s="172">
        <v>11407</v>
      </c>
      <c r="G99" s="172">
        <v>12697</v>
      </c>
      <c r="H99" s="172">
        <v>13757</v>
      </c>
      <c r="I99" s="172">
        <v>14527</v>
      </c>
      <c r="J99" s="172">
        <v>15312</v>
      </c>
      <c r="K99" s="172">
        <v>16282</v>
      </c>
      <c r="L99" s="172">
        <v>17295</v>
      </c>
      <c r="M99" s="172"/>
      <c r="N99" s="174"/>
      <c r="P99" s="127"/>
      <c r="Q99" s="15"/>
      <c r="R99" s="15"/>
      <c r="S99" s="15"/>
      <c r="T99" s="15"/>
      <c r="U99" s="15"/>
      <c r="V99" s="15"/>
      <c r="W99" s="15"/>
      <c r="X99" s="15"/>
      <c r="Y99" s="15"/>
      <c r="Z99" s="15"/>
      <c r="AA99" s="15"/>
      <c r="AB99" s="15"/>
      <c r="AC99" s="15"/>
      <c r="AD99" s="15"/>
      <c r="AE99" s="15"/>
      <c r="AF99" s="15"/>
      <c r="AG99" s="15"/>
      <c r="AH99" s="15"/>
      <c r="AI99" s="15"/>
      <c r="AJ99" s="15"/>
      <c r="AK99" s="15"/>
      <c r="AL99" s="15"/>
      <c r="AM99" s="15"/>
      <c r="AN99" s="15"/>
      <c r="AO99" s="15"/>
      <c r="AP99" s="15"/>
      <c r="AQ99" s="15"/>
      <c r="AR99" s="15"/>
      <c r="AS99" s="15"/>
      <c r="AT99" s="15"/>
      <c r="AU99" s="15"/>
      <c r="AV99" s="15"/>
      <c r="AW99" s="15"/>
      <c r="AX99" s="15"/>
      <c r="AY99" s="15"/>
      <c r="AZ99" s="15"/>
      <c r="BA99" s="15"/>
      <c r="BB99" s="15"/>
      <c r="BC99" s="15"/>
      <c r="BD99" s="15"/>
      <c r="BE99" s="15"/>
      <c r="BF99" s="15"/>
      <c r="BG99" s="15"/>
      <c r="BH99" s="15"/>
      <c r="BI99" s="15"/>
      <c r="BJ99" s="15"/>
      <c r="BK99" s="15"/>
      <c r="BL99" s="15"/>
      <c r="BM99" s="15"/>
      <c r="BN99" s="15"/>
      <c r="BO99" s="15"/>
      <c r="BP99" s="15"/>
      <c r="BQ99" s="15"/>
      <c r="BR99" s="15"/>
      <c r="BS99" s="15"/>
      <c r="BT99" s="15"/>
      <c r="BU99" s="15"/>
      <c r="BV99" s="15"/>
      <c r="BW99" s="15"/>
      <c r="BX99" s="15"/>
      <c r="BY99" s="15"/>
      <c r="BZ99" s="15"/>
      <c r="CA99" s="15"/>
      <c r="CB99" s="15"/>
      <c r="CC99" s="15"/>
      <c r="CD99" s="15"/>
      <c r="CE99" s="15"/>
      <c r="CF99" s="15"/>
      <c r="CG99" s="15"/>
      <c r="CH99" s="15"/>
      <c r="CI99" s="15"/>
      <c r="CJ99" s="15"/>
      <c r="CK99" s="15"/>
      <c r="CL99" s="15"/>
      <c r="CM99" s="15"/>
      <c r="CN99" s="15"/>
      <c r="CO99" s="15"/>
      <c r="CP99" s="15"/>
      <c r="CQ99" s="15"/>
      <c r="CR99" s="15"/>
      <c r="CS99" s="15"/>
      <c r="CT99" s="15"/>
      <c r="CU99" s="15"/>
      <c r="CV99" s="15"/>
      <c r="CW99" s="15"/>
      <c r="CX99" s="15"/>
      <c r="CY99" s="15"/>
      <c r="CZ99" s="15"/>
      <c r="DA99" s="15"/>
      <c r="DB99" s="15"/>
      <c r="DC99" s="15"/>
    </row>
    <row r="100" spans="1:107" s="9" customFormat="1" ht="12" customHeight="1" x14ac:dyDescent="0.25">
      <c r="A100"/>
      <c r="B100" s="205">
        <v>5000</v>
      </c>
      <c r="C100" s="206"/>
      <c r="D100" s="168">
        <v>8651</v>
      </c>
      <c r="E100" s="172">
        <v>10626</v>
      </c>
      <c r="F100" s="172">
        <v>11421</v>
      </c>
      <c r="G100" s="172">
        <v>12760</v>
      </c>
      <c r="H100" s="172">
        <v>13779</v>
      </c>
      <c r="I100" s="172">
        <v>14531</v>
      </c>
      <c r="J100" s="172">
        <v>15343</v>
      </c>
      <c r="K100" s="172">
        <v>16283</v>
      </c>
      <c r="L100" s="172">
        <v>17302</v>
      </c>
      <c r="M100" s="172"/>
      <c r="N100" s="174"/>
      <c r="P100" s="127"/>
      <c r="Q100" s="15"/>
      <c r="R100" s="15"/>
      <c r="S100" s="15"/>
      <c r="T100" s="15"/>
      <c r="U100" s="15"/>
      <c r="V100" s="15"/>
      <c r="W100" s="15"/>
      <c r="X100" s="15"/>
      <c r="Y100" s="15"/>
      <c r="Z100" s="15"/>
      <c r="AA100" s="15"/>
      <c r="AB100" s="15"/>
      <c r="AC100" s="15"/>
      <c r="AD100" s="15"/>
      <c r="AE100" s="15"/>
      <c r="AF100" s="15"/>
      <c r="AG100" s="15"/>
      <c r="AH100" s="15"/>
      <c r="AI100" s="15"/>
      <c r="AJ100" s="15"/>
      <c r="AK100" s="15"/>
      <c r="AL100" s="15"/>
      <c r="AM100" s="15"/>
      <c r="AN100" s="15"/>
      <c r="AO100" s="15"/>
      <c r="AP100" s="15"/>
      <c r="AQ100" s="15"/>
      <c r="AR100" s="15"/>
      <c r="AS100" s="15"/>
      <c r="AT100" s="15"/>
      <c r="AU100" s="15"/>
      <c r="AV100" s="15"/>
      <c r="AW100" s="15"/>
      <c r="AX100" s="15"/>
      <c r="AY100" s="15"/>
      <c r="AZ100" s="15"/>
      <c r="BA100" s="15"/>
      <c r="BB100" s="15"/>
      <c r="BC100" s="15"/>
      <c r="BD100" s="15"/>
      <c r="BE100" s="15"/>
      <c r="BF100" s="15"/>
      <c r="BG100" s="15"/>
      <c r="BH100" s="15"/>
      <c r="BI100" s="15"/>
      <c r="BJ100" s="15"/>
      <c r="BK100" s="15"/>
      <c r="BL100" s="15"/>
      <c r="BM100" s="15"/>
      <c r="BN100" s="15"/>
      <c r="BO100" s="15"/>
      <c r="BP100" s="15"/>
      <c r="BQ100" s="15"/>
      <c r="BR100" s="15"/>
      <c r="BS100" s="15"/>
      <c r="BT100" s="15"/>
      <c r="BU100" s="15"/>
      <c r="BV100" s="15"/>
      <c r="BW100" s="15"/>
      <c r="BX100" s="15"/>
      <c r="BY100" s="15"/>
      <c r="BZ100" s="15"/>
      <c r="CA100" s="15"/>
      <c r="CB100" s="15"/>
      <c r="CC100" s="15"/>
      <c r="CD100" s="15"/>
      <c r="CE100" s="15"/>
      <c r="CF100" s="15"/>
      <c r="CG100" s="15"/>
      <c r="CH100" s="15"/>
      <c r="CI100" s="15"/>
      <c r="CJ100" s="15"/>
      <c r="CK100" s="15"/>
      <c r="CL100" s="15"/>
      <c r="CM100" s="15"/>
      <c r="CN100" s="15"/>
      <c r="CO100" s="15"/>
      <c r="CP100" s="15"/>
      <c r="CQ100" s="15"/>
      <c r="CR100" s="15"/>
      <c r="CS100" s="15"/>
      <c r="CT100" s="15"/>
      <c r="CU100" s="15"/>
      <c r="CV100" s="15"/>
      <c r="CW100" s="15"/>
      <c r="CX100" s="15"/>
      <c r="CY100" s="15"/>
      <c r="CZ100" s="15"/>
      <c r="DA100" s="15"/>
      <c r="DB100" s="15"/>
      <c r="DC100" s="15"/>
    </row>
    <row r="101" spans="1:107" s="9" customFormat="1" ht="12" customHeight="1" x14ac:dyDescent="0.25">
      <c r="A101"/>
      <c r="B101" s="205">
        <v>5151</v>
      </c>
      <c r="C101" s="206"/>
      <c r="D101" s="172">
        <v>8668</v>
      </c>
      <c r="E101" s="172">
        <v>10643</v>
      </c>
      <c r="F101" s="172">
        <v>11428</v>
      </c>
      <c r="G101" s="172">
        <v>12765</v>
      </c>
      <c r="H101" s="172">
        <v>13785</v>
      </c>
      <c r="I101" s="172">
        <v>14532</v>
      </c>
      <c r="J101" s="172">
        <v>15348</v>
      </c>
      <c r="K101" s="172">
        <v>16286</v>
      </c>
      <c r="L101" s="172">
        <v>17313</v>
      </c>
      <c r="M101" s="172"/>
      <c r="N101" s="174"/>
      <c r="P101" s="127"/>
      <c r="Q101" s="15"/>
      <c r="R101" s="15"/>
      <c r="S101" s="15"/>
      <c r="T101" s="15"/>
      <c r="U101" s="15"/>
      <c r="V101" s="15"/>
      <c r="W101" s="15"/>
      <c r="X101" s="15"/>
      <c r="Y101" s="15"/>
      <c r="Z101" s="15"/>
      <c r="AA101" s="15"/>
      <c r="AB101" s="15"/>
      <c r="AC101" s="15"/>
      <c r="AD101" s="15"/>
      <c r="AE101" s="15"/>
      <c r="AF101" s="15"/>
      <c r="AG101" s="15"/>
      <c r="AH101" s="15"/>
      <c r="AI101" s="15"/>
      <c r="AJ101" s="15"/>
      <c r="AK101" s="15"/>
      <c r="AL101" s="15"/>
      <c r="AM101" s="15"/>
      <c r="AN101" s="15"/>
      <c r="AO101" s="15"/>
      <c r="AP101" s="15"/>
      <c r="AQ101" s="15"/>
      <c r="AR101" s="15"/>
      <c r="AS101" s="15"/>
      <c r="AT101" s="15"/>
      <c r="AU101" s="15"/>
      <c r="AV101" s="15"/>
      <c r="AW101" s="15"/>
      <c r="AX101" s="15"/>
      <c r="AY101" s="15"/>
      <c r="AZ101" s="15"/>
      <c r="BA101" s="15"/>
      <c r="BB101" s="15"/>
      <c r="BC101" s="15"/>
      <c r="BD101" s="15"/>
      <c r="BE101" s="15"/>
      <c r="BF101" s="15"/>
      <c r="BG101" s="15"/>
      <c r="BH101" s="15"/>
      <c r="BI101" s="15"/>
      <c r="BJ101" s="15"/>
      <c r="BK101" s="15"/>
      <c r="BL101" s="15"/>
      <c r="BM101" s="15"/>
      <c r="BN101" s="15"/>
      <c r="BO101" s="15"/>
      <c r="BP101" s="15"/>
      <c r="BQ101" s="15"/>
      <c r="BR101" s="15"/>
      <c r="BS101" s="15"/>
      <c r="BT101" s="15"/>
      <c r="BU101" s="15"/>
      <c r="BV101" s="15"/>
      <c r="BW101" s="15"/>
      <c r="BX101" s="15"/>
      <c r="BY101" s="15"/>
      <c r="BZ101" s="15"/>
      <c r="CA101" s="15"/>
      <c r="CB101" s="15"/>
      <c r="CC101" s="15"/>
      <c r="CD101" s="15"/>
      <c r="CE101" s="15"/>
      <c r="CF101" s="15"/>
      <c r="CG101" s="15"/>
      <c r="CH101" s="15"/>
      <c r="CI101" s="15"/>
      <c r="CJ101" s="15"/>
      <c r="CK101" s="15"/>
      <c r="CL101" s="15"/>
      <c r="CM101" s="15"/>
      <c r="CN101" s="15"/>
      <c r="CO101" s="15"/>
      <c r="CP101" s="15"/>
      <c r="CQ101" s="15"/>
      <c r="CR101" s="15"/>
      <c r="CS101" s="15"/>
      <c r="CT101" s="15"/>
      <c r="CU101" s="15"/>
      <c r="CV101" s="15"/>
      <c r="CW101" s="15"/>
      <c r="CX101" s="15"/>
      <c r="CY101" s="15"/>
      <c r="CZ101" s="15"/>
      <c r="DA101" s="15"/>
      <c r="DB101" s="15"/>
      <c r="DC101" s="15"/>
    </row>
    <row r="102" spans="1:107" s="9" customFormat="1" ht="12" customHeight="1" x14ac:dyDescent="0.25">
      <c r="A102"/>
      <c r="B102" s="205">
        <v>5152</v>
      </c>
      <c r="C102" s="206"/>
      <c r="D102" s="168">
        <v>8673</v>
      </c>
      <c r="E102" s="172">
        <v>10644</v>
      </c>
      <c r="F102" s="172">
        <v>11444</v>
      </c>
      <c r="G102" s="172">
        <v>12788</v>
      </c>
      <c r="H102" s="172">
        <v>13788</v>
      </c>
      <c r="I102" s="172">
        <v>14540</v>
      </c>
      <c r="J102" s="172">
        <v>15349</v>
      </c>
      <c r="K102" s="172">
        <v>16292</v>
      </c>
      <c r="L102" s="172">
        <v>17307</v>
      </c>
      <c r="M102" s="172"/>
      <c r="N102" s="174"/>
      <c r="P102" s="127"/>
      <c r="Q102" s="15"/>
      <c r="R102" s="15"/>
      <c r="S102" s="15"/>
      <c r="T102" s="15"/>
      <c r="U102" s="15"/>
      <c r="V102" s="15"/>
      <c r="W102" s="15"/>
      <c r="X102" s="15"/>
      <c r="Y102" s="15"/>
      <c r="Z102" s="15"/>
      <c r="AA102" s="15"/>
      <c r="AB102" s="15"/>
      <c r="AC102" s="15"/>
      <c r="AD102" s="15"/>
      <c r="AE102" s="15"/>
      <c r="AF102" s="15"/>
      <c r="AG102" s="15"/>
      <c r="AH102" s="15"/>
      <c r="AI102" s="15"/>
      <c r="AJ102" s="15"/>
      <c r="AK102" s="15"/>
      <c r="AL102" s="15"/>
      <c r="AM102" s="15"/>
      <c r="AN102" s="15"/>
      <c r="AO102" s="15"/>
      <c r="AP102" s="15"/>
      <c r="AQ102" s="15"/>
      <c r="AR102" s="15"/>
      <c r="AS102" s="15"/>
      <c r="AT102" s="15"/>
      <c r="AU102" s="15"/>
      <c r="AV102" s="15"/>
      <c r="AW102" s="15"/>
      <c r="AX102" s="15"/>
      <c r="AY102" s="15"/>
      <c r="AZ102" s="15"/>
      <c r="BA102" s="15"/>
      <c r="BB102" s="15"/>
      <c r="BC102" s="15"/>
      <c r="BD102" s="15"/>
      <c r="BE102" s="15"/>
      <c r="BF102" s="15"/>
      <c r="BG102" s="15"/>
      <c r="BH102" s="15"/>
      <c r="BI102" s="15"/>
      <c r="BJ102" s="15"/>
      <c r="BK102" s="15"/>
      <c r="BL102" s="15"/>
      <c r="BM102" s="15"/>
      <c r="BN102" s="15"/>
      <c r="BO102" s="15"/>
      <c r="BP102" s="15"/>
      <c r="BQ102" s="15"/>
      <c r="BR102" s="15"/>
      <c r="BS102" s="15"/>
      <c r="BT102" s="15"/>
      <c r="BU102" s="15"/>
      <c r="BV102" s="15"/>
      <c r="BW102" s="15"/>
      <c r="BX102" s="15"/>
      <c r="BY102" s="15"/>
      <c r="BZ102" s="15"/>
      <c r="CA102" s="15"/>
      <c r="CB102" s="15"/>
      <c r="CC102" s="15"/>
      <c r="CD102" s="15"/>
      <c r="CE102" s="15"/>
      <c r="CF102" s="15"/>
      <c r="CG102" s="15"/>
      <c r="CH102" s="15"/>
      <c r="CI102" s="15"/>
      <c r="CJ102" s="15"/>
      <c r="CK102" s="15"/>
      <c r="CL102" s="15"/>
      <c r="CM102" s="15"/>
      <c r="CN102" s="15"/>
      <c r="CO102" s="15"/>
      <c r="CP102" s="15"/>
      <c r="CQ102" s="15"/>
      <c r="CR102" s="15"/>
      <c r="CS102" s="15"/>
      <c r="CT102" s="15"/>
      <c r="CU102" s="15"/>
      <c r="CV102" s="15"/>
      <c r="CW102" s="15"/>
      <c r="CX102" s="15"/>
      <c r="CY102" s="15"/>
      <c r="CZ102" s="15"/>
      <c r="DA102" s="15"/>
      <c r="DB102" s="15"/>
      <c r="DC102" s="15"/>
    </row>
    <row r="103" spans="1:107" s="9" customFormat="1" ht="12" customHeight="1" x14ac:dyDescent="0.25">
      <c r="A103"/>
      <c r="B103" s="216">
        <v>5153</v>
      </c>
      <c r="C103" s="217"/>
      <c r="D103" s="172">
        <v>8682</v>
      </c>
      <c r="E103" s="172">
        <v>10649</v>
      </c>
      <c r="F103" s="172">
        <v>11457</v>
      </c>
      <c r="G103" s="172">
        <v>12789</v>
      </c>
      <c r="H103" s="172">
        <v>13837</v>
      </c>
      <c r="I103" s="172">
        <v>14576</v>
      </c>
      <c r="J103" s="172">
        <v>15352</v>
      </c>
      <c r="K103" s="172">
        <v>16294</v>
      </c>
      <c r="L103" s="172">
        <v>17351</v>
      </c>
      <c r="M103" s="172"/>
      <c r="N103" s="174"/>
      <c r="P103" s="127"/>
      <c r="Q103" s="15"/>
      <c r="R103" s="15"/>
      <c r="S103" s="15"/>
      <c r="T103" s="15"/>
      <c r="U103" s="15"/>
      <c r="V103" s="15"/>
      <c r="W103" s="15"/>
      <c r="X103" s="15"/>
      <c r="Y103" s="15"/>
      <c r="Z103" s="15"/>
      <c r="AA103" s="15"/>
      <c r="AB103" s="15"/>
      <c r="AC103" s="15"/>
      <c r="AD103" s="15"/>
      <c r="AE103" s="15"/>
      <c r="AF103" s="15"/>
      <c r="AG103" s="15"/>
      <c r="AH103" s="15"/>
      <c r="AI103" s="15"/>
      <c r="AJ103" s="15"/>
      <c r="AK103" s="15"/>
      <c r="AL103" s="15"/>
      <c r="AM103" s="15"/>
      <c r="AN103" s="15"/>
      <c r="AO103" s="15"/>
      <c r="AP103" s="15"/>
      <c r="AQ103" s="15"/>
      <c r="AR103" s="15"/>
      <c r="AS103" s="15"/>
      <c r="AT103" s="15"/>
      <c r="AU103" s="15"/>
      <c r="AV103" s="15"/>
      <c r="AW103" s="15"/>
      <c r="AX103" s="15"/>
      <c r="AY103" s="15"/>
      <c r="AZ103" s="15"/>
      <c r="BA103" s="15"/>
      <c r="BB103" s="15"/>
      <c r="BC103" s="15"/>
      <c r="BD103" s="15"/>
      <c r="BE103" s="15"/>
      <c r="BF103" s="15"/>
      <c r="BG103" s="15"/>
      <c r="BH103" s="15"/>
      <c r="BI103" s="15"/>
      <c r="BJ103" s="15"/>
      <c r="BK103" s="15"/>
      <c r="BL103" s="15"/>
      <c r="BM103" s="15"/>
      <c r="BN103" s="15"/>
      <c r="BO103" s="15"/>
      <c r="BP103" s="15"/>
      <c r="BQ103" s="15"/>
      <c r="BR103" s="15"/>
      <c r="BS103" s="15"/>
      <c r="BT103" s="15"/>
      <c r="BU103" s="15"/>
      <c r="BV103" s="15"/>
      <c r="BW103" s="15"/>
      <c r="BX103" s="15"/>
      <c r="BY103" s="15"/>
      <c r="BZ103" s="15"/>
      <c r="CA103" s="15"/>
      <c r="CB103" s="15"/>
      <c r="CC103" s="15"/>
      <c r="CD103" s="15"/>
      <c r="CE103" s="15"/>
      <c r="CF103" s="15"/>
      <c r="CG103" s="15"/>
      <c r="CH103" s="15"/>
      <c r="CI103" s="15"/>
      <c r="CJ103" s="15"/>
      <c r="CK103" s="15"/>
      <c r="CL103" s="15"/>
      <c r="CM103" s="15"/>
      <c r="CN103" s="15"/>
      <c r="CO103" s="15"/>
      <c r="CP103" s="15"/>
      <c r="CQ103" s="15"/>
      <c r="CR103" s="15"/>
      <c r="CS103" s="15"/>
      <c r="CT103" s="15"/>
      <c r="CU103" s="15"/>
      <c r="CV103" s="15"/>
      <c r="CW103" s="15"/>
      <c r="CX103" s="15"/>
      <c r="CY103" s="15"/>
      <c r="CZ103" s="15"/>
      <c r="DA103" s="15"/>
      <c r="DB103" s="15"/>
      <c r="DC103" s="15"/>
    </row>
    <row r="104" spans="1:107" s="9" customFormat="1" ht="12.75" customHeight="1" x14ac:dyDescent="0.25">
      <c r="A104"/>
      <c r="B104" s="216">
        <v>5207</v>
      </c>
      <c r="C104" s="217"/>
      <c r="D104" s="168">
        <v>8687</v>
      </c>
      <c r="E104" s="172">
        <v>10656</v>
      </c>
      <c r="F104" s="172">
        <v>11460</v>
      </c>
      <c r="G104" s="172">
        <v>12790</v>
      </c>
      <c r="H104" s="172">
        <v>13859</v>
      </c>
      <c r="I104" s="172">
        <v>14577</v>
      </c>
      <c r="J104" s="172">
        <v>15367</v>
      </c>
      <c r="K104" s="172">
        <v>16315</v>
      </c>
      <c r="L104" s="172">
        <v>17352</v>
      </c>
      <c r="M104" s="172"/>
      <c r="N104" s="174"/>
      <c r="P104" s="127"/>
      <c r="Q104" s="15"/>
      <c r="R104" s="15"/>
      <c r="S104" s="15"/>
      <c r="T104" s="15"/>
      <c r="U104" s="15"/>
      <c r="V104" s="15"/>
      <c r="W104" s="15"/>
      <c r="X104" s="15"/>
      <c r="Y104" s="15"/>
      <c r="Z104" s="15"/>
      <c r="AA104" s="15"/>
      <c r="AB104" s="15"/>
      <c r="AC104" s="15"/>
      <c r="AD104" s="15"/>
      <c r="AE104" s="15"/>
      <c r="AF104" s="15"/>
      <c r="AG104" s="15"/>
      <c r="AH104" s="15"/>
      <c r="AI104" s="15"/>
      <c r="AJ104" s="15"/>
      <c r="AK104" s="15"/>
      <c r="AL104" s="15"/>
      <c r="AM104" s="15"/>
      <c r="AN104" s="15"/>
      <c r="AO104" s="15"/>
      <c r="AP104" s="15"/>
      <c r="AQ104" s="15"/>
      <c r="AR104" s="15"/>
      <c r="AS104" s="15"/>
      <c r="AT104" s="15"/>
      <c r="AU104" s="15"/>
      <c r="AV104" s="15"/>
      <c r="AW104" s="15"/>
      <c r="AX104" s="15"/>
      <c r="AY104" s="15"/>
      <c r="AZ104" s="15"/>
      <c r="BA104" s="15"/>
      <c r="BB104" s="15"/>
      <c r="BC104" s="15"/>
      <c r="BD104" s="15"/>
      <c r="BE104" s="15"/>
      <c r="BF104" s="15"/>
      <c r="BG104" s="15"/>
      <c r="BH104" s="15"/>
      <c r="BI104" s="15"/>
      <c r="BJ104" s="15"/>
      <c r="BK104" s="15"/>
      <c r="BL104" s="15"/>
      <c r="BM104" s="15"/>
      <c r="BN104" s="15"/>
      <c r="BO104" s="15"/>
      <c r="BP104" s="15"/>
      <c r="BQ104" s="15"/>
      <c r="BR104" s="15"/>
      <c r="BS104" s="15"/>
      <c r="BT104" s="15"/>
      <c r="BU104" s="15"/>
      <c r="BV104" s="15"/>
      <c r="BW104" s="15"/>
      <c r="BX104" s="15"/>
      <c r="BY104" s="15"/>
      <c r="BZ104" s="15"/>
      <c r="CA104" s="15"/>
      <c r="CB104" s="15"/>
      <c r="CC104" s="15"/>
      <c r="CD104" s="15"/>
      <c r="CE104" s="15"/>
      <c r="CF104" s="15"/>
      <c r="CG104" s="15"/>
      <c r="CH104" s="15"/>
      <c r="CI104" s="15"/>
      <c r="CJ104" s="15"/>
      <c r="CK104" s="15"/>
      <c r="CL104" s="15"/>
      <c r="CM104" s="15"/>
      <c r="CN104" s="15"/>
      <c r="CO104" s="15"/>
      <c r="CP104" s="15"/>
      <c r="CQ104" s="15"/>
      <c r="CR104" s="15"/>
      <c r="CS104" s="15"/>
      <c r="CT104" s="15"/>
      <c r="CU104" s="15"/>
      <c r="CV104" s="15"/>
      <c r="CW104" s="15"/>
      <c r="CX104" s="15"/>
      <c r="CY104" s="15"/>
      <c r="CZ104" s="15"/>
      <c r="DA104" s="15"/>
      <c r="DB104" s="15"/>
      <c r="DC104" s="15"/>
    </row>
    <row r="105" spans="1:107" s="9" customFormat="1" ht="12" customHeight="1" x14ac:dyDescent="0.25">
      <c r="A105"/>
      <c r="B105" s="216">
        <v>5406</v>
      </c>
      <c r="C105" s="217"/>
      <c r="D105" s="172">
        <v>8701</v>
      </c>
      <c r="E105" s="172">
        <v>10665</v>
      </c>
      <c r="F105" s="172">
        <v>11472</v>
      </c>
      <c r="G105" s="172">
        <v>12826</v>
      </c>
      <c r="H105" s="172">
        <v>13892</v>
      </c>
      <c r="I105" s="172">
        <v>14594</v>
      </c>
      <c r="J105" s="172">
        <v>15368</v>
      </c>
      <c r="K105" s="172">
        <v>16349</v>
      </c>
      <c r="L105" s="172">
        <v>17353</v>
      </c>
      <c r="M105" s="172"/>
      <c r="N105" s="174"/>
      <c r="P105" s="127"/>
      <c r="Q105" s="15"/>
      <c r="R105" s="15"/>
      <c r="S105" s="15"/>
      <c r="T105" s="15"/>
      <c r="U105" s="15"/>
      <c r="V105" s="15"/>
      <c r="W105" s="15"/>
      <c r="X105" s="15"/>
      <c r="Y105" s="15"/>
      <c r="Z105" s="15"/>
      <c r="AA105" s="15"/>
      <c r="AB105" s="15"/>
      <c r="AC105" s="15"/>
      <c r="AD105" s="15"/>
      <c r="AE105" s="15"/>
      <c r="AF105" s="15"/>
      <c r="AG105" s="15"/>
      <c r="AH105" s="15"/>
      <c r="AI105" s="15"/>
      <c r="AJ105" s="15"/>
      <c r="AK105" s="15"/>
      <c r="AL105" s="15"/>
      <c r="AM105" s="15"/>
      <c r="AN105" s="15"/>
      <c r="AO105" s="15"/>
      <c r="AP105" s="15"/>
      <c r="AQ105" s="15"/>
      <c r="AR105" s="15"/>
      <c r="AS105" s="15"/>
      <c r="AT105" s="15"/>
      <c r="AU105" s="15"/>
      <c r="AV105" s="15"/>
      <c r="AW105" s="15"/>
      <c r="AX105" s="15"/>
      <c r="AY105" s="15"/>
      <c r="AZ105" s="15"/>
      <c r="BA105" s="15"/>
      <c r="BB105" s="15"/>
      <c r="BC105" s="15"/>
      <c r="BD105" s="15"/>
      <c r="BE105" s="15"/>
      <c r="BF105" s="15"/>
      <c r="BG105" s="15"/>
      <c r="BH105" s="15"/>
      <c r="BI105" s="15"/>
      <c r="BJ105" s="15"/>
      <c r="BK105" s="15"/>
      <c r="BL105" s="15"/>
      <c r="BM105" s="15"/>
      <c r="BN105" s="15"/>
      <c r="BO105" s="15"/>
      <c r="BP105" s="15"/>
      <c r="BQ105" s="15"/>
      <c r="BR105" s="15"/>
      <c r="BS105" s="15"/>
      <c r="BT105" s="15"/>
      <c r="BU105" s="15"/>
      <c r="BV105" s="15"/>
      <c r="BW105" s="15"/>
      <c r="BX105" s="15"/>
      <c r="BY105" s="15"/>
      <c r="BZ105" s="15"/>
      <c r="CA105" s="15"/>
      <c r="CB105" s="15"/>
      <c r="CC105" s="15"/>
      <c r="CD105" s="15"/>
      <c r="CE105" s="15"/>
      <c r="CF105" s="15"/>
      <c r="CG105" s="15"/>
      <c r="CH105" s="15"/>
      <c r="CI105" s="15"/>
      <c r="CJ105" s="15"/>
      <c r="CK105" s="15"/>
      <c r="CL105" s="15"/>
      <c r="CM105" s="15"/>
      <c r="CN105" s="15"/>
      <c r="CO105" s="15"/>
      <c r="CP105" s="15"/>
      <c r="CQ105" s="15"/>
      <c r="CR105" s="15"/>
      <c r="CS105" s="15"/>
      <c r="CT105" s="15"/>
      <c r="CU105" s="15"/>
      <c r="CV105" s="15"/>
      <c r="CW105" s="15"/>
      <c r="CX105" s="15"/>
      <c r="CY105" s="15"/>
      <c r="CZ105" s="15"/>
      <c r="DA105" s="15"/>
      <c r="DB105" s="15"/>
      <c r="DC105" s="15"/>
    </row>
    <row r="106" spans="1:107" s="9" customFormat="1" ht="12" customHeight="1" x14ac:dyDescent="0.25">
      <c r="A106"/>
      <c r="B106" s="205">
        <v>5744</v>
      </c>
      <c r="C106" s="206"/>
      <c r="D106" s="172">
        <v>8727</v>
      </c>
      <c r="E106" s="172">
        <v>10678</v>
      </c>
      <c r="F106" s="172">
        <v>11474</v>
      </c>
      <c r="G106" s="172">
        <v>12830</v>
      </c>
      <c r="H106" s="172">
        <v>13896</v>
      </c>
      <c r="I106" s="172">
        <v>14657</v>
      </c>
      <c r="J106" s="172">
        <v>15373</v>
      </c>
      <c r="K106" s="172">
        <v>16366</v>
      </c>
      <c r="L106" s="172">
        <v>17355</v>
      </c>
      <c r="M106" s="172"/>
      <c r="N106" s="174"/>
      <c r="P106" s="127"/>
      <c r="Q106" s="15"/>
      <c r="R106" s="15"/>
      <c r="S106" s="15"/>
      <c r="T106" s="15"/>
      <c r="U106" s="15"/>
      <c r="V106" s="15"/>
      <c r="W106" s="15"/>
      <c r="X106" s="15"/>
      <c r="Y106" s="15"/>
      <c r="Z106" s="15"/>
      <c r="AA106" s="15"/>
      <c r="AB106" s="15"/>
      <c r="AC106" s="15"/>
      <c r="AD106" s="15"/>
      <c r="AE106" s="15"/>
      <c r="AF106" s="15"/>
      <c r="AG106" s="15"/>
      <c r="AH106" s="15"/>
      <c r="AI106" s="15"/>
      <c r="AJ106" s="15"/>
      <c r="AK106" s="15"/>
      <c r="AL106" s="15"/>
      <c r="AM106" s="15"/>
      <c r="AN106" s="15"/>
      <c r="AO106" s="15"/>
      <c r="AP106" s="15"/>
      <c r="AQ106" s="15"/>
      <c r="AR106" s="15"/>
      <c r="AS106" s="15"/>
      <c r="AT106" s="15"/>
      <c r="AU106" s="15"/>
      <c r="AV106" s="15"/>
      <c r="AW106" s="15"/>
      <c r="AX106" s="15"/>
      <c r="AY106" s="15"/>
      <c r="AZ106" s="15"/>
      <c r="BA106" s="15"/>
      <c r="BB106" s="15"/>
      <c r="BC106" s="15"/>
      <c r="BD106" s="15"/>
      <c r="BE106" s="15"/>
      <c r="BF106" s="15"/>
      <c r="BG106" s="15"/>
      <c r="BH106" s="15"/>
      <c r="BI106" s="15"/>
      <c r="BJ106" s="15"/>
      <c r="BK106" s="15"/>
      <c r="BL106" s="15"/>
      <c r="BM106" s="15"/>
      <c r="BN106" s="15"/>
      <c r="BO106" s="15"/>
      <c r="BP106" s="15"/>
      <c r="BQ106" s="15"/>
      <c r="BR106" s="15"/>
      <c r="BS106" s="15"/>
      <c r="BT106" s="15"/>
      <c r="BU106" s="15"/>
      <c r="BV106" s="15"/>
      <c r="BW106" s="15"/>
      <c r="BX106" s="15"/>
      <c r="BY106" s="15"/>
      <c r="BZ106" s="15"/>
      <c r="CA106" s="15"/>
      <c r="CB106" s="15"/>
      <c r="CC106" s="15"/>
      <c r="CD106" s="15"/>
      <c r="CE106" s="15"/>
      <c r="CF106" s="15"/>
      <c r="CG106" s="15"/>
      <c r="CH106" s="15"/>
      <c r="CI106" s="15"/>
      <c r="CJ106" s="15"/>
      <c r="CK106" s="15"/>
      <c r="CL106" s="15"/>
      <c r="CM106" s="15"/>
      <c r="CN106" s="15"/>
      <c r="CO106" s="15"/>
      <c r="CP106" s="15"/>
      <c r="CQ106" s="15"/>
      <c r="CR106" s="15"/>
      <c r="CS106" s="15"/>
      <c r="CT106" s="15"/>
      <c r="CU106" s="15"/>
      <c r="CV106" s="15"/>
      <c r="CW106" s="15"/>
      <c r="CX106" s="15"/>
      <c r="CY106" s="15"/>
      <c r="CZ106" s="15"/>
      <c r="DA106" s="15"/>
      <c r="DB106" s="15"/>
      <c r="DC106" s="15"/>
    </row>
    <row r="107" spans="1:107" s="9" customFormat="1" ht="12" customHeight="1" x14ac:dyDescent="0.25">
      <c r="A107"/>
      <c r="B107" s="205">
        <v>6221</v>
      </c>
      <c r="C107" s="206"/>
      <c r="D107" s="172">
        <v>8733</v>
      </c>
      <c r="E107" s="172">
        <v>10713</v>
      </c>
      <c r="F107" s="172">
        <v>11479</v>
      </c>
      <c r="G107" s="172">
        <v>12831</v>
      </c>
      <c r="H107" s="172">
        <v>13899</v>
      </c>
      <c r="I107" s="172">
        <v>14681</v>
      </c>
      <c r="J107" s="172">
        <v>15374</v>
      </c>
      <c r="K107" s="172">
        <v>16372</v>
      </c>
      <c r="L107" s="172">
        <v>17405</v>
      </c>
      <c r="M107" s="172"/>
      <c r="N107" s="174"/>
      <c r="P107" s="127"/>
      <c r="Q107" s="15"/>
      <c r="R107" s="15"/>
      <c r="S107" s="15"/>
      <c r="T107" s="15"/>
      <c r="U107" s="15"/>
      <c r="V107" s="15"/>
      <c r="W107" s="15"/>
      <c r="X107" s="15"/>
      <c r="Y107" s="15"/>
      <c r="Z107" s="15"/>
      <c r="AA107" s="15"/>
      <c r="AB107" s="15"/>
      <c r="AC107" s="15"/>
      <c r="AD107" s="15"/>
      <c r="AE107" s="15"/>
      <c r="AF107" s="15"/>
      <c r="AG107" s="15"/>
      <c r="AH107" s="15"/>
      <c r="AI107" s="15"/>
      <c r="AJ107" s="15"/>
      <c r="AK107" s="15"/>
      <c r="AL107" s="15"/>
      <c r="AM107" s="15"/>
      <c r="AN107" s="15"/>
      <c r="AO107" s="15"/>
      <c r="AP107" s="15"/>
      <c r="AQ107" s="15"/>
      <c r="AR107" s="15"/>
      <c r="AS107" s="15"/>
      <c r="AT107" s="15"/>
      <c r="AU107" s="15"/>
      <c r="AV107" s="15"/>
      <c r="AW107" s="15"/>
      <c r="AX107" s="15"/>
      <c r="AY107" s="15"/>
      <c r="AZ107" s="15"/>
      <c r="BA107" s="15"/>
      <c r="BB107" s="15"/>
      <c r="BC107" s="15"/>
      <c r="BD107" s="15"/>
      <c r="BE107" s="15"/>
      <c r="BF107" s="15"/>
      <c r="BG107" s="15"/>
      <c r="BH107" s="15"/>
      <c r="BI107" s="15"/>
      <c r="BJ107" s="15"/>
      <c r="BK107" s="15"/>
      <c r="BL107" s="15"/>
      <c r="BM107" s="15"/>
      <c r="BN107" s="15"/>
      <c r="BO107" s="15"/>
      <c r="BP107" s="15"/>
      <c r="BQ107" s="15"/>
      <c r="BR107" s="15"/>
      <c r="BS107" s="15"/>
      <c r="BT107" s="15"/>
      <c r="BU107" s="15"/>
      <c r="BV107" s="15"/>
      <c r="BW107" s="15"/>
      <c r="BX107" s="15"/>
      <c r="BY107" s="15"/>
      <c r="BZ107" s="15"/>
      <c r="CA107" s="15"/>
      <c r="CB107" s="15"/>
      <c r="CC107" s="15"/>
      <c r="CD107" s="15"/>
      <c r="CE107" s="15"/>
      <c r="CF107" s="15"/>
      <c r="CG107" s="15"/>
      <c r="CH107" s="15"/>
      <c r="CI107" s="15"/>
      <c r="CJ107" s="15"/>
      <c r="CK107" s="15"/>
      <c r="CL107" s="15"/>
      <c r="CM107" s="15"/>
      <c r="CN107" s="15"/>
      <c r="CO107" s="15"/>
      <c r="CP107" s="15"/>
      <c r="CQ107" s="15"/>
      <c r="CR107" s="15"/>
      <c r="CS107" s="15"/>
      <c r="CT107" s="15"/>
      <c r="CU107" s="15"/>
      <c r="CV107" s="15"/>
      <c r="CW107" s="15"/>
      <c r="CX107" s="15"/>
      <c r="CY107" s="15"/>
      <c r="CZ107" s="15"/>
      <c r="DA107" s="15"/>
      <c r="DB107" s="15"/>
      <c r="DC107" s="15"/>
    </row>
    <row r="108" spans="1:107" s="9" customFormat="1" ht="12" customHeight="1" x14ac:dyDescent="0.25">
      <c r="A108"/>
      <c r="B108" s="216">
        <v>6252</v>
      </c>
      <c r="C108" s="217"/>
      <c r="D108" s="172">
        <v>8746</v>
      </c>
      <c r="E108" s="172">
        <v>10756</v>
      </c>
      <c r="F108" s="172">
        <v>11515</v>
      </c>
      <c r="G108" s="172">
        <v>12839</v>
      </c>
      <c r="H108" s="172">
        <v>13907</v>
      </c>
      <c r="I108" s="172">
        <v>14685</v>
      </c>
      <c r="J108" s="172">
        <v>15375</v>
      </c>
      <c r="K108" s="172">
        <v>16400</v>
      </c>
      <c r="L108" s="172">
        <v>17471</v>
      </c>
      <c r="M108" s="172"/>
      <c r="N108" s="174"/>
      <c r="P108" s="127"/>
      <c r="Q108" s="15"/>
      <c r="R108" s="15"/>
      <c r="S108" s="15"/>
      <c r="T108" s="15"/>
      <c r="U108" s="15"/>
      <c r="V108" s="15"/>
      <c r="W108" s="15"/>
      <c r="X108" s="15"/>
      <c r="Y108" s="15"/>
      <c r="Z108" s="15"/>
      <c r="AA108" s="15"/>
      <c r="AB108" s="15"/>
      <c r="AC108" s="15"/>
      <c r="AD108" s="15"/>
      <c r="AE108" s="15"/>
      <c r="AF108" s="15"/>
      <c r="AG108" s="15"/>
      <c r="AH108" s="15"/>
      <c r="AI108" s="15"/>
      <c r="AJ108" s="15"/>
      <c r="AK108" s="15"/>
      <c r="AL108" s="15"/>
      <c r="AM108" s="15"/>
      <c r="AN108" s="15"/>
      <c r="AO108" s="15"/>
      <c r="AP108" s="15"/>
      <c r="AQ108" s="15"/>
      <c r="AR108" s="15"/>
      <c r="AS108" s="15"/>
      <c r="AT108" s="15"/>
      <c r="AU108" s="15"/>
      <c r="AV108" s="15"/>
      <c r="AW108" s="15"/>
      <c r="AX108" s="15"/>
      <c r="AY108" s="15"/>
      <c r="AZ108" s="15"/>
      <c r="BA108" s="15"/>
      <c r="BB108" s="15"/>
      <c r="BC108" s="15"/>
      <c r="BD108" s="15"/>
      <c r="BE108" s="15"/>
      <c r="BF108" s="15"/>
      <c r="BG108" s="15"/>
      <c r="BH108" s="15"/>
      <c r="BI108" s="15"/>
      <c r="BJ108" s="15"/>
      <c r="BK108" s="15"/>
      <c r="BL108" s="15"/>
      <c r="BM108" s="15"/>
      <c r="BN108" s="15"/>
      <c r="BO108" s="15"/>
      <c r="BP108" s="15"/>
      <c r="BQ108" s="15"/>
      <c r="BR108" s="15"/>
      <c r="BS108" s="15"/>
      <c r="BT108" s="15"/>
      <c r="BU108" s="15"/>
      <c r="BV108" s="15"/>
      <c r="BW108" s="15"/>
      <c r="BX108" s="15"/>
      <c r="BY108" s="15"/>
      <c r="BZ108" s="15"/>
      <c r="CA108" s="15"/>
      <c r="CB108" s="15"/>
      <c r="CC108" s="15"/>
      <c r="CD108" s="15"/>
      <c r="CE108" s="15"/>
      <c r="CF108" s="15"/>
      <c r="CG108" s="15"/>
      <c r="CH108" s="15"/>
      <c r="CI108" s="15"/>
      <c r="CJ108" s="15"/>
      <c r="CK108" s="15"/>
      <c r="CL108" s="15"/>
      <c r="CM108" s="15"/>
      <c r="CN108" s="15"/>
      <c r="CO108" s="15"/>
      <c r="CP108" s="15"/>
      <c r="CQ108" s="15"/>
      <c r="CR108" s="15"/>
      <c r="CS108" s="15"/>
      <c r="CT108" s="15"/>
      <c r="CU108" s="15"/>
      <c r="CV108" s="15"/>
      <c r="CW108" s="15"/>
      <c r="CX108" s="15"/>
      <c r="CY108" s="15"/>
      <c r="CZ108" s="15"/>
      <c r="DA108" s="15"/>
      <c r="DB108" s="15"/>
      <c r="DC108" s="15"/>
    </row>
    <row r="109" spans="1:107" s="9" customFormat="1" ht="12" customHeight="1" x14ac:dyDescent="0.25">
      <c r="A109"/>
      <c r="B109" s="216">
        <v>6275</v>
      </c>
      <c r="C109" s="217"/>
      <c r="D109" s="172">
        <v>8753</v>
      </c>
      <c r="E109" s="168">
        <v>10782</v>
      </c>
      <c r="F109" s="172">
        <v>11517</v>
      </c>
      <c r="G109" s="172">
        <v>12870</v>
      </c>
      <c r="H109" s="172">
        <v>13908</v>
      </c>
      <c r="I109" s="172">
        <v>14686</v>
      </c>
      <c r="J109" s="172">
        <v>15377</v>
      </c>
      <c r="K109" s="172">
        <v>16460</v>
      </c>
      <c r="L109" s="172">
        <v>17497</v>
      </c>
      <c r="M109" s="172"/>
      <c r="N109" s="174"/>
      <c r="P109" s="127"/>
      <c r="Q109" s="15"/>
      <c r="R109" s="15"/>
      <c r="S109" s="15"/>
      <c r="T109" s="15"/>
      <c r="U109" s="15"/>
      <c r="V109" s="15"/>
      <c r="W109" s="15"/>
      <c r="X109" s="15"/>
      <c r="Y109" s="15"/>
      <c r="Z109" s="15"/>
      <c r="AA109" s="15"/>
      <c r="AB109" s="15"/>
      <c r="AC109" s="15"/>
      <c r="AD109" s="15"/>
      <c r="AE109" s="15"/>
      <c r="AF109" s="15"/>
      <c r="AG109" s="15"/>
      <c r="AH109" s="15"/>
      <c r="AI109" s="15"/>
      <c r="AJ109" s="15"/>
      <c r="AK109" s="15"/>
      <c r="AL109" s="15"/>
      <c r="AM109" s="15"/>
      <c r="AN109" s="15"/>
      <c r="AO109" s="15"/>
      <c r="AP109" s="15"/>
      <c r="AQ109" s="15"/>
      <c r="AR109" s="15"/>
      <c r="AS109" s="15"/>
      <c r="AT109" s="15"/>
      <c r="AU109" s="15"/>
      <c r="AV109" s="15"/>
      <c r="AW109" s="15"/>
      <c r="AX109" s="15"/>
      <c r="AY109" s="15"/>
      <c r="AZ109" s="15"/>
      <c r="BA109" s="15"/>
      <c r="BB109" s="15"/>
      <c r="BC109" s="15"/>
      <c r="BD109" s="15"/>
      <c r="BE109" s="15"/>
      <c r="BF109" s="15"/>
      <c r="BG109" s="15"/>
      <c r="BH109" s="15"/>
      <c r="BI109" s="15"/>
      <c r="BJ109" s="15"/>
      <c r="BK109" s="15"/>
      <c r="BL109" s="15"/>
      <c r="BM109" s="15"/>
      <c r="BN109" s="15"/>
      <c r="BO109" s="15"/>
      <c r="BP109" s="15"/>
      <c r="BQ109" s="15"/>
      <c r="BR109" s="15"/>
      <c r="BS109" s="15"/>
      <c r="BT109" s="15"/>
      <c r="BU109" s="15"/>
      <c r="BV109" s="15"/>
      <c r="BW109" s="15"/>
      <c r="BX109" s="15"/>
      <c r="BY109" s="15"/>
      <c r="BZ109" s="15"/>
      <c r="CA109" s="15"/>
      <c r="CB109" s="15"/>
      <c r="CC109" s="15"/>
      <c r="CD109" s="15"/>
      <c r="CE109" s="15"/>
      <c r="CF109" s="15"/>
      <c r="CG109" s="15"/>
      <c r="CH109" s="15"/>
      <c r="CI109" s="15"/>
      <c r="CJ109" s="15"/>
      <c r="CK109" s="15"/>
      <c r="CL109" s="15"/>
      <c r="CM109" s="15"/>
      <c r="CN109" s="15"/>
      <c r="CO109" s="15"/>
      <c r="CP109" s="15"/>
      <c r="CQ109" s="15"/>
      <c r="CR109" s="15"/>
      <c r="CS109" s="15"/>
      <c r="CT109" s="15"/>
      <c r="CU109" s="15"/>
      <c r="CV109" s="15"/>
      <c r="CW109" s="15"/>
      <c r="CX109" s="15"/>
      <c r="CY109" s="15"/>
      <c r="CZ109" s="15"/>
      <c r="DA109" s="15"/>
      <c r="DB109" s="15"/>
      <c r="DC109" s="15"/>
    </row>
    <row r="110" spans="1:107" s="9" customFormat="1" ht="12" customHeight="1" x14ac:dyDescent="0.25">
      <c r="A110"/>
      <c r="B110" s="216">
        <v>6355</v>
      </c>
      <c r="C110" s="217"/>
      <c r="D110" s="111">
        <v>8783</v>
      </c>
      <c r="E110" s="172">
        <v>10783</v>
      </c>
      <c r="F110" s="172">
        <v>11523</v>
      </c>
      <c r="G110" s="172">
        <v>12909</v>
      </c>
      <c r="H110" s="172">
        <v>13916</v>
      </c>
      <c r="I110" s="172">
        <v>14687</v>
      </c>
      <c r="J110" s="172">
        <v>15431</v>
      </c>
      <c r="K110" s="172">
        <v>16469</v>
      </c>
      <c r="L110" s="172">
        <v>17502</v>
      </c>
      <c r="M110" s="172"/>
      <c r="N110" s="174"/>
      <c r="P110" s="127"/>
      <c r="Q110" s="15"/>
      <c r="R110" s="15"/>
      <c r="S110" s="15"/>
      <c r="T110" s="15"/>
      <c r="U110" s="15"/>
      <c r="V110" s="15"/>
      <c r="W110" s="15"/>
      <c r="X110" s="15"/>
      <c r="Y110" s="15"/>
      <c r="Z110" s="15"/>
      <c r="AA110" s="15"/>
      <c r="AB110" s="15"/>
      <c r="AC110" s="15"/>
      <c r="AD110" s="15"/>
      <c r="AE110" s="15"/>
      <c r="AF110" s="15"/>
      <c r="AG110" s="15"/>
      <c r="AH110" s="15"/>
      <c r="AI110" s="15"/>
      <c r="AJ110" s="15"/>
      <c r="AK110" s="15"/>
      <c r="AL110" s="15"/>
      <c r="AM110" s="15"/>
      <c r="AN110" s="15"/>
      <c r="AO110" s="15"/>
      <c r="AP110" s="15"/>
      <c r="AQ110" s="15"/>
      <c r="AR110" s="15"/>
      <c r="AS110" s="15"/>
      <c r="AT110" s="15"/>
      <c r="AU110" s="15"/>
      <c r="AV110" s="15"/>
      <c r="AW110" s="15"/>
      <c r="AX110" s="15"/>
      <c r="AY110" s="15"/>
      <c r="AZ110" s="15"/>
      <c r="BA110" s="15"/>
      <c r="BB110" s="15"/>
      <c r="BC110" s="15"/>
      <c r="BD110" s="15"/>
      <c r="BE110" s="15"/>
      <c r="BF110" s="15"/>
      <c r="BG110" s="15"/>
      <c r="BH110" s="15"/>
      <c r="BI110" s="15"/>
      <c r="BJ110" s="15"/>
      <c r="BK110" s="15"/>
      <c r="BL110" s="15"/>
      <c r="BM110" s="15"/>
      <c r="BN110" s="15"/>
      <c r="BO110" s="15"/>
      <c r="BP110" s="15"/>
      <c r="BQ110" s="15"/>
      <c r="BR110" s="15"/>
      <c r="BS110" s="15"/>
      <c r="BT110" s="15"/>
      <c r="BU110" s="15"/>
      <c r="BV110" s="15"/>
      <c r="BW110" s="15"/>
      <c r="BX110" s="15"/>
      <c r="BY110" s="15"/>
      <c r="BZ110" s="15"/>
      <c r="CA110" s="15"/>
      <c r="CB110" s="15"/>
      <c r="CC110" s="15"/>
      <c r="CD110" s="15"/>
      <c r="CE110" s="15"/>
      <c r="CF110" s="15"/>
      <c r="CG110" s="15"/>
      <c r="CH110" s="15"/>
      <c r="CI110" s="15"/>
      <c r="CJ110" s="15"/>
      <c r="CK110" s="15"/>
      <c r="CL110" s="15"/>
      <c r="CM110" s="15"/>
      <c r="CN110" s="15"/>
      <c r="CO110" s="15"/>
      <c r="CP110" s="15"/>
      <c r="CQ110" s="15"/>
      <c r="CR110" s="15"/>
      <c r="CS110" s="15"/>
      <c r="CT110" s="15"/>
      <c r="CU110" s="15"/>
      <c r="CV110" s="15"/>
      <c r="CW110" s="15"/>
      <c r="CX110" s="15"/>
      <c r="CY110" s="15"/>
      <c r="CZ110" s="15"/>
      <c r="DA110" s="15"/>
      <c r="DB110" s="15"/>
      <c r="DC110" s="15"/>
    </row>
    <row r="111" spans="1:107" s="9" customFormat="1" ht="12" customHeight="1" x14ac:dyDescent="0.25">
      <c r="A111"/>
      <c r="B111" s="216">
        <v>6470</v>
      </c>
      <c r="C111" s="217"/>
      <c r="D111" s="172">
        <v>10048</v>
      </c>
      <c r="E111" s="172">
        <v>10798</v>
      </c>
      <c r="F111" s="172">
        <v>11524</v>
      </c>
      <c r="G111" s="172">
        <v>12952</v>
      </c>
      <c r="H111" s="172">
        <v>13930</v>
      </c>
      <c r="I111" s="172">
        <v>14695</v>
      </c>
      <c r="J111" s="172">
        <v>15432</v>
      </c>
      <c r="K111" s="172">
        <v>16470</v>
      </c>
      <c r="L111" s="172">
        <v>17581</v>
      </c>
      <c r="M111" s="172"/>
      <c r="N111" s="174"/>
      <c r="P111" s="127"/>
      <c r="Q111" s="15"/>
      <c r="R111" s="15"/>
      <c r="S111" s="15"/>
      <c r="T111" s="15"/>
      <c r="U111" s="15"/>
      <c r="V111" s="15"/>
      <c r="W111" s="15"/>
      <c r="X111" s="15"/>
      <c r="Y111" s="15"/>
      <c r="Z111" s="15"/>
      <c r="AA111" s="15"/>
      <c r="AB111" s="15"/>
      <c r="AC111" s="15"/>
      <c r="AD111" s="15"/>
      <c r="AE111" s="15"/>
      <c r="AF111" s="15"/>
      <c r="AG111" s="15"/>
      <c r="AH111" s="15"/>
      <c r="AI111" s="15"/>
      <c r="AJ111" s="15"/>
      <c r="AK111" s="15"/>
      <c r="AL111" s="15"/>
      <c r="AM111" s="15"/>
      <c r="AN111" s="15"/>
      <c r="AO111" s="15"/>
      <c r="AP111" s="15"/>
      <c r="AQ111" s="15"/>
      <c r="AR111" s="15"/>
      <c r="AS111" s="15"/>
      <c r="AT111" s="15"/>
      <c r="AU111" s="15"/>
      <c r="AV111" s="15"/>
      <c r="AW111" s="15"/>
      <c r="AX111" s="15"/>
      <c r="AY111" s="15"/>
      <c r="AZ111" s="15"/>
      <c r="BA111" s="15"/>
      <c r="BB111" s="15"/>
      <c r="BC111" s="15"/>
      <c r="BD111" s="15"/>
      <c r="BE111" s="15"/>
      <c r="BF111" s="15"/>
      <c r="BG111" s="15"/>
      <c r="BH111" s="15"/>
      <c r="BI111" s="15"/>
      <c r="BJ111" s="15"/>
      <c r="BK111" s="15"/>
      <c r="BL111" s="15"/>
      <c r="BM111" s="15"/>
      <c r="BN111" s="15"/>
      <c r="BO111" s="15"/>
      <c r="BP111" s="15"/>
      <c r="BQ111" s="15"/>
      <c r="BR111" s="15"/>
      <c r="BS111" s="15"/>
      <c r="BT111" s="15"/>
      <c r="BU111" s="15"/>
      <c r="BV111" s="15"/>
      <c r="BW111" s="15"/>
      <c r="BX111" s="15"/>
      <c r="BY111" s="15"/>
      <c r="BZ111" s="15"/>
      <c r="CA111" s="15"/>
      <c r="CB111" s="15"/>
      <c r="CC111" s="15"/>
      <c r="CD111" s="15"/>
      <c r="CE111" s="15"/>
      <c r="CF111" s="15"/>
      <c r="CG111" s="15"/>
      <c r="CH111" s="15"/>
      <c r="CI111" s="15"/>
      <c r="CJ111" s="15"/>
      <c r="CK111" s="15"/>
      <c r="CL111" s="15"/>
      <c r="CM111" s="15"/>
      <c r="CN111" s="15"/>
      <c r="CO111" s="15"/>
      <c r="CP111" s="15"/>
      <c r="CQ111" s="15"/>
      <c r="CR111" s="15"/>
      <c r="CS111" s="15"/>
      <c r="CT111" s="15"/>
      <c r="CU111" s="15"/>
      <c r="CV111" s="15"/>
      <c r="CW111" s="15"/>
      <c r="CX111" s="15"/>
      <c r="CY111" s="15"/>
      <c r="CZ111" s="15"/>
      <c r="DA111" s="15"/>
      <c r="DB111" s="15"/>
      <c r="DC111" s="15"/>
    </row>
    <row r="112" spans="1:107" s="9" customFormat="1" ht="12" customHeight="1" x14ac:dyDescent="0.25">
      <c r="A112"/>
      <c r="B112" s="216">
        <v>6481</v>
      </c>
      <c r="C112" s="217"/>
      <c r="D112" s="172">
        <v>10049</v>
      </c>
      <c r="E112" s="172">
        <v>10810</v>
      </c>
      <c r="F112" s="172">
        <v>11532</v>
      </c>
      <c r="G112" s="172">
        <v>12966</v>
      </c>
      <c r="H112" s="172">
        <v>13937</v>
      </c>
      <c r="I112" s="172">
        <v>14703</v>
      </c>
      <c r="J112" s="172">
        <v>15433</v>
      </c>
      <c r="K112" s="172">
        <v>16471</v>
      </c>
      <c r="L112" s="172">
        <v>17586</v>
      </c>
      <c r="M112" s="172"/>
      <c r="N112" s="174"/>
      <c r="P112" s="127"/>
      <c r="Q112" s="15"/>
      <c r="R112" s="15"/>
      <c r="S112" s="15"/>
      <c r="T112" s="15"/>
      <c r="U112" s="15"/>
      <c r="V112" s="15"/>
      <c r="W112" s="15"/>
      <c r="X112" s="15"/>
      <c r="Y112" s="15"/>
      <c r="Z112" s="15"/>
      <c r="AA112" s="15"/>
      <c r="AB112" s="15"/>
      <c r="AC112" s="15"/>
      <c r="AD112" s="15"/>
      <c r="AE112" s="15"/>
      <c r="AF112" s="15"/>
      <c r="AG112" s="15"/>
      <c r="AH112" s="15"/>
      <c r="AI112" s="15"/>
      <c r="AJ112" s="15"/>
      <c r="AK112" s="15"/>
      <c r="AL112" s="15"/>
      <c r="AM112" s="15"/>
      <c r="AN112" s="15"/>
      <c r="AO112" s="15"/>
      <c r="AP112" s="15"/>
      <c r="AQ112" s="15"/>
      <c r="AR112" s="15"/>
      <c r="AS112" s="15"/>
      <c r="AT112" s="15"/>
      <c r="AU112" s="15"/>
      <c r="AV112" s="15"/>
      <c r="AW112" s="15"/>
      <c r="AX112" s="15"/>
      <c r="AY112" s="15"/>
      <c r="AZ112" s="15"/>
      <c r="BA112" s="15"/>
      <c r="BB112" s="15"/>
      <c r="BC112" s="15"/>
      <c r="BD112" s="15"/>
      <c r="BE112" s="15"/>
      <c r="BF112" s="15"/>
      <c r="BG112" s="15"/>
      <c r="BH112" s="15"/>
      <c r="BI112" s="15"/>
      <c r="BJ112" s="15"/>
      <c r="BK112" s="15"/>
      <c r="BL112" s="15"/>
      <c r="BM112" s="15"/>
      <c r="BN112" s="15"/>
      <c r="BO112" s="15"/>
      <c r="BP112" s="15"/>
      <c r="BQ112" s="15"/>
      <c r="BR112" s="15"/>
      <c r="BS112" s="15"/>
      <c r="BT112" s="15"/>
      <c r="BU112" s="15"/>
      <c r="BV112" s="15"/>
      <c r="BW112" s="15"/>
      <c r="BX112" s="15"/>
      <c r="BY112" s="15"/>
      <c r="BZ112" s="15"/>
      <c r="CA112" s="15"/>
      <c r="CB112" s="15"/>
      <c r="CC112" s="15"/>
      <c r="CD112" s="15"/>
      <c r="CE112" s="15"/>
      <c r="CF112" s="15"/>
      <c r="CG112" s="15"/>
      <c r="CH112" s="15"/>
      <c r="CI112" s="15"/>
      <c r="CJ112" s="15"/>
      <c r="CK112" s="15"/>
      <c r="CL112" s="15"/>
      <c r="CM112" s="15"/>
      <c r="CN112" s="15"/>
      <c r="CO112" s="15"/>
      <c r="CP112" s="15"/>
      <c r="CQ112" s="15"/>
      <c r="CR112" s="15"/>
      <c r="CS112" s="15"/>
      <c r="CT112" s="15"/>
      <c r="CU112" s="15"/>
      <c r="CV112" s="15"/>
      <c r="CW112" s="15"/>
      <c r="CX112" s="15"/>
      <c r="CY112" s="15"/>
      <c r="CZ112" s="15"/>
      <c r="DA112" s="15"/>
      <c r="DB112" s="15"/>
      <c r="DC112" s="15"/>
    </row>
    <row r="113" spans="1:107" s="9" customFormat="1" ht="12" customHeight="1" x14ac:dyDescent="0.25">
      <c r="A113"/>
      <c r="B113" s="216">
        <v>6554</v>
      </c>
      <c r="C113" s="217"/>
      <c r="D113" s="172">
        <v>10065</v>
      </c>
      <c r="E113" s="172">
        <v>10822</v>
      </c>
      <c r="F113" s="172">
        <v>11563</v>
      </c>
      <c r="G113" s="172">
        <v>12971</v>
      </c>
      <c r="H113" s="172">
        <v>13942</v>
      </c>
      <c r="I113" s="172">
        <v>14704</v>
      </c>
      <c r="J113" s="172">
        <v>15482</v>
      </c>
      <c r="K113" s="172">
        <v>16484</v>
      </c>
      <c r="L113" s="172">
        <v>17587</v>
      </c>
      <c r="M113" s="172"/>
      <c r="N113" s="174"/>
      <c r="P113" s="127"/>
      <c r="Q113" s="15"/>
      <c r="R113" s="15"/>
      <c r="S113" s="15"/>
      <c r="T113" s="15"/>
      <c r="U113" s="15"/>
      <c r="V113" s="15"/>
      <c r="W113" s="15"/>
      <c r="X113" s="15"/>
      <c r="Y113" s="15"/>
      <c r="Z113" s="15"/>
      <c r="AA113" s="15"/>
      <c r="AB113" s="15"/>
      <c r="AC113" s="15"/>
      <c r="AD113" s="15"/>
      <c r="AE113" s="15"/>
      <c r="AF113" s="15"/>
      <c r="AG113" s="15"/>
      <c r="AH113" s="15"/>
      <c r="AI113" s="15"/>
      <c r="AJ113" s="15"/>
      <c r="AK113" s="15"/>
      <c r="AL113" s="15"/>
      <c r="AM113" s="15"/>
      <c r="AN113" s="15"/>
      <c r="AO113" s="15"/>
      <c r="AP113" s="15"/>
      <c r="AQ113" s="15"/>
      <c r="AR113" s="15"/>
      <c r="AS113" s="15"/>
      <c r="AT113" s="15"/>
      <c r="AU113" s="15"/>
      <c r="AV113" s="15"/>
      <c r="AW113" s="15"/>
      <c r="AX113" s="15"/>
      <c r="AY113" s="15"/>
      <c r="AZ113" s="15"/>
      <c r="BA113" s="15"/>
      <c r="BB113" s="15"/>
      <c r="BC113" s="15"/>
      <c r="BD113" s="15"/>
      <c r="BE113" s="15"/>
      <c r="BF113" s="15"/>
      <c r="BG113" s="15"/>
      <c r="BH113" s="15"/>
      <c r="BI113" s="15"/>
      <c r="BJ113" s="15"/>
      <c r="BK113" s="15"/>
      <c r="BL113" s="15"/>
      <c r="BM113" s="15"/>
      <c r="BN113" s="15"/>
      <c r="BO113" s="15"/>
      <c r="BP113" s="15"/>
      <c r="BQ113" s="15"/>
      <c r="BR113" s="15"/>
      <c r="BS113" s="15"/>
      <c r="BT113" s="15"/>
      <c r="BU113" s="15"/>
      <c r="BV113" s="15"/>
      <c r="BW113" s="15"/>
      <c r="BX113" s="15"/>
      <c r="BY113" s="15"/>
      <c r="BZ113" s="15"/>
      <c r="CA113" s="15"/>
      <c r="CB113" s="15"/>
      <c r="CC113" s="15"/>
      <c r="CD113" s="15"/>
      <c r="CE113" s="15"/>
      <c r="CF113" s="15"/>
      <c r="CG113" s="15"/>
      <c r="CH113" s="15"/>
      <c r="CI113" s="15"/>
      <c r="CJ113" s="15"/>
      <c r="CK113" s="15"/>
      <c r="CL113" s="15"/>
      <c r="CM113" s="15"/>
      <c r="CN113" s="15"/>
      <c r="CO113" s="15"/>
      <c r="CP113" s="15"/>
      <c r="CQ113" s="15"/>
      <c r="CR113" s="15"/>
      <c r="CS113" s="15"/>
      <c r="CT113" s="15"/>
      <c r="CU113" s="15"/>
      <c r="CV113" s="15"/>
      <c r="CW113" s="15"/>
      <c r="CX113" s="15"/>
      <c r="CY113" s="15"/>
      <c r="CZ113" s="15"/>
      <c r="DA113" s="15"/>
      <c r="DB113" s="15"/>
      <c r="DC113" s="15"/>
    </row>
    <row r="114" spans="1:107" s="9" customFormat="1" ht="12" customHeight="1" x14ac:dyDescent="0.25">
      <c r="A114"/>
      <c r="B114" s="216">
        <v>6555</v>
      </c>
      <c r="C114" s="217"/>
      <c r="D114" s="172">
        <v>10073</v>
      </c>
      <c r="E114" s="172">
        <v>10823</v>
      </c>
      <c r="F114" s="172">
        <v>11616</v>
      </c>
      <c r="G114" s="172">
        <v>12980</v>
      </c>
      <c r="H114" s="172">
        <v>13951</v>
      </c>
      <c r="I114" s="172">
        <v>14705</v>
      </c>
      <c r="J114" s="172">
        <v>15483</v>
      </c>
      <c r="K114" s="172">
        <v>16507</v>
      </c>
      <c r="L114" s="172">
        <v>17651</v>
      </c>
      <c r="M114" s="172"/>
      <c r="N114" s="174"/>
      <c r="P114" s="127"/>
      <c r="Q114" s="15"/>
      <c r="R114" s="15"/>
      <c r="S114" s="15"/>
      <c r="T114" s="15"/>
      <c r="U114" s="15"/>
      <c r="V114" s="15"/>
      <c r="W114" s="15"/>
      <c r="X114" s="15"/>
      <c r="Y114" s="15"/>
      <c r="Z114" s="15"/>
      <c r="AA114" s="15"/>
      <c r="AB114" s="15"/>
      <c r="AC114" s="15"/>
      <c r="AD114" s="15"/>
      <c r="AE114" s="15"/>
      <c r="AF114" s="15"/>
      <c r="AG114" s="15"/>
      <c r="AH114" s="15"/>
      <c r="AI114" s="15"/>
      <c r="AJ114" s="15"/>
      <c r="AK114" s="15"/>
      <c r="AL114" s="15"/>
      <c r="AM114" s="15"/>
      <c r="AN114" s="15"/>
      <c r="AO114" s="15"/>
      <c r="AP114" s="15"/>
      <c r="AQ114" s="15"/>
      <c r="AR114" s="15"/>
      <c r="AS114" s="15"/>
      <c r="AT114" s="15"/>
      <c r="AU114" s="15"/>
      <c r="AV114" s="15"/>
      <c r="AW114" s="15"/>
      <c r="AX114" s="15"/>
      <c r="AY114" s="15"/>
      <c r="AZ114" s="15"/>
      <c r="BA114" s="15"/>
      <c r="BB114" s="15"/>
      <c r="BC114" s="15"/>
      <c r="BD114" s="15"/>
      <c r="BE114" s="15"/>
      <c r="BF114" s="15"/>
      <c r="BG114" s="15"/>
      <c r="BH114" s="15"/>
      <c r="BI114" s="15"/>
      <c r="BJ114" s="15"/>
      <c r="BK114" s="15"/>
      <c r="BL114" s="15"/>
      <c r="BM114" s="15"/>
      <c r="BN114" s="15"/>
      <c r="BO114" s="15"/>
      <c r="BP114" s="15"/>
      <c r="BQ114" s="15"/>
      <c r="BR114" s="15"/>
      <c r="BS114" s="15"/>
      <c r="BT114" s="15"/>
      <c r="BU114" s="15"/>
      <c r="BV114" s="15"/>
      <c r="BW114" s="15"/>
      <c r="BX114" s="15"/>
      <c r="BY114" s="15"/>
      <c r="BZ114" s="15"/>
      <c r="CA114" s="15"/>
      <c r="CB114" s="15"/>
      <c r="CC114" s="15"/>
      <c r="CD114" s="15"/>
      <c r="CE114" s="15"/>
      <c r="CF114" s="15"/>
      <c r="CG114" s="15"/>
      <c r="CH114" s="15"/>
      <c r="CI114" s="15"/>
      <c r="CJ114" s="15"/>
      <c r="CK114" s="15"/>
      <c r="CL114" s="15"/>
      <c r="CM114" s="15"/>
      <c r="CN114" s="15"/>
      <c r="CO114" s="15"/>
      <c r="CP114" s="15"/>
      <c r="CQ114" s="15"/>
      <c r="CR114" s="15"/>
      <c r="CS114" s="15"/>
      <c r="CT114" s="15"/>
      <c r="CU114" s="15"/>
      <c r="CV114" s="15"/>
      <c r="CW114" s="15"/>
      <c r="CX114" s="15"/>
      <c r="CY114" s="15"/>
      <c r="CZ114" s="15"/>
      <c r="DA114" s="15"/>
      <c r="DB114" s="15"/>
      <c r="DC114" s="15"/>
    </row>
    <row r="115" spans="1:107" s="9" customFormat="1" ht="12" customHeight="1" x14ac:dyDescent="0.25">
      <c r="A115"/>
      <c r="B115" s="216">
        <v>6570</v>
      </c>
      <c r="C115" s="217"/>
      <c r="D115" s="172">
        <v>10077</v>
      </c>
      <c r="E115" s="172">
        <v>10901</v>
      </c>
      <c r="F115" s="172">
        <v>11695</v>
      </c>
      <c r="G115" s="172">
        <v>12985</v>
      </c>
      <c r="H115" s="172">
        <v>13957</v>
      </c>
      <c r="I115" s="172">
        <v>14706</v>
      </c>
      <c r="J115" s="172">
        <v>15500</v>
      </c>
      <c r="K115" s="172">
        <v>16520</v>
      </c>
      <c r="L115" s="172">
        <v>17679</v>
      </c>
      <c r="M115" s="172"/>
      <c r="N115" s="174"/>
      <c r="P115" s="127"/>
      <c r="Q115" s="15"/>
      <c r="R115" s="15"/>
      <c r="S115" s="15"/>
      <c r="T115" s="15"/>
      <c r="U115" s="15"/>
      <c r="V115" s="15"/>
      <c r="W115" s="15"/>
      <c r="X115" s="15"/>
      <c r="Y115" s="15"/>
      <c r="Z115" s="15"/>
      <c r="AA115" s="15"/>
      <c r="AB115" s="15"/>
      <c r="AC115" s="15"/>
      <c r="AD115" s="15"/>
      <c r="AE115" s="15"/>
      <c r="AF115" s="15"/>
      <c r="AG115" s="15"/>
      <c r="AH115" s="15"/>
      <c r="AI115" s="15"/>
      <c r="AJ115" s="15"/>
      <c r="AK115" s="15"/>
      <c r="AL115" s="15"/>
      <c r="AM115" s="15"/>
      <c r="AN115" s="15"/>
      <c r="AO115" s="15"/>
      <c r="AP115" s="15"/>
      <c r="AQ115" s="15"/>
      <c r="AR115" s="15"/>
      <c r="AS115" s="15"/>
      <c r="AT115" s="15"/>
      <c r="AU115" s="15"/>
      <c r="AV115" s="15"/>
      <c r="AW115" s="15"/>
      <c r="AX115" s="15"/>
      <c r="AY115" s="15"/>
      <c r="AZ115" s="15"/>
      <c r="BA115" s="15"/>
      <c r="BB115" s="15"/>
      <c r="BC115" s="15"/>
      <c r="BD115" s="15"/>
      <c r="BE115" s="15"/>
      <c r="BF115" s="15"/>
      <c r="BG115" s="15"/>
      <c r="BH115" s="15"/>
      <c r="BI115" s="15"/>
      <c r="BJ115" s="15"/>
      <c r="BK115" s="15"/>
      <c r="BL115" s="15"/>
      <c r="BM115" s="15"/>
      <c r="BN115" s="15"/>
      <c r="BO115" s="15"/>
      <c r="BP115" s="15"/>
      <c r="BQ115" s="15"/>
      <c r="BR115" s="15"/>
      <c r="BS115" s="15"/>
      <c r="BT115" s="15"/>
      <c r="BU115" s="15"/>
      <c r="BV115" s="15"/>
      <c r="BW115" s="15"/>
      <c r="BX115" s="15"/>
      <c r="BY115" s="15"/>
      <c r="BZ115" s="15"/>
      <c r="CA115" s="15"/>
      <c r="CB115" s="15"/>
      <c r="CC115" s="15"/>
      <c r="CD115" s="15"/>
      <c r="CE115" s="15"/>
      <c r="CF115" s="15"/>
      <c r="CG115" s="15"/>
      <c r="CH115" s="15"/>
      <c r="CI115" s="15"/>
      <c r="CJ115" s="15"/>
      <c r="CK115" s="15"/>
      <c r="CL115" s="15"/>
      <c r="CM115" s="15"/>
      <c r="CN115" s="15"/>
      <c r="CO115" s="15"/>
      <c r="CP115" s="15"/>
      <c r="CQ115" s="15"/>
      <c r="CR115" s="15"/>
      <c r="CS115" s="15"/>
      <c r="CT115" s="15"/>
      <c r="CU115" s="15"/>
      <c r="CV115" s="15"/>
      <c r="CW115" s="15"/>
      <c r="CX115" s="15"/>
      <c r="CY115" s="15"/>
      <c r="CZ115" s="15"/>
      <c r="DA115" s="15"/>
      <c r="DB115" s="15"/>
      <c r="DC115" s="15"/>
    </row>
    <row r="116" spans="1:107" s="9" customFormat="1" ht="12" customHeight="1" x14ac:dyDescent="0.25">
      <c r="A116"/>
      <c r="B116" s="216">
        <v>6578</v>
      </c>
      <c r="C116" s="217"/>
      <c r="D116" s="172">
        <v>10082</v>
      </c>
      <c r="E116" s="172">
        <v>10902</v>
      </c>
      <c r="F116" s="172">
        <v>11703</v>
      </c>
      <c r="G116" s="111">
        <v>12997</v>
      </c>
      <c r="H116" s="172">
        <v>13964</v>
      </c>
      <c r="I116" s="172">
        <v>14727</v>
      </c>
      <c r="J116" s="172">
        <v>15528</v>
      </c>
      <c r="K116" s="172">
        <v>16530</v>
      </c>
      <c r="L116" s="172">
        <v>17680</v>
      </c>
      <c r="M116" s="172"/>
      <c r="N116" s="174"/>
      <c r="P116" s="127"/>
      <c r="Q116" s="15"/>
      <c r="R116" s="15"/>
      <c r="S116" s="15"/>
      <c r="T116" s="15"/>
      <c r="U116" s="15"/>
      <c r="V116" s="15"/>
      <c r="W116" s="15"/>
      <c r="X116" s="15"/>
      <c r="Y116" s="15"/>
      <c r="Z116" s="15"/>
      <c r="AA116" s="15"/>
      <c r="AB116" s="15"/>
      <c r="AC116" s="15"/>
      <c r="AD116" s="15"/>
      <c r="AE116" s="15"/>
      <c r="AF116" s="15"/>
      <c r="AG116" s="15"/>
      <c r="AH116" s="15"/>
      <c r="AI116" s="15"/>
      <c r="AJ116" s="15"/>
      <c r="AK116" s="15"/>
      <c r="AL116" s="15"/>
      <c r="AM116" s="15"/>
      <c r="AN116" s="15"/>
      <c r="AO116" s="15"/>
      <c r="AP116" s="15"/>
      <c r="AQ116" s="15"/>
      <c r="AR116" s="15"/>
      <c r="AS116" s="15"/>
      <c r="AT116" s="15"/>
      <c r="AU116" s="15"/>
      <c r="AV116" s="15"/>
      <c r="AW116" s="15"/>
      <c r="AX116" s="15"/>
      <c r="AY116" s="15"/>
      <c r="AZ116" s="15"/>
      <c r="BA116" s="15"/>
      <c r="BB116" s="15"/>
      <c r="BC116" s="15"/>
      <c r="BD116" s="15"/>
      <c r="BE116" s="15"/>
      <c r="BF116" s="15"/>
      <c r="BG116" s="15"/>
      <c r="BH116" s="15"/>
      <c r="BI116" s="15"/>
      <c r="BJ116" s="15"/>
      <c r="BK116" s="15"/>
      <c r="BL116" s="15"/>
      <c r="BM116" s="15"/>
      <c r="BN116" s="15"/>
      <c r="BO116" s="15"/>
      <c r="BP116" s="15"/>
      <c r="BQ116" s="15"/>
      <c r="BR116" s="15"/>
      <c r="BS116" s="15"/>
      <c r="BT116" s="15"/>
      <c r="BU116" s="15"/>
      <c r="BV116" s="15"/>
      <c r="BW116" s="15"/>
      <c r="BX116" s="15"/>
      <c r="BY116" s="15"/>
      <c r="BZ116" s="15"/>
      <c r="CA116" s="15"/>
      <c r="CB116" s="15"/>
      <c r="CC116" s="15"/>
      <c r="CD116" s="15"/>
      <c r="CE116" s="15"/>
      <c r="CF116" s="15"/>
      <c r="CG116" s="15"/>
      <c r="CH116" s="15"/>
      <c r="CI116" s="15"/>
      <c r="CJ116" s="15"/>
      <c r="CK116" s="15"/>
      <c r="CL116" s="15"/>
      <c r="CM116" s="15"/>
      <c r="CN116" s="15"/>
      <c r="CO116" s="15"/>
      <c r="CP116" s="15"/>
      <c r="CQ116" s="15"/>
      <c r="CR116" s="15"/>
      <c r="CS116" s="15"/>
      <c r="CT116" s="15"/>
      <c r="CU116" s="15"/>
      <c r="CV116" s="15"/>
      <c r="CW116" s="15"/>
      <c r="CX116" s="15"/>
      <c r="CY116" s="15"/>
      <c r="CZ116" s="15"/>
      <c r="DA116" s="15"/>
      <c r="DB116" s="15"/>
      <c r="DC116" s="15"/>
    </row>
    <row r="117" spans="1:107" s="9" customFormat="1" ht="12" customHeight="1" x14ac:dyDescent="0.25">
      <c r="A117"/>
      <c r="B117" s="216">
        <v>6687</v>
      </c>
      <c r="C117" s="217"/>
      <c r="D117" s="168">
        <v>10123</v>
      </c>
      <c r="E117" s="172">
        <v>10953</v>
      </c>
      <c r="F117" s="172">
        <v>11767</v>
      </c>
      <c r="G117" s="172">
        <v>13036</v>
      </c>
      <c r="H117" s="172">
        <v>13967</v>
      </c>
      <c r="I117" s="172">
        <v>14729</v>
      </c>
      <c r="J117" s="172">
        <v>15533</v>
      </c>
      <c r="K117" s="172">
        <v>16531</v>
      </c>
      <c r="L117" s="172">
        <v>17687</v>
      </c>
      <c r="M117" s="172"/>
      <c r="N117" s="174"/>
      <c r="P117" s="127"/>
      <c r="Q117" s="15"/>
      <c r="R117" s="15"/>
      <c r="S117" s="15"/>
      <c r="T117" s="15"/>
      <c r="U117" s="15"/>
      <c r="V117" s="15"/>
      <c r="W117" s="15"/>
      <c r="X117" s="15"/>
      <c r="Y117" s="15"/>
      <c r="Z117" s="15"/>
      <c r="AA117" s="15"/>
      <c r="AB117" s="15"/>
      <c r="AC117" s="15"/>
      <c r="AD117" s="15"/>
      <c r="AE117" s="15"/>
      <c r="AF117" s="15"/>
      <c r="AG117" s="15"/>
      <c r="AH117" s="15"/>
      <c r="AI117" s="15"/>
      <c r="AJ117" s="15"/>
      <c r="AK117" s="15"/>
      <c r="AL117" s="15"/>
      <c r="AM117" s="15"/>
      <c r="AN117" s="15"/>
      <c r="AO117" s="15"/>
      <c r="AP117" s="15"/>
      <c r="AQ117" s="15"/>
      <c r="AR117" s="15"/>
      <c r="AS117" s="15"/>
      <c r="AT117" s="15"/>
      <c r="AU117" s="15"/>
      <c r="AV117" s="15"/>
      <c r="AW117" s="15"/>
      <c r="AX117" s="15"/>
      <c r="AY117" s="15"/>
      <c r="AZ117" s="15"/>
      <c r="BA117" s="15"/>
      <c r="BB117" s="15"/>
      <c r="BC117" s="15"/>
      <c r="BD117" s="15"/>
      <c r="BE117" s="15"/>
      <c r="BF117" s="15"/>
      <c r="BG117" s="15"/>
      <c r="BH117" s="15"/>
      <c r="BI117" s="15"/>
      <c r="BJ117" s="15"/>
      <c r="BK117" s="15"/>
      <c r="BL117" s="15"/>
      <c r="BM117" s="15"/>
      <c r="BN117" s="15"/>
      <c r="BO117" s="15"/>
      <c r="BP117" s="15"/>
      <c r="BQ117" s="15"/>
      <c r="BR117" s="15"/>
      <c r="BS117" s="15"/>
      <c r="BT117" s="15"/>
      <c r="BU117" s="15"/>
      <c r="BV117" s="15"/>
      <c r="BW117" s="15"/>
      <c r="BX117" s="15"/>
      <c r="BY117" s="15"/>
      <c r="BZ117" s="15"/>
      <c r="CA117" s="15"/>
      <c r="CB117" s="15"/>
      <c r="CC117" s="15"/>
      <c r="CD117" s="15"/>
      <c r="CE117" s="15"/>
      <c r="CF117" s="15"/>
      <c r="CG117" s="15"/>
      <c r="CH117" s="15"/>
      <c r="CI117" s="15"/>
      <c r="CJ117" s="15"/>
      <c r="CK117" s="15"/>
      <c r="CL117" s="15"/>
      <c r="CM117" s="15"/>
      <c r="CN117" s="15"/>
      <c r="CO117" s="15"/>
      <c r="CP117" s="15"/>
      <c r="CQ117" s="15"/>
      <c r="CR117" s="15"/>
      <c r="CS117" s="15"/>
      <c r="CT117" s="15"/>
      <c r="CU117" s="15"/>
      <c r="CV117" s="15"/>
      <c r="CW117" s="15"/>
      <c r="CX117" s="15"/>
      <c r="CY117" s="15"/>
      <c r="CZ117" s="15"/>
      <c r="DA117" s="15"/>
      <c r="DB117" s="15"/>
      <c r="DC117" s="15"/>
    </row>
    <row r="118" spans="1:107" s="9" customFormat="1" ht="12" customHeight="1" x14ac:dyDescent="0.25">
      <c r="A118"/>
      <c r="B118" s="216">
        <v>6721</v>
      </c>
      <c r="C118" s="217"/>
      <c r="D118" s="168">
        <v>10130</v>
      </c>
      <c r="E118" s="172">
        <v>10964</v>
      </c>
      <c r="F118" s="172">
        <v>11783</v>
      </c>
      <c r="G118" s="172">
        <v>13101</v>
      </c>
      <c r="H118" s="172">
        <v>13974</v>
      </c>
      <c r="I118" s="172">
        <v>14730</v>
      </c>
      <c r="J118" s="172">
        <v>15583</v>
      </c>
      <c r="K118" s="172">
        <v>16535</v>
      </c>
      <c r="L118" s="172">
        <v>17688</v>
      </c>
      <c r="M118" s="172"/>
      <c r="N118" s="174"/>
      <c r="P118" s="127"/>
      <c r="Q118" s="15"/>
      <c r="R118" s="15"/>
      <c r="S118" s="15"/>
      <c r="T118" s="15"/>
      <c r="U118" s="15"/>
      <c r="V118" s="15"/>
      <c r="W118" s="15"/>
      <c r="X118" s="15"/>
      <c r="Y118" s="15"/>
      <c r="Z118" s="15"/>
      <c r="AA118" s="15"/>
      <c r="AB118" s="15"/>
      <c r="AC118" s="15"/>
      <c r="AD118" s="15"/>
      <c r="AE118" s="15"/>
      <c r="AF118" s="15"/>
      <c r="AG118" s="15"/>
      <c r="AH118" s="15"/>
      <c r="AI118" s="15"/>
      <c r="AJ118" s="15"/>
      <c r="AK118" s="15"/>
      <c r="AL118" s="15"/>
      <c r="AM118" s="15"/>
      <c r="AN118" s="15"/>
      <c r="AO118" s="15"/>
      <c r="AP118" s="15"/>
      <c r="AQ118" s="15"/>
      <c r="AR118" s="15"/>
      <c r="AS118" s="15"/>
      <c r="AT118" s="15"/>
      <c r="AU118" s="15"/>
      <c r="AV118" s="15"/>
      <c r="AW118" s="15"/>
      <c r="AX118" s="15"/>
      <c r="AY118" s="15"/>
      <c r="AZ118" s="15"/>
      <c r="BA118" s="15"/>
      <c r="BB118" s="15"/>
      <c r="BC118" s="15"/>
      <c r="BD118" s="15"/>
      <c r="BE118" s="15"/>
      <c r="BF118" s="15"/>
      <c r="BG118" s="15"/>
      <c r="BH118" s="15"/>
      <c r="BI118" s="15"/>
      <c r="BJ118" s="15"/>
      <c r="BK118" s="15"/>
      <c r="BL118" s="15"/>
      <c r="BM118" s="15"/>
      <c r="BN118" s="15"/>
      <c r="BO118" s="15"/>
      <c r="BP118" s="15"/>
      <c r="BQ118" s="15"/>
      <c r="BR118" s="15"/>
      <c r="BS118" s="15"/>
      <c r="BT118" s="15"/>
      <c r="BU118" s="15"/>
      <c r="BV118" s="15"/>
      <c r="BW118" s="15"/>
      <c r="BX118" s="15"/>
      <c r="BY118" s="15"/>
      <c r="BZ118" s="15"/>
      <c r="CA118" s="15"/>
      <c r="CB118" s="15"/>
      <c r="CC118" s="15"/>
      <c r="CD118" s="15"/>
      <c r="CE118" s="15"/>
      <c r="CF118" s="15"/>
      <c r="CG118" s="15"/>
      <c r="CH118" s="15"/>
      <c r="CI118" s="15"/>
      <c r="CJ118" s="15"/>
      <c r="CK118" s="15"/>
      <c r="CL118" s="15"/>
      <c r="CM118" s="15"/>
      <c r="CN118" s="15"/>
      <c r="CO118" s="15"/>
      <c r="CP118" s="15"/>
      <c r="CQ118" s="15"/>
      <c r="CR118" s="15"/>
      <c r="CS118" s="15"/>
      <c r="CT118" s="15"/>
      <c r="CU118" s="15"/>
      <c r="CV118" s="15"/>
      <c r="CW118" s="15"/>
      <c r="CX118" s="15"/>
      <c r="CY118" s="15"/>
      <c r="CZ118" s="15"/>
      <c r="DA118" s="15"/>
      <c r="DB118" s="15"/>
      <c r="DC118" s="15"/>
    </row>
    <row r="119" spans="1:107" s="9" customFormat="1" ht="12" customHeight="1" x14ac:dyDescent="0.25">
      <c r="A119"/>
      <c r="B119" s="216">
        <v>6831</v>
      </c>
      <c r="C119" s="217"/>
      <c r="D119" s="172">
        <v>10133</v>
      </c>
      <c r="E119" s="172">
        <v>10973</v>
      </c>
      <c r="F119" s="172">
        <v>11787</v>
      </c>
      <c r="G119" s="172">
        <v>13112</v>
      </c>
      <c r="H119" s="172">
        <v>13979</v>
      </c>
      <c r="I119" s="172">
        <v>14731</v>
      </c>
      <c r="J119" s="172">
        <v>15603</v>
      </c>
      <c r="K119" s="172">
        <v>16557</v>
      </c>
      <c r="L119" s="172">
        <v>17689</v>
      </c>
      <c r="M119" s="172"/>
      <c r="N119" s="174"/>
      <c r="P119" s="127"/>
      <c r="Q119" s="15"/>
      <c r="R119" s="15"/>
      <c r="S119" s="15"/>
      <c r="T119" s="15"/>
      <c r="U119" s="15"/>
      <c r="V119" s="15"/>
      <c r="W119" s="15"/>
      <c r="X119" s="15"/>
      <c r="Y119" s="15"/>
      <c r="Z119" s="15"/>
      <c r="AA119" s="15"/>
      <c r="AB119" s="15"/>
      <c r="AC119" s="15"/>
      <c r="AD119" s="15"/>
      <c r="AE119" s="15"/>
      <c r="AF119" s="15"/>
      <c r="AG119" s="15"/>
      <c r="AH119" s="15"/>
      <c r="AI119" s="15"/>
      <c r="AJ119" s="15"/>
      <c r="AK119" s="15"/>
      <c r="AL119" s="15"/>
      <c r="AM119" s="15"/>
      <c r="AN119" s="15"/>
      <c r="AO119" s="15"/>
      <c r="AP119" s="15"/>
      <c r="AQ119" s="15"/>
      <c r="AR119" s="15"/>
      <c r="AS119" s="15"/>
      <c r="AT119" s="15"/>
      <c r="AU119" s="15"/>
      <c r="AV119" s="15"/>
      <c r="AW119" s="15"/>
      <c r="AX119" s="15"/>
      <c r="AY119" s="15"/>
      <c r="AZ119" s="15"/>
      <c r="BA119" s="15"/>
      <c r="BB119" s="15"/>
      <c r="BC119" s="15"/>
      <c r="BD119" s="15"/>
      <c r="BE119" s="15"/>
      <c r="BF119" s="15"/>
      <c r="BG119" s="15"/>
      <c r="BH119" s="15"/>
      <c r="BI119" s="15"/>
      <c r="BJ119" s="15"/>
      <c r="BK119" s="15"/>
      <c r="BL119" s="15"/>
      <c r="BM119" s="15"/>
      <c r="BN119" s="15"/>
      <c r="BO119" s="15"/>
      <c r="BP119" s="15"/>
      <c r="BQ119" s="15"/>
      <c r="BR119" s="15"/>
      <c r="BS119" s="15"/>
      <c r="BT119" s="15"/>
      <c r="BU119" s="15"/>
      <c r="BV119" s="15"/>
      <c r="BW119" s="15"/>
      <c r="BX119" s="15"/>
      <c r="BY119" s="15"/>
      <c r="BZ119" s="15"/>
      <c r="CA119" s="15"/>
      <c r="CB119" s="15"/>
      <c r="CC119" s="15"/>
      <c r="CD119" s="15"/>
      <c r="CE119" s="15"/>
      <c r="CF119" s="15"/>
      <c r="CG119" s="15"/>
      <c r="CH119" s="15"/>
      <c r="CI119" s="15"/>
      <c r="CJ119" s="15"/>
      <c r="CK119" s="15"/>
      <c r="CL119" s="15"/>
      <c r="CM119" s="15"/>
      <c r="CN119" s="15"/>
      <c r="CO119" s="15"/>
      <c r="CP119" s="15"/>
      <c r="CQ119" s="15"/>
      <c r="CR119" s="15"/>
      <c r="CS119" s="15"/>
      <c r="CT119" s="15"/>
      <c r="CU119" s="15"/>
      <c r="CV119" s="15"/>
      <c r="CW119" s="15"/>
      <c r="CX119" s="15"/>
      <c r="CY119" s="15"/>
      <c r="CZ119" s="15"/>
      <c r="DA119" s="15"/>
      <c r="DB119" s="15"/>
      <c r="DC119" s="15"/>
    </row>
    <row r="120" spans="1:107" s="9" customFormat="1" ht="12" customHeight="1" x14ac:dyDescent="0.25">
      <c r="A120"/>
      <c r="B120" s="216">
        <v>6888</v>
      </c>
      <c r="C120" s="217"/>
      <c r="D120" s="172">
        <v>10140</v>
      </c>
      <c r="E120" s="172">
        <v>10985</v>
      </c>
      <c r="F120" s="172">
        <v>11788</v>
      </c>
      <c r="G120" s="172">
        <v>13119</v>
      </c>
      <c r="H120" s="172">
        <v>13989</v>
      </c>
      <c r="I120" s="172">
        <v>14741</v>
      </c>
      <c r="J120" s="172">
        <v>15604</v>
      </c>
      <c r="K120" s="172">
        <v>16625</v>
      </c>
      <c r="L120" s="172">
        <v>17700</v>
      </c>
      <c r="M120" s="172"/>
      <c r="N120" s="153">
        <f>COUNTA(B69:M120)+COUNTA(N69:N119)</f>
        <v>529</v>
      </c>
      <c r="P120" s="127"/>
      <c r="Q120" s="15"/>
      <c r="R120" s="15"/>
      <c r="S120" s="15"/>
      <c r="T120" s="15"/>
      <c r="U120" s="15"/>
      <c r="V120" s="15"/>
      <c r="W120" s="15"/>
      <c r="X120" s="15"/>
      <c r="Y120" s="15"/>
      <c r="Z120" s="15"/>
      <c r="AA120" s="15"/>
      <c r="AB120" s="15"/>
      <c r="AC120" s="15"/>
      <c r="AD120" s="15"/>
      <c r="AE120" s="15"/>
      <c r="AF120" s="15"/>
      <c r="AG120" s="15"/>
      <c r="AH120" s="15"/>
      <c r="AI120" s="15"/>
      <c r="AJ120" s="15"/>
      <c r="AK120" s="15"/>
      <c r="AL120" s="15"/>
      <c r="AM120" s="15"/>
      <c r="AN120" s="15"/>
      <c r="AO120" s="15"/>
      <c r="AP120" s="15"/>
      <c r="AQ120" s="15"/>
      <c r="AR120" s="15"/>
      <c r="AS120" s="15"/>
      <c r="AT120" s="15"/>
      <c r="AU120" s="15"/>
      <c r="AV120" s="15"/>
      <c r="AW120" s="15"/>
      <c r="AX120" s="15"/>
      <c r="AY120" s="15"/>
      <c r="AZ120" s="15"/>
      <c r="BA120" s="15"/>
      <c r="BB120" s="15"/>
      <c r="BC120" s="15"/>
      <c r="BD120" s="15"/>
      <c r="BE120" s="15"/>
      <c r="BF120" s="15"/>
      <c r="BG120" s="15"/>
      <c r="BH120" s="15"/>
      <c r="BI120" s="15"/>
      <c r="BJ120" s="15"/>
      <c r="BK120" s="15"/>
      <c r="BL120" s="15"/>
      <c r="BM120" s="15"/>
      <c r="BN120" s="15"/>
      <c r="BO120" s="15"/>
      <c r="BP120" s="15"/>
      <c r="BQ120" s="15"/>
      <c r="BR120" s="15"/>
      <c r="BS120" s="15"/>
      <c r="BT120" s="15"/>
      <c r="BU120" s="15"/>
      <c r="BV120" s="15"/>
      <c r="BW120" s="15"/>
      <c r="BX120" s="15"/>
      <c r="BY120" s="15"/>
      <c r="BZ120" s="15"/>
      <c r="CA120" s="15"/>
      <c r="CB120" s="15"/>
      <c r="CC120" s="15"/>
      <c r="CD120" s="15"/>
      <c r="CE120" s="15"/>
      <c r="CF120" s="15"/>
      <c r="CG120" s="15"/>
      <c r="CH120" s="15"/>
      <c r="CI120" s="15"/>
      <c r="CJ120" s="15"/>
      <c r="CK120" s="15"/>
      <c r="CL120" s="15"/>
      <c r="CM120" s="15"/>
      <c r="CN120" s="15"/>
      <c r="CO120" s="15"/>
      <c r="CP120" s="15"/>
      <c r="CQ120" s="15"/>
      <c r="CR120" s="15"/>
      <c r="CS120" s="15"/>
      <c r="CT120" s="15"/>
      <c r="CU120" s="15"/>
      <c r="CV120" s="15"/>
      <c r="CW120" s="15"/>
      <c r="CX120" s="15"/>
      <c r="CY120" s="15"/>
      <c r="CZ120" s="15"/>
      <c r="DA120" s="15"/>
      <c r="DB120" s="15"/>
      <c r="DC120" s="15"/>
    </row>
    <row r="121" spans="1:107" ht="12.75" customHeight="1" x14ac:dyDescent="0.25">
      <c r="B121" s="3"/>
      <c r="C121" s="2"/>
      <c r="D121" s="2"/>
      <c r="E121" s="2"/>
      <c r="F121" s="2"/>
      <c r="G121" s="2"/>
      <c r="H121" s="2"/>
      <c r="I121" s="2"/>
      <c r="J121" s="2"/>
      <c r="K121" s="2"/>
      <c r="L121" s="2"/>
      <c r="M121" s="40"/>
      <c r="N121" s="40"/>
      <c r="Q121" s="15"/>
      <c r="T121" s="15"/>
      <c r="U121" s="15"/>
      <c r="V121" s="15"/>
      <c r="W121" s="15"/>
      <c r="X121" s="15"/>
      <c r="Y121" s="15"/>
      <c r="Z121" s="15"/>
      <c r="AA121" s="15"/>
      <c r="AB121" s="15"/>
      <c r="AC121" s="15"/>
      <c r="AD121" s="15"/>
      <c r="AE121" s="15"/>
      <c r="AF121" s="15"/>
      <c r="AG121" s="15"/>
      <c r="AH121" s="15"/>
      <c r="AI121" s="15"/>
      <c r="AJ121" s="15"/>
      <c r="AK121" s="15"/>
      <c r="AL121" s="15"/>
      <c r="AM121" s="15"/>
      <c r="AN121" s="15"/>
      <c r="AO121" s="15"/>
      <c r="AP121" s="15"/>
      <c r="AQ121" s="15"/>
      <c r="AR121" s="15"/>
      <c r="AS121" s="15"/>
      <c r="AT121" s="15"/>
      <c r="AU121" s="15"/>
      <c r="AV121" s="15"/>
      <c r="AW121" s="15"/>
      <c r="AX121" s="15"/>
      <c r="AY121" s="15"/>
      <c r="AZ121" s="15"/>
      <c r="BA121" s="15"/>
      <c r="BB121" s="15"/>
      <c r="BC121" s="15"/>
      <c r="BD121" s="15"/>
      <c r="BE121" s="15"/>
      <c r="BF121" s="15"/>
      <c r="BG121" s="15"/>
      <c r="BH121" s="15"/>
      <c r="BI121" s="15"/>
      <c r="BJ121" s="15"/>
      <c r="BK121" s="15"/>
      <c r="BL121" s="15"/>
      <c r="BM121" s="15"/>
      <c r="BN121" s="15"/>
      <c r="BO121" s="15"/>
      <c r="BP121" s="15"/>
      <c r="BQ121" s="15"/>
      <c r="BR121" s="15"/>
      <c r="BS121" s="15"/>
      <c r="BT121" s="15"/>
    </row>
    <row r="122" spans="1:107" s="8" customFormat="1" ht="12.75" customHeight="1" x14ac:dyDescent="0.25">
      <c r="A122"/>
      <c r="B122" s="288" t="s">
        <v>472</v>
      </c>
      <c r="C122" s="288"/>
      <c r="D122" s="288"/>
      <c r="E122" s="288"/>
      <c r="F122" s="288"/>
      <c r="G122" s="288"/>
      <c r="H122" s="288"/>
      <c r="I122" s="288"/>
      <c r="J122" s="288"/>
      <c r="K122" s="288"/>
      <c r="L122" s="288"/>
      <c r="M122" s="288"/>
      <c r="N122" s="288"/>
      <c r="O122" s="15"/>
      <c r="P122" s="127"/>
      <c r="Q122" s="15"/>
      <c r="R122" s="15"/>
      <c r="S122" s="15"/>
      <c r="T122" s="50"/>
      <c r="U122" s="9"/>
      <c r="V122" s="42"/>
      <c r="W122" s="42"/>
      <c r="X122" s="42"/>
      <c r="Y122" s="42"/>
      <c r="Z122" s="42"/>
      <c r="AA122" s="42"/>
      <c r="AB122" s="42"/>
      <c r="AC122" s="42"/>
      <c r="AD122" s="42"/>
      <c r="AE122" s="42"/>
      <c r="AF122" s="42"/>
      <c r="AG122" s="42"/>
      <c r="AH122" s="42"/>
      <c r="AI122" s="42"/>
      <c r="AJ122" s="42"/>
      <c r="AK122" s="42"/>
      <c r="AL122" s="42"/>
      <c r="AM122" s="42"/>
      <c r="AN122" s="42"/>
      <c r="AO122" s="42"/>
      <c r="AP122" s="42"/>
      <c r="AQ122" s="42"/>
      <c r="AR122" s="42"/>
      <c r="AS122" s="42"/>
      <c r="AT122" s="42"/>
      <c r="AU122" s="42"/>
      <c r="AV122" s="42"/>
      <c r="AW122" s="42"/>
      <c r="AX122" s="42"/>
      <c r="AY122" s="42"/>
      <c r="AZ122" s="42"/>
      <c r="BA122" s="42"/>
      <c r="BB122" s="42"/>
      <c r="BC122" s="42"/>
      <c r="BD122" s="42"/>
      <c r="BE122" s="42"/>
      <c r="BF122" s="42"/>
      <c r="BG122" s="42"/>
      <c r="BH122" s="42"/>
      <c r="BI122" s="42"/>
      <c r="BJ122" s="42"/>
      <c r="BK122" s="42"/>
      <c r="BL122" s="42"/>
      <c r="BM122" s="42"/>
      <c r="BN122" s="42"/>
      <c r="BO122" s="42"/>
      <c r="BP122" s="42"/>
      <c r="BQ122" s="42"/>
      <c r="BR122" s="42"/>
      <c r="BS122" s="42"/>
      <c r="BT122" s="63"/>
      <c r="BU122" s="25" t="s">
        <v>230</v>
      </c>
    </row>
    <row r="123" spans="1:107" ht="12.75" customHeight="1" x14ac:dyDescent="0.25">
      <c r="B123" s="285" t="s">
        <v>86</v>
      </c>
      <c r="C123" s="285"/>
      <c r="D123" s="285"/>
      <c r="E123" s="285"/>
      <c r="F123" s="285"/>
      <c r="G123" s="285"/>
      <c r="H123" s="285"/>
      <c r="I123" s="285"/>
      <c r="J123" s="285"/>
      <c r="K123" s="285"/>
      <c r="L123" s="285"/>
      <c r="M123" s="285"/>
      <c r="N123" s="285"/>
      <c r="Q123" s="15"/>
      <c r="V123" s="42"/>
      <c r="W123" s="42"/>
      <c r="X123" s="42"/>
      <c r="Y123" s="42"/>
      <c r="Z123" s="42"/>
      <c r="AA123" s="42"/>
      <c r="AB123" s="42"/>
      <c r="AC123" s="42"/>
      <c r="AD123" s="42"/>
      <c r="AE123" s="42"/>
      <c r="AF123" s="42"/>
      <c r="AG123" s="42"/>
      <c r="AH123" s="42"/>
      <c r="AI123" s="42"/>
      <c r="AJ123" s="42"/>
      <c r="AK123" s="42"/>
      <c r="AL123" s="42"/>
      <c r="AM123" s="42"/>
      <c r="AN123" s="42"/>
      <c r="AO123" s="42"/>
      <c r="AP123" s="42"/>
      <c r="AQ123" s="42"/>
      <c r="AR123" s="42"/>
      <c r="AS123" s="42"/>
      <c r="AT123" s="42"/>
      <c r="AU123" s="42"/>
      <c r="AV123" s="42"/>
      <c r="AW123" s="42"/>
      <c r="AX123" s="42"/>
      <c r="AY123" s="42"/>
      <c r="AZ123" s="42"/>
      <c r="BA123" s="42"/>
      <c r="BB123" s="42"/>
      <c r="BC123" s="42"/>
      <c r="BD123" s="42"/>
      <c r="BE123" s="42"/>
      <c r="BF123" s="42"/>
      <c r="BG123" s="42"/>
      <c r="BH123" s="42"/>
      <c r="BI123" s="42"/>
      <c r="BJ123" s="42"/>
      <c r="BK123" s="42"/>
      <c r="BL123" s="42"/>
      <c r="BM123" s="42"/>
      <c r="BN123" s="42"/>
      <c r="BO123" s="42"/>
      <c r="BP123" s="42"/>
      <c r="BQ123" s="42"/>
      <c r="BR123" s="42"/>
      <c r="BS123" s="42"/>
      <c r="BU123" s="25" t="s">
        <v>230</v>
      </c>
    </row>
    <row r="124" spans="1:107" ht="36" customHeight="1" x14ac:dyDescent="0.25">
      <c r="B124" s="332" t="s">
        <v>27</v>
      </c>
      <c r="C124" s="332"/>
      <c r="D124" s="332"/>
      <c r="E124" s="332"/>
      <c r="F124" s="332"/>
      <c r="G124" s="332"/>
      <c r="H124" s="332"/>
      <c r="I124" s="332"/>
      <c r="J124" s="332"/>
      <c r="K124" s="332"/>
      <c r="L124" s="332"/>
      <c r="M124" s="332"/>
      <c r="N124" s="332"/>
      <c r="Q124" s="15"/>
      <c r="V124" s="42"/>
      <c r="W124" s="42"/>
      <c r="X124" s="42"/>
      <c r="Y124" s="42"/>
      <c r="Z124" s="42"/>
      <c r="AA124" s="42"/>
      <c r="AB124" s="42"/>
      <c r="AC124" s="42"/>
      <c r="AD124" s="42"/>
      <c r="AE124" s="42"/>
      <c r="AF124" s="42"/>
      <c r="AG124" s="42"/>
      <c r="AH124" s="42"/>
      <c r="AI124" s="42"/>
      <c r="AJ124" s="42"/>
      <c r="AK124" s="42"/>
      <c r="AL124" s="42"/>
      <c r="AM124" s="42"/>
      <c r="AN124" s="42"/>
      <c r="AO124" s="42"/>
      <c r="AP124" s="42"/>
      <c r="AQ124" s="42"/>
      <c r="AR124" s="42"/>
      <c r="AS124" s="42"/>
      <c r="AT124" s="42"/>
      <c r="AU124" s="42"/>
      <c r="AV124" s="42"/>
      <c r="AW124" s="42"/>
      <c r="AX124" s="42"/>
      <c r="AY124" s="42"/>
      <c r="AZ124" s="42"/>
      <c r="BA124" s="42"/>
      <c r="BB124" s="42"/>
      <c r="BC124" s="42"/>
      <c r="BD124" s="42"/>
      <c r="BE124" s="42"/>
      <c r="BF124" s="42"/>
      <c r="BG124" s="42"/>
      <c r="BH124" s="42"/>
      <c r="BI124" s="42"/>
      <c r="BJ124" s="42"/>
      <c r="BK124" s="42"/>
      <c r="BL124" s="42"/>
      <c r="BM124" s="42"/>
      <c r="BN124" s="42"/>
      <c r="BO124" s="42"/>
      <c r="BP124" s="42"/>
      <c r="BQ124" s="42"/>
      <c r="BR124" s="42"/>
      <c r="BS124" s="42"/>
      <c r="BU124" s="25" t="s">
        <v>230</v>
      </c>
    </row>
    <row r="125" spans="1:107" s="1" customFormat="1" ht="12.75" customHeight="1" x14ac:dyDescent="0.25">
      <c r="A125"/>
      <c r="B125" s="243" t="s">
        <v>28</v>
      </c>
      <c r="C125" s="230" t="s">
        <v>369</v>
      </c>
      <c r="D125" s="231"/>
      <c r="E125" s="231"/>
      <c r="F125" s="232"/>
      <c r="G125" s="241" t="s">
        <v>282</v>
      </c>
      <c r="H125" s="219" t="s">
        <v>249</v>
      </c>
      <c r="I125" s="220"/>
      <c r="J125" s="241" t="s">
        <v>30</v>
      </c>
      <c r="K125" s="219" t="s">
        <v>31</v>
      </c>
      <c r="L125" s="220"/>
      <c r="M125" s="223" t="s">
        <v>245</v>
      </c>
      <c r="N125" s="225" t="s">
        <v>32</v>
      </c>
      <c r="O125" s="15"/>
      <c r="P125" s="127"/>
      <c r="Q125" s="15"/>
      <c r="R125" s="15"/>
      <c r="S125" s="15"/>
      <c r="T125" s="50"/>
      <c r="U125" s="9"/>
      <c r="V125" s="42"/>
      <c r="W125" s="42"/>
      <c r="X125" s="42"/>
      <c r="Y125" s="42"/>
      <c r="Z125" s="42"/>
      <c r="AA125" s="42"/>
      <c r="AB125" s="42"/>
      <c r="AC125" s="42"/>
      <c r="AD125" s="42"/>
      <c r="AE125" s="42"/>
      <c r="AF125" s="42"/>
      <c r="AG125" s="42"/>
      <c r="AH125" s="42"/>
      <c r="AI125" s="42"/>
      <c r="AJ125" s="42"/>
      <c r="AK125" s="42"/>
      <c r="AL125" s="42"/>
      <c r="AM125" s="42"/>
      <c r="AN125" s="42"/>
      <c r="AO125" s="42"/>
      <c r="AP125" s="42"/>
      <c r="AQ125" s="42"/>
      <c r="AR125" s="42"/>
      <c r="AS125" s="42"/>
      <c r="AT125" s="42"/>
      <c r="AU125" s="42"/>
      <c r="AV125" s="42"/>
      <c r="AW125" s="42"/>
      <c r="AX125" s="42"/>
      <c r="AY125" s="42"/>
      <c r="AZ125" s="42"/>
      <c r="BA125" s="42"/>
      <c r="BB125" s="42"/>
      <c r="BC125" s="42"/>
      <c r="BD125" s="42"/>
      <c r="BE125" s="42"/>
      <c r="BF125" s="42"/>
      <c r="BG125" s="42"/>
      <c r="BH125" s="42"/>
      <c r="BI125" s="42"/>
      <c r="BJ125" s="42"/>
      <c r="BK125" s="42"/>
      <c r="BL125" s="42"/>
      <c r="BM125" s="42"/>
      <c r="BN125" s="42"/>
      <c r="BO125" s="42"/>
      <c r="BP125" s="42"/>
      <c r="BQ125" s="42"/>
      <c r="BR125" s="42"/>
      <c r="BS125" s="42"/>
      <c r="BT125" s="63"/>
      <c r="BU125" s="25" t="s">
        <v>230</v>
      </c>
    </row>
    <row r="126" spans="1:107" s="1" customFormat="1" ht="12.75" customHeight="1" x14ac:dyDescent="0.25">
      <c r="A126"/>
      <c r="B126" s="229"/>
      <c r="C126" s="233"/>
      <c r="D126" s="234"/>
      <c r="E126" s="234"/>
      <c r="F126" s="235"/>
      <c r="G126" s="242"/>
      <c r="H126" s="221"/>
      <c r="I126" s="222"/>
      <c r="J126" s="242"/>
      <c r="K126" s="221"/>
      <c r="L126" s="222"/>
      <c r="M126" s="224"/>
      <c r="N126" s="226"/>
      <c r="O126" s="15"/>
      <c r="P126" s="127"/>
      <c r="Q126" s="15"/>
      <c r="R126" s="15"/>
      <c r="S126" s="15"/>
      <c r="T126" s="50"/>
      <c r="U126" s="9"/>
      <c r="V126" s="42"/>
      <c r="W126" s="42"/>
      <c r="X126" s="42"/>
      <c r="Y126" s="42"/>
      <c r="Z126" s="42"/>
      <c r="AA126" s="42"/>
      <c r="AB126" s="42"/>
      <c r="AC126" s="42"/>
      <c r="AD126" s="42"/>
      <c r="AE126" s="42"/>
      <c r="AF126" s="42"/>
      <c r="AG126" s="42"/>
      <c r="AH126" s="42"/>
      <c r="AI126" s="42"/>
      <c r="AJ126" s="42"/>
      <c r="AK126" s="42"/>
      <c r="AL126" s="42"/>
      <c r="AM126" s="42"/>
      <c r="AN126" s="42"/>
      <c r="AO126" s="42"/>
      <c r="AP126" s="42"/>
      <c r="AQ126" s="42"/>
      <c r="AR126" s="42"/>
      <c r="AS126" s="42"/>
      <c r="AT126" s="42"/>
      <c r="AU126" s="42"/>
      <c r="AV126" s="42"/>
      <c r="AW126" s="42"/>
      <c r="AX126" s="42"/>
      <c r="AY126" s="42"/>
      <c r="AZ126" s="42"/>
      <c r="BA126" s="42"/>
      <c r="BB126" s="42"/>
      <c r="BC126" s="42"/>
      <c r="BD126" s="42"/>
      <c r="BE126" s="42"/>
      <c r="BF126" s="42"/>
      <c r="BG126" s="42"/>
      <c r="BH126" s="42"/>
      <c r="BI126" s="42"/>
      <c r="BJ126" s="42"/>
      <c r="BK126" s="42"/>
      <c r="BL126" s="42"/>
      <c r="BM126" s="42"/>
      <c r="BN126" s="42"/>
      <c r="BO126" s="42"/>
      <c r="BP126" s="42"/>
      <c r="BQ126" s="42"/>
      <c r="BR126" s="42"/>
      <c r="BS126" s="42"/>
      <c r="BT126" s="63"/>
      <c r="BU126" s="25" t="s">
        <v>230</v>
      </c>
    </row>
    <row r="127" spans="1:107" s="1" customFormat="1" ht="12.75" customHeight="1" x14ac:dyDescent="0.25">
      <c r="A127"/>
      <c r="B127" s="282" t="s">
        <v>33</v>
      </c>
      <c r="C127" s="283"/>
      <c r="D127" s="283"/>
      <c r="E127" s="283"/>
      <c r="F127" s="283"/>
      <c r="G127" s="283"/>
      <c r="H127" s="283"/>
      <c r="I127" s="283"/>
      <c r="J127" s="283"/>
      <c r="K127" s="283"/>
      <c r="L127" s="283"/>
      <c r="M127" s="283"/>
      <c r="N127" s="284"/>
      <c r="O127" s="15"/>
      <c r="P127" s="127"/>
      <c r="Q127" s="15"/>
      <c r="R127" s="15"/>
      <c r="S127" s="15"/>
      <c r="T127" s="50"/>
      <c r="U127" s="9"/>
      <c r="V127" s="42"/>
      <c r="W127" s="42"/>
      <c r="X127" s="42"/>
      <c r="Y127" s="42"/>
      <c r="Z127" s="42"/>
      <c r="AA127" s="42"/>
      <c r="AB127" s="42"/>
      <c r="AC127" s="42"/>
      <c r="AD127" s="42"/>
      <c r="AE127" s="42"/>
      <c r="AF127" s="42"/>
      <c r="AG127" s="42"/>
      <c r="AH127" s="42"/>
      <c r="AI127" s="42"/>
      <c r="AJ127" s="42"/>
      <c r="AK127" s="42"/>
      <c r="AL127" s="42"/>
      <c r="AM127" s="42"/>
      <c r="AN127" s="42"/>
      <c r="AO127" s="42"/>
      <c r="AP127" s="42"/>
      <c r="AQ127" s="42"/>
      <c r="AR127" s="42"/>
      <c r="AS127" s="42"/>
      <c r="AT127" s="42"/>
      <c r="AU127" s="42"/>
      <c r="AV127" s="42"/>
      <c r="AW127" s="42"/>
      <c r="AX127" s="42"/>
      <c r="AY127" s="42"/>
      <c r="AZ127" s="42"/>
      <c r="BA127" s="42"/>
      <c r="BB127" s="42"/>
      <c r="BC127" s="42"/>
      <c r="BD127" s="42"/>
      <c r="BE127" s="42"/>
      <c r="BF127" s="42"/>
      <c r="BG127" s="42"/>
      <c r="BH127" s="42"/>
      <c r="BI127" s="42"/>
      <c r="BJ127" s="42"/>
      <c r="BK127" s="42"/>
      <c r="BL127" s="42"/>
      <c r="BM127" s="42"/>
      <c r="BN127" s="42"/>
      <c r="BO127" s="42"/>
      <c r="BP127" s="42"/>
      <c r="BQ127" s="42"/>
      <c r="BR127" s="42"/>
      <c r="BS127" s="42"/>
      <c r="BT127" s="63"/>
      <c r="BU127" s="25"/>
    </row>
    <row r="128" spans="1:107" s="42" customFormat="1" ht="12.75" customHeight="1" x14ac:dyDescent="0.25">
      <c r="A128"/>
      <c r="B128" s="97">
        <v>1</v>
      </c>
      <c r="C128" s="265" t="str">
        <f>HYPERLINK("https://sites.wustl.edu/meteoritesite/items/lm_nwa_12279/",Q128)</f>
        <v>Northwest Africa 12279</v>
      </c>
      <c r="D128" s="266"/>
      <c r="E128" s="266"/>
      <c r="F128" s="266"/>
      <c r="G128" s="98">
        <v>2017</v>
      </c>
      <c r="H128" s="267" t="s">
        <v>510</v>
      </c>
      <c r="I128" s="268"/>
      <c r="J128" s="99">
        <v>1830</v>
      </c>
      <c r="K128" s="212" t="s">
        <v>66</v>
      </c>
      <c r="L128" s="213"/>
      <c r="M128" s="100">
        <v>1.9</v>
      </c>
      <c r="N128" s="102">
        <v>0.15</v>
      </c>
      <c r="P128" s="125">
        <f>SUM(V128:BQ128)</f>
        <v>1830</v>
      </c>
      <c r="Q128" s="54" t="s">
        <v>324</v>
      </c>
      <c r="R128" s="48"/>
      <c r="S128" s="49"/>
      <c r="T128" s="50">
        <f>J128-P128</f>
        <v>0</v>
      </c>
      <c r="U128" s="9"/>
      <c r="V128" s="51">
        <v>1830</v>
      </c>
      <c r="W128" s="51"/>
      <c r="X128" s="51"/>
      <c r="Y128" s="51"/>
      <c r="Z128" s="51"/>
      <c r="AA128" s="51"/>
      <c r="AB128" s="51"/>
      <c r="AC128" s="51"/>
      <c r="AD128" s="51"/>
      <c r="AE128" s="51"/>
      <c r="AF128" s="51"/>
      <c r="AG128" s="51"/>
      <c r="AH128" s="51"/>
      <c r="AI128" s="51"/>
      <c r="AJ128" s="51"/>
      <c r="AK128" s="51"/>
      <c r="AL128" s="51"/>
      <c r="AM128" s="51"/>
      <c r="AN128" s="51"/>
      <c r="AO128" s="51"/>
      <c r="AP128" s="51"/>
      <c r="AQ128" s="51"/>
      <c r="AR128" s="51"/>
      <c r="AS128" s="51"/>
      <c r="AT128" s="51"/>
      <c r="AU128" s="51"/>
      <c r="AV128" s="51"/>
      <c r="AW128" s="51"/>
      <c r="AX128" s="51"/>
      <c r="AY128" s="51"/>
      <c r="AZ128" s="51"/>
      <c r="BA128" s="51"/>
      <c r="BB128" s="51"/>
      <c r="BC128" s="51"/>
      <c r="BD128" s="51"/>
      <c r="BE128" s="51"/>
      <c r="BF128" s="51"/>
      <c r="BG128" s="51"/>
      <c r="BH128" s="51"/>
      <c r="BI128" s="51"/>
      <c r="BJ128" s="51"/>
      <c r="BK128" s="51"/>
      <c r="BL128" s="51"/>
      <c r="BM128" s="51"/>
      <c r="BN128" s="51"/>
      <c r="BO128" s="51"/>
      <c r="BP128" s="51"/>
      <c r="BQ128" s="51"/>
      <c r="BR128" s="9">
        <f>COUNT(V128:BQ128)</f>
        <v>1</v>
      </c>
      <c r="BS128" s="9"/>
      <c r="BT128" s="53" t="str">
        <f>Q128</f>
        <v>Northwest Africa 12279</v>
      </c>
      <c r="BU128" s="101"/>
    </row>
    <row r="129" spans="1:73" s="42" customFormat="1" ht="12.75" customHeight="1" x14ac:dyDescent="0.25">
      <c r="A129"/>
      <c r="B129" s="97">
        <f>B128+1</f>
        <v>2</v>
      </c>
      <c r="C129" s="265" t="str">
        <f>HYPERLINK("https://sites.wustl.edu/meteoritesite/items/lm_ghadduwah_001/",Q129)</f>
        <v>Ghadduwah 001</v>
      </c>
      <c r="D129" s="266"/>
      <c r="E129" s="266"/>
      <c r="F129" s="277"/>
      <c r="G129" s="98">
        <v>2020</v>
      </c>
      <c r="H129" s="269" t="s">
        <v>427</v>
      </c>
      <c r="I129" s="269"/>
      <c r="J129" s="99">
        <v>265</v>
      </c>
      <c r="K129" s="212" t="s">
        <v>50</v>
      </c>
      <c r="L129" s="213"/>
      <c r="M129" s="100" t="s">
        <v>429</v>
      </c>
      <c r="N129" s="100" t="s">
        <v>430</v>
      </c>
      <c r="P129" s="125">
        <f>SUM(V129:BQ129)</f>
        <v>265</v>
      </c>
      <c r="Q129" s="54" t="s">
        <v>425</v>
      </c>
      <c r="R129" s="48"/>
      <c r="S129" s="49"/>
      <c r="T129" s="50">
        <f>J129-P129</f>
        <v>0</v>
      </c>
      <c r="U129" s="9"/>
      <c r="V129" s="51">
        <v>265</v>
      </c>
      <c r="W129" s="51"/>
      <c r="X129" s="51"/>
      <c r="Y129" s="51"/>
      <c r="Z129" s="51"/>
      <c r="AA129" s="51"/>
      <c r="AB129" s="51"/>
      <c r="AC129" s="51"/>
      <c r="AD129" s="51"/>
      <c r="AE129" s="51"/>
      <c r="AF129" s="51"/>
      <c r="AG129" s="51"/>
      <c r="AH129" s="51"/>
      <c r="AI129" s="51"/>
      <c r="AJ129" s="51"/>
      <c r="AK129" s="51"/>
      <c r="AL129" s="51"/>
      <c r="AM129" s="51"/>
      <c r="AN129" s="51"/>
      <c r="AO129" s="51"/>
      <c r="AP129" s="51"/>
      <c r="AQ129" s="51"/>
      <c r="AR129" s="51"/>
      <c r="AS129" s="51"/>
      <c r="AT129" s="51"/>
      <c r="AU129" s="51"/>
      <c r="AV129" s="51"/>
      <c r="AW129" s="51"/>
      <c r="AX129" s="51"/>
      <c r="AY129" s="51"/>
      <c r="AZ129" s="51"/>
      <c r="BA129" s="51"/>
      <c r="BB129" s="51"/>
      <c r="BC129" s="51"/>
      <c r="BD129" s="51"/>
      <c r="BE129" s="51"/>
      <c r="BF129" s="51"/>
      <c r="BG129" s="51"/>
      <c r="BH129" s="51"/>
      <c r="BI129" s="51"/>
      <c r="BJ129" s="51"/>
      <c r="BK129" s="51"/>
      <c r="BL129" s="51"/>
      <c r="BM129" s="51"/>
      <c r="BN129" s="51"/>
      <c r="BO129" s="51"/>
      <c r="BP129" s="51"/>
      <c r="BQ129" s="51"/>
      <c r="BR129" s="9">
        <f>COUNT(V129:BQ129)</f>
        <v>1</v>
      </c>
      <c r="BS129" s="9"/>
      <c r="BT129" s="53" t="str">
        <f>Q129</f>
        <v>Ghadduwah 001</v>
      </c>
      <c r="BU129" s="101" t="s">
        <v>230</v>
      </c>
    </row>
    <row r="130" spans="1:73" s="42" customFormat="1" ht="12.75" customHeight="1" x14ac:dyDescent="0.25">
      <c r="A130"/>
      <c r="B130" s="97">
        <f>B129+1</f>
        <v>3</v>
      </c>
      <c r="C130" s="265" t="str">
        <f>HYPERLINK("https://sites.wustl.edu/meteoritesite/items/lm_shisr_162/",Q130)</f>
        <v>Shişr 162</v>
      </c>
      <c r="D130" s="266"/>
      <c r="E130" s="266"/>
      <c r="F130" s="277"/>
      <c r="G130" s="98">
        <v>2006</v>
      </c>
      <c r="H130" s="269" t="s">
        <v>616</v>
      </c>
      <c r="I130" s="269"/>
      <c r="J130" s="99">
        <v>5525</v>
      </c>
      <c r="K130" s="272" t="s">
        <v>37</v>
      </c>
      <c r="L130" s="273"/>
      <c r="M130" s="100">
        <v>3.2</v>
      </c>
      <c r="N130" s="102">
        <v>0.16</v>
      </c>
      <c r="P130" s="125">
        <f t="shared" ref="P130:P160" si="0">SUM(V130:BQ130)</f>
        <v>5525</v>
      </c>
      <c r="Q130" s="54" t="s">
        <v>155</v>
      </c>
      <c r="R130" s="48">
        <v>3.2</v>
      </c>
      <c r="S130" s="49">
        <v>0.16</v>
      </c>
      <c r="T130" s="50">
        <f t="shared" ref="T130:T143" si="1">J130-P130</f>
        <v>0</v>
      </c>
      <c r="U130" s="9"/>
      <c r="V130" s="51">
        <v>5525</v>
      </c>
      <c r="W130" s="51"/>
      <c r="X130" s="51"/>
      <c r="Y130" s="51"/>
      <c r="Z130" s="51"/>
      <c r="AA130" s="51"/>
      <c r="AB130" s="51"/>
      <c r="AC130" s="51"/>
      <c r="AD130" s="51"/>
      <c r="AE130" s="51"/>
      <c r="AF130" s="51"/>
      <c r="AG130" s="51"/>
      <c r="AH130" s="51"/>
      <c r="AI130" s="51"/>
      <c r="AJ130" s="51"/>
      <c r="AK130" s="51"/>
      <c r="AL130" s="51"/>
      <c r="AM130" s="51"/>
      <c r="AN130" s="51"/>
      <c r="AO130" s="51"/>
      <c r="AP130" s="51"/>
      <c r="AQ130" s="51"/>
      <c r="AR130" s="51"/>
      <c r="AS130" s="51"/>
      <c r="AT130" s="51"/>
      <c r="AU130" s="51"/>
      <c r="AV130" s="51"/>
      <c r="AW130" s="51"/>
      <c r="AX130" s="51"/>
      <c r="AY130" s="51"/>
      <c r="AZ130" s="51"/>
      <c r="BA130" s="51"/>
      <c r="BB130" s="51"/>
      <c r="BC130" s="51"/>
      <c r="BD130" s="51"/>
      <c r="BE130" s="51"/>
      <c r="BF130" s="51"/>
      <c r="BG130" s="51"/>
      <c r="BH130" s="51"/>
      <c r="BI130" s="51"/>
      <c r="BJ130" s="51"/>
      <c r="BK130" s="51"/>
      <c r="BL130" s="51"/>
      <c r="BM130" s="51"/>
      <c r="BN130" s="51"/>
      <c r="BO130" s="51"/>
      <c r="BP130" s="51"/>
      <c r="BQ130" s="51"/>
      <c r="BR130" s="9">
        <f t="shared" ref="BR130:BR193" si="2">COUNT(V130:BQ130)</f>
        <v>1</v>
      </c>
      <c r="BS130" s="9"/>
      <c r="BT130" s="53" t="str">
        <f t="shared" ref="BT130:BT193" si="3">Q130</f>
        <v>Shişr 162</v>
      </c>
      <c r="BU130" s="101" t="s">
        <v>230</v>
      </c>
    </row>
    <row r="131" spans="1:73" s="42" customFormat="1" ht="12.75" customHeight="1" x14ac:dyDescent="0.25">
      <c r="A131"/>
      <c r="B131" s="97">
        <f t="shared" ref="B131:B194" si="4">B130+1</f>
        <v>4</v>
      </c>
      <c r="C131" s="265" t="str">
        <f>HYPERLINK("https://sites.wustl.edu/meteoritesite/items/lm_dho_0081_clan/",Q131)</f>
        <v>Dhofar 081/ 280/ 910/ 1224</v>
      </c>
      <c r="D131" s="266"/>
      <c r="E131" s="266"/>
      <c r="F131" s="277"/>
      <c r="G131" s="98" t="s">
        <v>36</v>
      </c>
      <c r="H131" s="269" t="s">
        <v>191</v>
      </c>
      <c r="I131" s="269"/>
      <c r="J131" s="99">
        <v>571.7700000000001</v>
      </c>
      <c r="K131" s="272" t="s">
        <v>37</v>
      </c>
      <c r="L131" s="273"/>
      <c r="M131" s="100">
        <v>2.9</v>
      </c>
      <c r="N131" s="102">
        <v>0.14000000000000001</v>
      </c>
      <c r="P131" s="125">
        <f>SUM(V131:BQ131)</f>
        <v>571.7700000000001</v>
      </c>
      <c r="Q131" s="54" t="s">
        <v>252</v>
      </c>
      <c r="R131" s="48">
        <v>2.9</v>
      </c>
      <c r="S131" s="49">
        <v>0.14000000000000001</v>
      </c>
      <c r="T131" s="50">
        <f t="shared" si="1"/>
        <v>0</v>
      </c>
      <c r="U131" s="9"/>
      <c r="V131" s="51">
        <v>174</v>
      </c>
      <c r="W131" s="51">
        <v>251.2</v>
      </c>
      <c r="X131" s="51">
        <v>142</v>
      </c>
      <c r="Y131" s="51">
        <v>4.57</v>
      </c>
      <c r="Z131" s="51"/>
      <c r="AA131" s="51"/>
      <c r="AB131" s="51"/>
      <c r="AC131" s="51"/>
      <c r="AD131" s="51"/>
      <c r="AE131" s="51"/>
      <c r="AF131" s="51"/>
      <c r="AG131" s="51"/>
      <c r="AH131" s="51"/>
      <c r="AI131" s="51"/>
      <c r="AJ131" s="51"/>
      <c r="AK131" s="51"/>
      <c r="AL131" s="51"/>
      <c r="AM131" s="51"/>
      <c r="AN131" s="51"/>
      <c r="AO131" s="51"/>
      <c r="AP131" s="51"/>
      <c r="AQ131" s="51"/>
      <c r="AR131" s="51"/>
      <c r="AS131" s="51"/>
      <c r="AT131" s="51"/>
      <c r="AU131" s="51"/>
      <c r="AV131" s="51"/>
      <c r="AW131" s="51"/>
      <c r="AX131" s="51"/>
      <c r="AY131" s="51"/>
      <c r="AZ131" s="51"/>
      <c r="BA131" s="51"/>
      <c r="BB131" s="51"/>
      <c r="BC131" s="51"/>
      <c r="BD131" s="51"/>
      <c r="BE131" s="51"/>
      <c r="BF131" s="51"/>
      <c r="BG131" s="51"/>
      <c r="BH131" s="51"/>
      <c r="BI131" s="51"/>
      <c r="BJ131" s="51"/>
      <c r="BK131" s="51"/>
      <c r="BL131" s="51"/>
      <c r="BM131" s="51"/>
      <c r="BN131" s="51"/>
      <c r="BO131" s="51"/>
      <c r="BP131" s="51"/>
      <c r="BQ131" s="51"/>
      <c r="BR131" s="9">
        <f t="shared" si="2"/>
        <v>4</v>
      </c>
      <c r="BS131" s="9"/>
      <c r="BT131" s="53" t="str">
        <f t="shared" si="3"/>
        <v>Dhofar 081/ 280/ 910/ 1224</v>
      </c>
      <c r="BU131" s="101" t="s">
        <v>230</v>
      </c>
    </row>
    <row r="132" spans="1:73" s="42" customFormat="1" ht="12.75" customHeight="1" x14ac:dyDescent="0.25">
      <c r="A132"/>
      <c r="B132" s="97">
        <f t="shared" si="4"/>
        <v>5</v>
      </c>
      <c r="C132" s="265" t="str">
        <f>HYPERLINK("https://sites.wustl.edu/meteoritesite/items/lm_nwa_02998/",Q132)</f>
        <v>Northwest Africa 2998/ 7262</v>
      </c>
      <c r="D132" s="266"/>
      <c r="E132" s="266"/>
      <c r="F132" s="277"/>
      <c r="G132" s="98" t="s">
        <v>120</v>
      </c>
      <c r="H132" s="269" t="s">
        <v>719</v>
      </c>
      <c r="I132" s="269"/>
      <c r="J132" s="99">
        <v>576</v>
      </c>
      <c r="K132" s="212" t="s">
        <v>35</v>
      </c>
      <c r="L132" s="213"/>
      <c r="M132" s="100">
        <v>2.9</v>
      </c>
      <c r="N132" s="102">
        <v>0.17</v>
      </c>
      <c r="P132" s="125">
        <f t="shared" si="0"/>
        <v>576</v>
      </c>
      <c r="Q132" s="54" t="s">
        <v>251</v>
      </c>
      <c r="R132" s="48">
        <v>2.9</v>
      </c>
      <c r="S132" s="49">
        <v>0.17</v>
      </c>
      <c r="T132" s="50">
        <f t="shared" si="1"/>
        <v>0</v>
      </c>
      <c r="U132" s="9"/>
      <c r="V132" s="51">
        <v>163</v>
      </c>
      <c r="W132" s="51">
        <v>413</v>
      </c>
      <c r="X132" s="51"/>
      <c r="Y132" s="51"/>
      <c r="Z132" s="51"/>
      <c r="AA132" s="51"/>
      <c r="AB132" s="51"/>
      <c r="AC132" s="51"/>
      <c r="AD132" s="51"/>
      <c r="AE132" s="51"/>
      <c r="AF132" s="51"/>
      <c r="AG132" s="51"/>
      <c r="AH132" s="51"/>
      <c r="AI132" s="51"/>
      <c r="AJ132" s="51"/>
      <c r="AK132" s="51"/>
      <c r="AL132" s="51"/>
      <c r="AM132" s="51"/>
      <c r="AN132" s="51"/>
      <c r="AO132" s="51"/>
      <c r="AP132" s="51"/>
      <c r="AQ132" s="51"/>
      <c r="AR132" s="51"/>
      <c r="AS132" s="51"/>
      <c r="AT132" s="51"/>
      <c r="AU132" s="51"/>
      <c r="AV132" s="51"/>
      <c r="AW132" s="51"/>
      <c r="AX132" s="51"/>
      <c r="AY132" s="51"/>
      <c r="AZ132" s="51"/>
      <c r="BA132" s="51"/>
      <c r="BB132" s="51"/>
      <c r="BC132" s="51"/>
      <c r="BD132" s="51"/>
      <c r="BE132" s="51"/>
      <c r="BF132" s="51"/>
      <c r="BG132" s="51"/>
      <c r="BH132" s="51"/>
      <c r="BI132" s="51"/>
      <c r="BJ132" s="51"/>
      <c r="BK132" s="51"/>
      <c r="BL132" s="51"/>
      <c r="BM132" s="51"/>
      <c r="BN132" s="51"/>
      <c r="BO132" s="51"/>
      <c r="BP132" s="51"/>
      <c r="BQ132" s="51"/>
      <c r="BR132" s="9">
        <f t="shared" si="2"/>
        <v>2</v>
      </c>
      <c r="BS132" s="9"/>
      <c r="BT132" s="53" t="str">
        <f t="shared" si="3"/>
        <v>Northwest Africa 2998/ 7262</v>
      </c>
      <c r="BU132" s="101" t="s">
        <v>230</v>
      </c>
    </row>
    <row r="133" spans="1:73" s="42" customFormat="1" ht="12.75" customHeight="1" x14ac:dyDescent="0.25">
      <c r="A133"/>
      <c r="B133" s="97">
        <f t="shared" si="4"/>
        <v>6</v>
      </c>
      <c r="C133" s="265" t="str">
        <f>HYPERLINK("https://sites.wustl.edu/meteoritesite/items/lm_dho_0733/",Q133)</f>
        <v>Dhofar 733/ 1766</v>
      </c>
      <c r="D133" s="266"/>
      <c r="E133" s="266"/>
      <c r="F133" s="277"/>
      <c r="G133" s="98" t="s">
        <v>45</v>
      </c>
      <c r="H133" s="269" t="s">
        <v>720</v>
      </c>
      <c r="I133" s="269"/>
      <c r="J133" s="99">
        <v>390</v>
      </c>
      <c r="K133" s="272" t="s">
        <v>37</v>
      </c>
      <c r="L133" s="273"/>
      <c r="M133" s="100">
        <v>3.1</v>
      </c>
      <c r="N133" s="102">
        <v>0.09</v>
      </c>
      <c r="P133" s="125">
        <f t="shared" si="0"/>
        <v>390</v>
      </c>
      <c r="Q133" s="54" t="s">
        <v>253</v>
      </c>
      <c r="R133" s="48">
        <v>3.1</v>
      </c>
      <c r="S133" s="49">
        <v>0.09</v>
      </c>
      <c r="T133" s="50">
        <f t="shared" si="1"/>
        <v>0</v>
      </c>
      <c r="U133" s="9"/>
      <c r="V133" s="51">
        <v>98</v>
      </c>
      <c r="W133" s="51">
        <v>292</v>
      </c>
      <c r="X133" s="51"/>
      <c r="Y133" s="51"/>
      <c r="Z133" s="51"/>
      <c r="AA133" s="51"/>
      <c r="AB133" s="51"/>
      <c r="AC133" s="51"/>
      <c r="AD133" s="51"/>
      <c r="AE133" s="51"/>
      <c r="AF133" s="51"/>
      <c r="AG133" s="51"/>
      <c r="AH133" s="51"/>
      <c r="AI133" s="51"/>
      <c r="AJ133" s="51"/>
      <c r="AK133" s="51"/>
      <c r="AL133" s="51"/>
      <c r="AM133" s="51"/>
      <c r="AN133" s="51"/>
      <c r="AO133" s="51"/>
      <c r="AP133" s="51"/>
      <c r="AQ133" s="51"/>
      <c r="AR133" s="51"/>
      <c r="AS133" s="51"/>
      <c r="AT133" s="51"/>
      <c r="AU133" s="51"/>
      <c r="AV133" s="51"/>
      <c r="AW133" s="51"/>
      <c r="AX133" s="51"/>
      <c r="AY133" s="51"/>
      <c r="AZ133" s="51"/>
      <c r="BA133" s="51"/>
      <c r="BB133" s="51"/>
      <c r="BC133" s="51"/>
      <c r="BD133" s="51"/>
      <c r="BE133" s="51"/>
      <c r="BF133" s="51"/>
      <c r="BG133" s="51"/>
      <c r="BH133" s="51"/>
      <c r="BI133" s="51"/>
      <c r="BJ133" s="51"/>
      <c r="BK133" s="51"/>
      <c r="BL133" s="51"/>
      <c r="BM133" s="51"/>
      <c r="BN133" s="51"/>
      <c r="BO133" s="51"/>
      <c r="BP133" s="51"/>
      <c r="BQ133" s="51"/>
      <c r="BR133" s="9">
        <f t="shared" si="2"/>
        <v>2</v>
      </c>
      <c r="BS133" s="9"/>
      <c r="BT133" s="53" t="str">
        <f t="shared" si="3"/>
        <v>Dhofar 733/ 1766</v>
      </c>
      <c r="BU133" s="101" t="s">
        <v>230</v>
      </c>
    </row>
    <row r="134" spans="1:73" s="42" customFormat="1" ht="12.75" customHeight="1" x14ac:dyDescent="0.25">
      <c r="A134"/>
      <c r="B134" s="97">
        <f t="shared" si="4"/>
        <v>7</v>
      </c>
      <c r="C134" s="265" t="str">
        <f>HYPERLINK("https://sites.wustl.edu/meteoritesite/items/lm_nwa_08022/",Q134)</f>
        <v>Northwest Africa 8022/ 10082</v>
      </c>
      <c r="D134" s="266"/>
      <c r="E134" s="266"/>
      <c r="F134" s="277"/>
      <c r="G134" s="98" t="s">
        <v>47</v>
      </c>
      <c r="H134" s="269" t="s">
        <v>46</v>
      </c>
      <c r="I134" s="269"/>
      <c r="J134" s="99">
        <v>1231.2</v>
      </c>
      <c r="K134" s="212" t="s">
        <v>48</v>
      </c>
      <c r="L134" s="213"/>
      <c r="M134" s="100">
        <v>3.7</v>
      </c>
      <c r="N134" s="100">
        <v>0.7</v>
      </c>
      <c r="P134" s="125">
        <f t="shared" si="0"/>
        <v>1231.2</v>
      </c>
      <c r="Q134" s="54" t="s">
        <v>255</v>
      </c>
      <c r="R134" s="48">
        <v>3.7</v>
      </c>
      <c r="S134" s="49">
        <v>0.7</v>
      </c>
      <c r="T134" s="50">
        <f t="shared" si="1"/>
        <v>0</v>
      </c>
      <c r="U134" s="9"/>
      <c r="V134" s="51">
        <v>1226</v>
      </c>
      <c r="W134" s="51">
        <v>5.2</v>
      </c>
      <c r="X134" s="51"/>
      <c r="Y134" s="51"/>
      <c r="Z134" s="51"/>
      <c r="AA134" s="51"/>
      <c r="AB134" s="51"/>
      <c r="AC134" s="51"/>
      <c r="AD134" s="51"/>
      <c r="AE134" s="51"/>
      <c r="AF134" s="51"/>
      <c r="AG134" s="51"/>
      <c r="AH134" s="51"/>
      <c r="AI134" s="51"/>
      <c r="AJ134" s="51"/>
      <c r="AK134" s="51"/>
      <c r="AL134" s="51"/>
      <c r="AM134" s="51"/>
      <c r="AN134" s="51"/>
      <c r="AO134" s="51"/>
      <c r="AP134" s="51"/>
      <c r="AQ134" s="51"/>
      <c r="AR134" s="51"/>
      <c r="AS134" s="51"/>
      <c r="AT134" s="51"/>
      <c r="AU134" s="51"/>
      <c r="AV134" s="51"/>
      <c r="AW134" s="51"/>
      <c r="AX134" s="51"/>
      <c r="AY134" s="51"/>
      <c r="AZ134" s="51"/>
      <c r="BA134" s="51"/>
      <c r="BB134" s="51"/>
      <c r="BC134" s="51"/>
      <c r="BD134" s="51"/>
      <c r="BE134" s="51"/>
      <c r="BF134" s="51"/>
      <c r="BG134" s="51"/>
      <c r="BH134" s="51"/>
      <c r="BI134" s="51"/>
      <c r="BJ134" s="51"/>
      <c r="BK134" s="51"/>
      <c r="BL134" s="51"/>
      <c r="BM134" s="51"/>
      <c r="BN134" s="51"/>
      <c r="BO134" s="51"/>
      <c r="BP134" s="51"/>
      <c r="BQ134" s="51"/>
      <c r="BR134" s="9">
        <f t="shared" si="2"/>
        <v>2</v>
      </c>
      <c r="BS134" s="9"/>
      <c r="BT134" s="53" t="str">
        <f t="shared" si="3"/>
        <v>Northwest Africa 8022/ 10082</v>
      </c>
      <c r="BU134" s="101" t="s">
        <v>230</v>
      </c>
    </row>
    <row r="135" spans="1:73" s="42" customFormat="1" ht="12.75" customHeight="1" x14ac:dyDescent="0.25">
      <c r="A135"/>
      <c r="B135" s="97">
        <f t="shared" si="4"/>
        <v>8</v>
      </c>
      <c r="C135" s="265" t="str">
        <f>HYPERLINK("https://sites.wustl.edu/meteoritesite/items/lm_dho_303_clan/",Q135)</f>
        <v>Dhofar 303/ 305/ 306/ 307/ 309/ 310/ 311/ 489/ 730/ 731/ 908/ 909/ 911/ 950/ 1085/ 2047/ [unnamed 28]</v>
      </c>
      <c r="D135" s="266"/>
      <c r="E135" s="266"/>
      <c r="F135" s="277"/>
      <c r="G135" s="98" t="s">
        <v>195</v>
      </c>
      <c r="H135" s="269" t="s">
        <v>616</v>
      </c>
      <c r="I135" s="269"/>
      <c r="J135" s="99">
        <v>1042.17</v>
      </c>
      <c r="K135" s="272" t="s">
        <v>37</v>
      </c>
      <c r="L135" s="273"/>
      <c r="M135" s="100">
        <v>3.3</v>
      </c>
      <c r="N135" s="102">
        <v>7.0000000000000007E-2</v>
      </c>
      <c r="P135" s="125">
        <f t="shared" si="0"/>
        <v>1042.17</v>
      </c>
      <c r="Q135" s="54" t="s">
        <v>256</v>
      </c>
      <c r="R135" s="48">
        <v>3.3</v>
      </c>
      <c r="S135" s="49">
        <v>7.0000000000000007E-2</v>
      </c>
      <c r="T135" s="50">
        <f t="shared" si="1"/>
        <v>0</v>
      </c>
      <c r="U135" s="9"/>
      <c r="V135" s="51">
        <v>4.1500000000000004</v>
      </c>
      <c r="W135" s="51">
        <v>34.11</v>
      </c>
      <c r="X135" s="51">
        <v>12.86</v>
      </c>
      <c r="Y135" s="51">
        <v>50</v>
      </c>
      <c r="Z135" s="51">
        <v>81.3</v>
      </c>
      <c r="AA135" s="51">
        <v>10.8</v>
      </c>
      <c r="AB135" s="51">
        <v>4</v>
      </c>
      <c r="AC135" s="51">
        <v>34.4</v>
      </c>
      <c r="AD135" s="51">
        <v>108</v>
      </c>
      <c r="AE135" s="51">
        <v>36</v>
      </c>
      <c r="AF135" s="51"/>
      <c r="AG135" s="51">
        <v>245</v>
      </c>
      <c r="AH135" s="51">
        <v>3.9</v>
      </c>
      <c r="AI135" s="51">
        <v>194</v>
      </c>
      <c r="AJ135" s="51"/>
      <c r="AK135" s="51">
        <v>21.7</v>
      </c>
      <c r="AL135" s="51"/>
      <c r="AM135" s="51">
        <v>197</v>
      </c>
      <c r="AN135" s="51"/>
      <c r="AO135" s="51"/>
      <c r="AP135" s="51">
        <v>4.95</v>
      </c>
      <c r="AQ135" s="51"/>
      <c r="AR135" s="51"/>
      <c r="AS135" s="51"/>
      <c r="AT135" s="51"/>
      <c r="AU135" s="51"/>
      <c r="AV135" s="51"/>
      <c r="AW135" s="51"/>
      <c r="AX135" s="51"/>
      <c r="AY135" s="51"/>
      <c r="AZ135" s="51"/>
      <c r="BA135" s="51"/>
      <c r="BB135" s="51"/>
      <c r="BC135" s="51"/>
      <c r="BD135" s="51"/>
      <c r="BE135" s="51"/>
      <c r="BF135" s="51"/>
      <c r="BG135" s="51"/>
      <c r="BH135" s="51"/>
      <c r="BI135" s="51"/>
      <c r="BJ135" s="51"/>
      <c r="BK135" s="51"/>
      <c r="BL135" s="51"/>
      <c r="BM135" s="51"/>
      <c r="BN135" s="51"/>
      <c r="BO135" s="51"/>
      <c r="BP135" s="51"/>
      <c r="BQ135" s="51"/>
      <c r="BR135" s="9">
        <f t="shared" si="2"/>
        <v>16</v>
      </c>
      <c r="BS135" s="9"/>
      <c r="BT135" s="53" t="str">
        <f t="shared" si="3"/>
        <v>Dhofar 303/ 305/ 306/ 307/ 309/ 310/ 311/ 489/ 730/ 731/ 908/ 909/ 911/ 950/ 1085/ 2047/ [unnamed 28]</v>
      </c>
      <c r="BU135" s="101" t="s">
        <v>230</v>
      </c>
    </row>
    <row r="136" spans="1:73" s="42" customFormat="1" ht="12.75" customHeight="1" x14ac:dyDescent="0.25">
      <c r="A136"/>
      <c r="B136" s="97">
        <f t="shared" si="4"/>
        <v>9</v>
      </c>
      <c r="C136" s="265" t="str">
        <f>HYPERLINK("https://sites.wustl.edu/meteoritesite/items/lm_nwa_08753/",Q136)</f>
        <v>Northwest Africa 8753</v>
      </c>
      <c r="D136" s="266"/>
      <c r="E136" s="266"/>
      <c r="F136" s="277"/>
      <c r="G136" s="98">
        <v>2014</v>
      </c>
      <c r="H136" s="267" t="s">
        <v>38</v>
      </c>
      <c r="I136" s="268"/>
      <c r="J136" s="99">
        <v>1345</v>
      </c>
      <c r="K136" s="212" t="s">
        <v>39</v>
      </c>
      <c r="L136" s="213"/>
      <c r="M136" s="100">
        <v>3.1</v>
      </c>
      <c r="N136" s="100">
        <v>0.3</v>
      </c>
      <c r="P136" s="125">
        <f t="shared" si="0"/>
        <v>1345</v>
      </c>
      <c r="Q136" s="54" t="s">
        <v>123</v>
      </c>
      <c r="R136" s="48">
        <v>3.1</v>
      </c>
      <c r="S136" s="49">
        <v>0.3</v>
      </c>
      <c r="T136" s="50">
        <f t="shared" si="1"/>
        <v>0</v>
      </c>
      <c r="U136" s="9"/>
      <c r="V136" s="51">
        <v>1345</v>
      </c>
      <c r="W136" s="51"/>
      <c r="X136" s="51"/>
      <c r="Y136" s="51"/>
      <c r="Z136" s="51"/>
      <c r="AA136" s="51"/>
      <c r="AB136" s="51"/>
      <c r="AC136" s="51"/>
      <c r="AD136" s="51"/>
      <c r="AE136" s="51"/>
      <c r="AF136" s="51"/>
      <c r="AG136" s="51"/>
      <c r="AH136" s="51"/>
      <c r="AI136" s="51"/>
      <c r="AJ136" s="51"/>
      <c r="AK136" s="51"/>
      <c r="AL136" s="51"/>
      <c r="AM136" s="51"/>
      <c r="AN136" s="51"/>
      <c r="AO136" s="51"/>
      <c r="AP136" s="51"/>
      <c r="AQ136" s="51"/>
      <c r="AR136" s="51"/>
      <c r="AS136" s="51"/>
      <c r="AT136" s="51"/>
      <c r="AU136" s="51"/>
      <c r="AV136" s="51"/>
      <c r="AW136" s="51"/>
      <c r="AX136" s="51"/>
      <c r="AY136" s="51"/>
      <c r="AZ136" s="51"/>
      <c r="BA136" s="51"/>
      <c r="BB136" s="51"/>
      <c r="BC136" s="51"/>
      <c r="BD136" s="51"/>
      <c r="BE136" s="51"/>
      <c r="BF136" s="51"/>
      <c r="BG136" s="51"/>
      <c r="BH136" s="51"/>
      <c r="BI136" s="51"/>
      <c r="BJ136" s="51"/>
      <c r="BK136" s="51"/>
      <c r="BL136" s="51"/>
      <c r="BM136" s="51"/>
      <c r="BN136" s="51"/>
      <c r="BO136" s="51"/>
      <c r="BP136" s="51"/>
      <c r="BQ136" s="51"/>
      <c r="BR136" s="9">
        <f t="shared" si="2"/>
        <v>1</v>
      </c>
      <c r="BS136" s="9"/>
      <c r="BT136" s="53" t="str">
        <f t="shared" si="3"/>
        <v>Northwest Africa 8753</v>
      </c>
      <c r="BU136" s="101" t="s">
        <v>230</v>
      </c>
    </row>
    <row r="137" spans="1:73" s="42" customFormat="1" ht="12.75" customHeight="1" x14ac:dyDescent="0.25">
      <c r="A137"/>
      <c r="B137" s="97">
        <f t="shared" si="4"/>
        <v>10</v>
      </c>
      <c r="C137" s="265" t="str">
        <f>HYPERLINK("https://sites.wustl.edu/meteoritesite/items/lm_mil_090034/",Q137)</f>
        <v>Miller Range 090034/ 090070/ 090075</v>
      </c>
      <c r="D137" s="266"/>
      <c r="E137" s="266"/>
      <c r="F137" s="277"/>
      <c r="G137" s="98">
        <v>2009</v>
      </c>
      <c r="H137" s="267" t="s">
        <v>38</v>
      </c>
      <c r="I137" s="268"/>
      <c r="J137" s="98">
        <v>476.54899999999998</v>
      </c>
      <c r="K137" s="270" t="s">
        <v>42</v>
      </c>
      <c r="L137" s="271"/>
      <c r="M137" s="100">
        <v>3.4</v>
      </c>
      <c r="N137" s="100">
        <v>0.5</v>
      </c>
      <c r="P137" s="125">
        <f t="shared" si="0"/>
        <v>476.54899999999998</v>
      </c>
      <c r="Q137" s="54" t="s">
        <v>254</v>
      </c>
      <c r="R137" s="48">
        <v>3.4</v>
      </c>
      <c r="S137" s="49">
        <v>0.5</v>
      </c>
      <c r="T137" s="50">
        <f t="shared" si="1"/>
        <v>0</v>
      </c>
      <c r="U137" s="9"/>
      <c r="V137" s="51">
        <v>195.565</v>
      </c>
      <c r="W137" s="52">
        <v>137.46100000000001</v>
      </c>
      <c r="X137" s="52">
        <v>143.523</v>
      </c>
      <c r="Y137" s="51"/>
      <c r="Z137" s="51"/>
      <c r="AA137" s="51"/>
      <c r="AB137" s="51"/>
      <c r="AC137" s="51"/>
      <c r="AD137" s="51"/>
      <c r="AE137" s="51"/>
      <c r="AF137" s="51"/>
      <c r="AG137" s="51"/>
      <c r="AH137" s="51"/>
      <c r="AI137" s="51"/>
      <c r="AJ137" s="51"/>
      <c r="AK137" s="51"/>
      <c r="AL137" s="51"/>
      <c r="AM137" s="51"/>
      <c r="AN137" s="51"/>
      <c r="AO137" s="51"/>
      <c r="AP137" s="51"/>
      <c r="AQ137" s="51"/>
      <c r="AR137" s="51"/>
      <c r="AS137" s="51"/>
      <c r="AT137" s="51"/>
      <c r="AU137" s="51"/>
      <c r="AV137" s="51"/>
      <c r="AW137" s="51"/>
      <c r="AX137" s="51"/>
      <c r="AY137" s="51"/>
      <c r="AZ137" s="51"/>
      <c r="BA137" s="51"/>
      <c r="BB137" s="51"/>
      <c r="BC137" s="51"/>
      <c r="BD137" s="51"/>
      <c r="BE137" s="51"/>
      <c r="BF137" s="51"/>
      <c r="BG137" s="51"/>
      <c r="BH137" s="51"/>
      <c r="BI137" s="51"/>
      <c r="BJ137" s="51"/>
      <c r="BK137" s="51"/>
      <c r="BL137" s="51"/>
      <c r="BM137" s="51"/>
      <c r="BN137" s="51"/>
      <c r="BO137" s="51"/>
      <c r="BP137" s="51"/>
      <c r="BQ137" s="51"/>
      <c r="BR137" s="9">
        <f t="shared" si="2"/>
        <v>3</v>
      </c>
      <c r="BS137" s="9"/>
      <c r="BT137" s="53" t="str">
        <f t="shared" si="3"/>
        <v>Miller Range 090034/ 090070/ 090075</v>
      </c>
      <c r="BU137" s="101" t="s">
        <v>230</v>
      </c>
    </row>
    <row r="138" spans="1:73" s="42" customFormat="1" ht="12.75" customHeight="1" x14ac:dyDescent="0.25">
      <c r="A138"/>
      <c r="B138" s="97">
        <f t="shared" si="4"/>
        <v>11</v>
      </c>
      <c r="C138" s="265" t="str">
        <f>HYPERLINK("https://sites.wustl.edu/meteoritesite/items/lm_dag_400/",Q138)</f>
        <v>Dar al Gani 400/ 1058</v>
      </c>
      <c r="D138" s="266"/>
      <c r="E138" s="266"/>
      <c r="F138" s="277"/>
      <c r="G138" s="98" t="s">
        <v>49</v>
      </c>
      <c r="H138" s="269" t="s">
        <v>721</v>
      </c>
      <c r="I138" s="269"/>
      <c r="J138" s="99">
        <v>3240</v>
      </c>
      <c r="K138" s="212" t="s">
        <v>50</v>
      </c>
      <c r="L138" s="213"/>
      <c r="M138" s="100">
        <v>3.1</v>
      </c>
      <c r="N138" s="100">
        <v>0.2</v>
      </c>
      <c r="P138" s="125">
        <f t="shared" si="0"/>
        <v>3240</v>
      </c>
      <c r="Q138" s="54" t="s">
        <v>257</v>
      </c>
      <c r="R138" s="48">
        <v>3.1</v>
      </c>
      <c r="S138" s="49">
        <v>0.2</v>
      </c>
      <c r="T138" s="50">
        <f t="shared" si="1"/>
        <v>0</v>
      </c>
      <c r="U138" s="9"/>
      <c r="V138" s="51">
        <v>1425</v>
      </c>
      <c r="W138" s="51">
        <v>1815</v>
      </c>
      <c r="X138" s="51"/>
      <c r="Y138" s="51"/>
      <c r="Z138" s="51"/>
      <c r="AA138" s="51"/>
      <c r="AB138" s="51"/>
      <c r="AC138" s="51"/>
      <c r="AD138" s="51"/>
      <c r="AE138" s="51"/>
      <c r="AF138" s="51"/>
      <c r="AG138" s="51"/>
      <c r="AH138" s="51"/>
      <c r="AI138" s="51"/>
      <c r="AJ138" s="51"/>
      <c r="AK138" s="51"/>
      <c r="AL138" s="51"/>
      <c r="AM138" s="51"/>
      <c r="AN138" s="51"/>
      <c r="AO138" s="51"/>
      <c r="AP138" s="51"/>
      <c r="AQ138" s="51"/>
      <c r="AR138" s="51"/>
      <c r="AS138" s="51"/>
      <c r="AT138" s="51"/>
      <c r="AU138" s="51"/>
      <c r="AV138" s="51"/>
      <c r="AW138" s="51"/>
      <c r="AX138" s="51"/>
      <c r="AY138" s="51"/>
      <c r="AZ138" s="51"/>
      <c r="BA138" s="51"/>
      <c r="BB138" s="51"/>
      <c r="BC138" s="51"/>
      <c r="BD138" s="51"/>
      <c r="BE138" s="51"/>
      <c r="BF138" s="51"/>
      <c r="BG138" s="51"/>
      <c r="BH138" s="51"/>
      <c r="BI138" s="51"/>
      <c r="BJ138" s="51"/>
      <c r="BK138" s="51"/>
      <c r="BL138" s="51"/>
      <c r="BM138" s="51"/>
      <c r="BN138" s="51"/>
      <c r="BO138" s="51"/>
      <c r="BP138" s="51"/>
      <c r="BQ138" s="51"/>
      <c r="BR138" s="9">
        <f t="shared" si="2"/>
        <v>2</v>
      </c>
      <c r="BS138" s="9"/>
      <c r="BT138" s="53" t="str">
        <f t="shared" si="3"/>
        <v>Dar al Gani 400/ 1058</v>
      </c>
      <c r="BU138" s="101" t="s">
        <v>230</v>
      </c>
    </row>
    <row r="139" spans="1:73" s="42" customFormat="1" ht="12.75" customHeight="1" x14ac:dyDescent="0.25">
      <c r="A139"/>
      <c r="B139" s="97">
        <f t="shared" si="4"/>
        <v>12</v>
      </c>
      <c r="C139" s="265" t="str">
        <f>HYPERLINK("https://sites.wustl.edu/meteoritesite/items/lm_nwa_07959/",Q139)</f>
        <v>Northwest Africa 7959</v>
      </c>
      <c r="D139" s="266"/>
      <c r="E139" s="266"/>
      <c r="F139" s="277"/>
      <c r="G139" s="98">
        <v>2013</v>
      </c>
      <c r="H139" s="267" t="s">
        <v>396</v>
      </c>
      <c r="I139" s="268"/>
      <c r="J139" s="99">
        <f>156</f>
        <v>156</v>
      </c>
      <c r="K139" s="212" t="s">
        <v>35</v>
      </c>
      <c r="L139" s="213"/>
      <c r="M139" s="100">
        <v>3.3</v>
      </c>
      <c r="N139" s="100">
        <v>0.4</v>
      </c>
      <c r="P139" s="125">
        <f t="shared" si="0"/>
        <v>156</v>
      </c>
      <c r="Q139" s="54" t="s">
        <v>201</v>
      </c>
      <c r="R139" s="48">
        <v>3.3</v>
      </c>
      <c r="S139" s="49">
        <v>0.4</v>
      </c>
      <c r="T139" s="50">
        <f t="shared" si="1"/>
        <v>0</v>
      </c>
      <c r="U139" s="9"/>
      <c r="V139" s="51">
        <v>156</v>
      </c>
      <c r="W139" s="51"/>
      <c r="X139" s="51"/>
      <c r="Y139" s="51"/>
      <c r="Z139" s="51"/>
      <c r="AA139" s="51"/>
      <c r="AB139" s="51"/>
      <c r="AC139" s="51"/>
      <c r="AD139" s="51"/>
      <c r="AE139" s="51"/>
      <c r="AF139" s="51"/>
      <c r="AG139" s="51"/>
      <c r="AH139" s="51"/>
      <c r="AI139" s="51"/>
      <c r="AJ139" s="51"/>
      <c r="AK139" s="51"/>
      <c r="AL139" s="51"/>
      <c r="AM139" s="51"/>
      <c r="AN139" s="51"/>
      <c r="AO139" s="51"/>
      <c r="AP139" s="51"/>
      <c r="AQ139" s="51"/>
      <c r="AR139" s="51"/>
      <c r="AS139" s="51"/>
      <c r="AT139" s="51"/>
      <c r="AU139" s="51"/>
      <c r="AV139" s="51"/>
      <c r="AW139" s="51"/>
      <c r="AX139" s="51"/>
      <c r="AY139" s="51"/>
      <c r="AZ139" s="51"/>
      <c r="BA139" s="51"/>
      <c r="BB139" s="51"/>
      <c r="BC139" s="51"/>
      <c r="BD139" s="51"/>
      <c r="BE139" s="51"/>
      <c r="BF139" s="51"/>
      <c r="BG139" s="51"/>
      <c r="BH139" s="51"/>
      <c r="BI139" s="51"/>
      <c r="BJ139" s="51"/>
      <c r="BK139" s="51"/>
      <c r="BL139" s="51"/>
      <c r="BM139" s="51"/>
      <c r="BN139" s="51"/>
      <c r="BO139" s="51"/>
      <c r="BP139" s="51"/>
      <c r="BQ139" s="51"/>
      <c r="BR139" s="9">
        <f t="shared" si="2"/>
        <v>1</v>
      </c>
      <c r="BS139" s="9"/>
      <c r="BT139" s="53" t="str">
        <f t="shared" si="3"/>
        <v>Northwest Africa 7959</v>
      </c>
      <c r="BU139" s="101" t="s">
        <v>230</v>
      </c>
    </row>
    <row r="140" spans="1:73" s="42" customFormat="1" ht="12.75" customHeight="1" x14ac:dyDescent="0.25">
      <c r="A140"/>
      <c r="B140" s="97">
        <f t="shared" si="4"/>
        <v>13</v>
      </c>
      <c r="C140" s="265" t="str">
        <f>HYPERLINK("https://sites.wustl.edu/meteoritesite/items/lm_dho_0302/",Q140)</f>
        <v>Dhofar 302</v>
      </c>
      <c r="D140" s="266"/>
      <c r="E140" s="266"/>
      <c r="F140" s="277"/>
      <c r="G140" s="98">
        <v>2001</v>
      </c>
      <c r="H140" s="269" t="s">
        <v>616</v>
      </c>
      <c r="I140" s="269"/>
      <c r="J140" s="103">
        <v>3.83</v>
      </c>
      <c r="K140" s="272" t="s">
        <v>37</v>
      </c>
      <c r="L140" s="273"/>
      <c r="M140" s="100">
        <v>3.2</v>
      </c>
      <c r="N140" s="100">
        <v>0.3</v>
      </c>
      <c r="P140" s="125">
        <f t="shared" si="0"/>
        <v>3.83</v>
      </c>
      <c r="Q140" s="54" t="s">
        <v>147</v>
      </c>
      <c r="R140" s="48">
        <v>3.2</v>
      </c>
      <c r="S140" s="49">
        <v>0.3</v>
      </c>
      <c r="T140" s="50">
        <f t="shared" si="1"/>
        <v>0</v>
      </c>
      <c r="U140" s="9"/>
      <c r="V140" s="51">
        <v>3.83</v>
      </c>
      <c r="W140" s="51"/>
      <c r="X140" s="51"/>
      <c r="Y140" s="51"/>
      <c r="Z140" s="51"/>
      <c r="AA140" s="51"/>
      <c r="AB140" s="51"/>
      <c r="AC140" s="51"/>
      <c r="AD140" s="51"/>
      <c r="AE140" s="51"/>
      <c r="AF140" s="51"/>
      <c r="AG140" s="51"/>
      <c r="AH140" s="51"/>
      <c r="AI140" s="51"/>
      <c r="AJ140" s="51"/>
      <c r="AK140" s="51"/>
      <c r="AL140" s="51"/>
      <c r="AM140" s="51"/>
      <c r="AN140" s="51"/>
      <c r="AO140" s="51"/>
      <c r="AP140" s="51"/>
      <c r="AQ140" s="51"/>
      <c r="AR140" s="51"/>
      <c r="AS140" s="51"/>
      <c r="AT140" s="51"/>
      <c r="AU140" s="51"/>
      <c r="AV140" s="51"/>
      <c r="AW140" s="51"/>
      <c r="AX140" s="51"/>
      <c r="AY140" s="51"/>
      <c r="AZ140" s="51"/>
      <c r="BA140" s="51"/>
      <c r="BB140" s="51"/>
      <c r="BC140" s="51"/>
      <c r="BD140" s="51"/>
      <c r="BE140" s="51"/>
      <c r="BF140" s="51"/>
      <c r="BG140" s="51"/>
      <c r="BH140" s="51"/>
      <c r="BI140" s="51"/>
      <c r="BJ140" s="51"/>
      <c r="BK140" s="51"/>
      <c r="BL140" s="51"/>
      <c r="BM140" s="51"/>
      <c r="BN140" s="51"/>
      <c r="BO140" s="51"/>
      <c r="BP140" s="51"/>
      <c r="BQ140" s="51"/>
      <c r="BR140" s="9">
        <f t="shared" si="2"/>
        <v>1</v>
      </c>
      <c r="BS140" s="9"/>
      <c r="BT140" s="53" t="str">
        <f t="shared" si="3"/>
        <v>Dhofar 302</v>
      </c>
      <c r="BU140" s="101" t="s">
        <v>230</v>
      </c>
    </row>
    <row r="141" spans="1:73" s="42" customFormat="1" ht="12.75" customHeight="1" x14ac:dyDescent="0.25">
      <c r="A141"/>
      <c r="B141" s="97">
        <f t="shared" si="4"/>
        <v>14</v>
      </c>
      <c r="C141" s="265" t="str">
        <f>HYPERLINK("https://sites.wustl.edu/meteoritesite/items/lm_oa_001/",Q141)</f>
        <v>Oued Awlitis 001</v>
      </c>
      <c r="D141" s="266"/>
      <c r="E141" s="266"/>
      <c r="F141" s="277"/>
      <c r="G141" s="98">
        <v>2014</v>
      </c>
      <c r="H141" s="269" t="s">
        <v>616</v>
      </c>
      <c r="I141" s="269"/>
      <c r="J141" s="104">
        <v>432.5</v>
      </c>
      <c r="K141" s="212" t="s">
        <v>44</v>
      </c>
      <c r="L141" s="213"/>
      <c r="M141" s="100">
        <v>3.4</v>
      </c>
      <c r="N141" s="100">
        <v>0.2</v>
      </c>
      <c r="P141" s="125">
        <f t="shared" si="0"/>
        <v>432.5</v>
      </c>
      <c r="Q141" s="54" t="s">
        <v>185</v>
      </c>
      <c r="R141" s="48">
        <v>3.4</v>
      </c>
      <c r="S141" s="49">
        <v>0.2</v>
      </c>
      <c r="T141" s="50">
        <f t="shared" si="1"/>
        <v>0</v>
      </c>
      <c r="U141" s="9"/>
      <c r="V141" s="51">
        <v>432.5</v>
      </c>
      <c r="W141" s="51"/>
      <c r="X141" s="51"/>
      <c r="Y141" s="51"/>
      <c r="Z141" s="51"/>
      <c r="AA141" s="51"/>
      <c r="AB141" s="51"/>
      <c r="AC141" s="51"/>
      <c r="AD141" s="51"/>
      <c r="AE141" s="51"/>
      <c r="AF141" s="51"/>
      <c r="AG141" s="51"/>
      <c r="AH141" s="51"/>
      <c r="AI141" s="51"/>
      <c r="AJ141" s="51"/>
      <c r="AK141" s="51"/>
      <c r="AL141" s="51"/>
      <c r="AM141" s="51"/>
      <c r="AN141" s="51"/>
      <c r="AO141" s="51"/>
      <c r="AP141" s="51"/>
      <c r="AQ141" s="51"/>
      <c r="AR141" s="51"/>
      <c r="AS141" s="51"/>
      <c r="AT141" s="51"/>
      <c r="AU141" s="51"/>
      <c r="AV141" s="51"/>
      <c r="AW141" s="51"/>
      <c r="AX141" s="51"/>
      <c r="AY141" s="51"/>
      <c r="AZ141" s="51"/>
      <c r="BA141" s="51"/>
      <c r="BB141" s="51"/>
      <c r="BC141" s="51"/>
      <c r="BD141" s="51"/>
      <c r="BE141" s="51"/>
      <c r="BF141" s="51"/>
      <c r="BG141" s="51"/>
      <c r="BH141" s="51"/>
      <c r="BI141" s="51"/>
      <c r="BJ141" s="51"/>
      <c r="BK141" s="51"/>
      <c r="BL141" s="51"/>
      <c r="BM141" s="51"/>
      <c r="BN141" s="51"/>
      <c r="BO141" s="51"/>
      <c r="BP141" s="51"/>
      <c r="BQ141" s="51"/>
      <c r="BR141" s="9">
        <f t="shared" si="2"/>
        <v>1</v>
      </c>
      <c r="BS141" s="9"/>
      <c r="BT141" s="53" t="str">
        <f t="shared" si="3"/>
        <v>Oued Awlitis 001</v>
      </c>
      <c r="BU141" s="101" t="s">
        <v>230</v>
      </c>
    </row>
    <row r="142" spans="1:73" s="42" customFormat="1" ht="12.75" customHeight="1" x14ac:dyDescent="0.25">
      <c r="A142"/>
      <c r="B142" s="97">
        <f t="shared" si="4"/>
        <v>15</v>
      </c>
      <c r="C142" s="265" t="str">
        <f>HYPERLINK("https://sites.wustl.edu/meteoritesite/items/lm_nwa_11061/",Q142)</f>
        <v>Northwest Africa 11061</v>
      </c>
      <c r="D142" s="266"/>
      <c r="E142" s="266"/>
      <c r="F142" s="277"/>
      <c r="G142" s="98">
        <v>2016</v>
      </c>
      <c r="H142" s="269" t="s">
        <v>396</v>
      </c>
      <c r="I142" s="269"/>
      <c r="J142" s="99">
        <v>1040</v>
      </c>
      <c r="K142" s="212" t="s">
        <v>39</v>
      </c>
      <c r="L142" s="213"/>
      <c r="M142" s="100">
        <v>3.3</v>
      </c>
      <c r="N142" s="100">
        <v>0.3</v>
      </c>
      <c r="P142" s="125">
        <f t="shared" si="0"/>
        <v>1040</v>
      </c>
      <c r="Q142" s="54" t="s">
        <v>209</v>
      </c>
      <c r="R142" s="48">
        <v>3.3</v>
      </c>
      <c r="S142" s="49">
        <v>0.3</v>
      </c>
      <c r="T142" s="50">
        <f t="shared" si="1"/>
        <v>0</v>
      </c>
      <c r="U142" s="9"/>
      <c r="V142" s="51">
        <v>1040</v>
      </c>
      <c r="W142" s="51"/>
      <c r="X142" s="51"/>
      <c r="Y142" s="51"/>
      <c r="Z142" s="51"/>
      <c r="AA142" s="51"/>
      <c r="AB142" s="51"/>
      <c r="AC142" s="51"/>
      <c r="AD142" s="51"/>
      <c r="AE142" s="51"/>
      <c r="AF142" s="51"/>
      <c r="AG142" s="51"/>
      <c r="AH142" s="51"/>
      <c r="AI142" s="51"/>
      <c r="AJ142" s="51"/>
      <c r="AK142" s="51"/>
      <c r="AL142" s="51"/>
      <c r="AM142" s="51"/>
      <c r="AN142" s="51"/>
      <c r="AO142" s="51"/>
      <c r="AP142" s="51"/>
      <c r="AQ142" s="51"/>
      <c r="AR142" s="51"/>
      <c r="AS142" s="51"/>
      <c r="AT142" s="51"/>
      <c r="AU142" s="51"/>
      <c r="AV142" s="51"/>
      <c r="AW142" s="51"/>
      <c r="AX142" s="51"/>
      <c r="AY142" s="51"/>
      <c r="AZ142" s="51"/>
      <c r="BA142" s="51"/>
      <c r="BB142" s="51"/>
      <c r="BC142" s="51"/>
      <c r="BD142" s="51"/>
      <c r="BE142" s="51"/>
      <c r="BF142" s="51"/>
      <c r="BG142" s="51"/>
      <c r="BH142" s="51"/>
      <c r="BI142" s="51"/>
      <c r="BJ142" s="51"/>
      <c r="BK142" s="51"/>
      <c r="BL142" s="51"/>
      <c r="BM142" s="51"/>
      <c r="BN142" s="51"/>
      <c r="BO142" s="51"/>
      <c r="BP142" s="51"/>
      <c r="BQ142" s="51"/>
      <c r="BR142" s="9">
        <f t="shared" si="2"/>
        <v>1</v>
      </c>
      <c r="BS142" s="9"/>
      <c r="BT142" s="53" t="str">
        <f t="shared" si="3"/>
        <v>Northwest Africa 11061</v>
      </c>
      <c r="BU142" s="101" t="s">
        <v>230</v>
      </c>
    </row>
    <row r="143" spans="1:73" s="42" customFormat="1" ht="12.75" customHeight="1" x14ac:dyDescent="0.25">
      <c r="A143"/>
      <c r="B143" s="97">
        <f t="shared" si="4"/>
        <v>16</v>
      </c>
      <c r="C143" s="265" t="str">
        <f>HYPERLINK("https://sites.wustl.edu/meteoritesite/items/lm_nwa_08222_clan/",Q143)</f>
        <v>Northwest Africa 8222/ 10823/ 11212/ 11237/ Rabt Sbayta 002/ 004/ 005/ 006/ [unnamed 106]/ [unnamed 115]</v>
      </c>
      <c r="D143" s="266"/>
      <c r="E143" s="266"/>
      <c r="F143" s="277"/>
      <c r="G143" s="98" t="s">
        <v>221</v>
      </c>
      <c r="H143" s="267" t="s">
        <v>38</v>
      </c>
      <c r="I143" s="268"/>
      <c r="J143" s="105">
        <v>27857.78</v>
      </c>
      <c r="K143" s="212" t="s">
        <v>35</v>
      </c>
      <c r="L143" s="213"/>
      <c r="M143" s="100">
        <v>3.6</v>
      </c>
      <c r="N143" s="102">
        <v>0.23</v>
      </c>
      <c r="P143" s="125">
        <f t="shared" si="0"/>
        <v>27857.78</v>
      </c>
      <c r="Q143" s="54" t="s">
        <v>320</v>
      </c>
      <c r="R143" s="48">
        <v>3.6</v>
      </c>
      <c r="S143" s="49">
        <v>0.23</v>
      </c>
      <c r="T143" s="50">
        <f t="shared" si="1"/>
        <v>0</v>
      </c>
      <c r="U143" s="9"/>
      <c r="V143" s="51">
        <v>208.6</v>
      </c>
      <c r="W143" s="51">
        <v>202</v>
      </c>
      <c r="X143" s="51">
        <v>197.5</v>
      </c>
      <c r="Y143" s="51">
        <v>583</v>
      </c>
      <c r="Z143" s="51">
        <v>6371.9</v>
      </c>
      <c r="AA143" s="51">
        <v>15464</v>
      </c>
      <c r="AB143" s="51">
        <v>20.78</v>
      </c>
      <c r="AC143" s="51">
        <v>4810</v>
      </c>
      <c r="AD143" s="51"/>
      <c r="AE143" s="51"/>
      <c r="AF143" s="51"/>
      <c r="AG143" s="51"/>
      <c r="AH143" s="51"/>
      <c r="AI143" s="51"/>
      <c r="AJ143" s="51"/>
      <c r="AK143" s="51"/>
      <c r="AL143" s="51"/>
      <c r="AM143" s="51"/>
      <c r="AN143" s="51"/>
      <c r="AO143" s="51"/>
      <c r="AP143" s="51"/>
      <c r="AQ143" s="51"/>
      <c r="AR143" s="51"/>
      <c r="AS143" s="51"/>
      <c r="AT143" s="51"/>
      <c r="AU143" s="51"/>
      <c r="AV143" s="51"/>
      <c r="AW143" s="51"/>
      <c r="AX143" s="51"/>
      <c r="AY143" s="51"/>
      <c r="AZ143" s="51"/>
      <c r="BA143" s="51"/>
      <c r="BB143" s="51"/>
      <c r="BC143" s="51"/>
      <c r="BD143" s="51"/>
      <c r="BE143" s="51"/>
      <c r="BF143" s="51"/>
      <c r="BG143" s="51"/>
      <c r="BH143" s="51"/>
      <c r="BI143" s="51"/>
      <c r="BJ143" s="51"/>
      <c r="BK143" s="51"/>
      <c r="BL143" s="51"/>
      <c r="BM143" s="51"/>
      <c r="BN143" s="51"/>
      <c r="BO143" s="51"/>
      <c r="BP143" s="51"/>
      <c r="BQ143" s="51"/>
      <c r="BR143" s="9">
        <f t="shared" si="2"/>
        <v>8</v>
      </c>
      <c r="BS143" s="9"/>
      <c r="BT143" s="53" t="str">
        <f t="shared" si="3"/>
        <v>Northwest Africa 8222/ 10823/ 11212/ 11237/ Rabt Sbayta 002/ 004/ 005/ 006/ [unnamed 106]/ [unnamed 115]</v>
      </c>
      <c r="BU143" s="101" t="s">
        <v>230</v>
      </c>
    </row>
    <row r="144" spans="1:73" s="42" customFormat="1" ht="12.75" customHeight="1" x14ac:dyDescent="0.25">
      <c r="A144"/>
      <c r="B144" s="97">
        <f>B143+1</f>
        <v>17</v>
      </c>
      <c r="C144" s="265" t="str">
        <f>HYPERLINK("https://sites.wustl.edu/meteoritesite/items/lm_nwa_unn_065/",Q144)</f>
        <v>[unnamed 65]</v>
      </c>
      <c r="D144" s="266"/>
      <c r="E144" s="266"/>
      <c r="F144" s="277"/>
      <c r="G144" s="98">
        <v>2014</v>
      </c>
      <c r="H144" s="269" t="s">
        <v>34</v>
      </c>
      <c r="I144" s="269"/>
      <c r="J144" s="99">
        <v>442</v>
      </c>
      <c r="K144" s="212" t="s">
        <v>51</v>
      </c>
      <c r="L144" s="213"/>
      <c r="M144" s="100">
        <v>3.9</v>
      </c>
      <c r="N144" s="100">
        <v>0.3</v>
      </c>
      <c r="P144" s="125">
        <f t="shared" si="0"/>
        <v>0</v>
      </c>
      <c r="Q144" s="54" t="s">
        <v>169</v>
      </c>
      <c r="R144" s="48">
        <v>3.9</v>
      </c>
      <c r="S144" s="49">
        <v>0.3</v>
      </c>
      <c r="T144" s="50"/>
      <c r="U144" s="9"/>
      <c r="V144" s="51"/>
      <c r="W144" s="51"/>
      <c r="X144" s="51"/>
      <c r="Y144" s="51"/>
      <c r="Z144" s="51"/>
      <c r="AA144" s="51"/>
      <c r="AB144" s="51"/>
      <c r="AC144" s="51"/>
      <c r="AD144" s="51"/>
      <c r="AE144" s="51"/>
      <c r="AF144" s="51"/>
      <c r="AG144" s="51"/>
      <c r="AH144" s="51"/>
      <c r="AI144" s="51"/>
      <c r="AJ144" s="51"/>
      <c r="AK144" s="51"/>
      <c r="AL144" s="51"/>
      <c r="AM144" s="51"/>
      <c r="AN144" s="51"/>
      <c r="AO144" s="51"/>
      <c r="AP144" s="51"/>
      <c r="AQ144" s="51"/>
      <c r="AR144" s="51"/>
      <c r="AS144" s="51"/>
      <c r="AT144" s="51"/>
      <c r="AU144" s="51"/>
      <c r="AV144" s="51"/>
      <c r="AW144" s="51"/>
      <c r="AX144" s="51"/>
      <c r="AY144" s="51"/>
      <c r="AZ144" s="51"/>
      <c r="BA144" s="51"/>
      <c r="BB144" s="51"/>
      <c r="BC144" s="51"/>
      <c r="BD144" s="51"/>
      <c r="BE144" s="51"/>
      <c r="BF144" s="51"/>
      <c r="BG144" s="51"/>
      <c r="BH144" s="51"/>
      <c r="BI144" s="51"/>
      <c r="BJ144" s="51"/>
      <c r="BK144" s="51"/>
      <c r="BL144" s="51"/>
      <c r="BM144" s="51"/>
      <c r="BN144" s="51"/>
      <c r="BO144" s="51"/>
      <c r="BP144" s="51"/>
      <c r="BQ144" s="51"/>
      <c r="BR144" s="9">
        <f t="shared" si="2"/>
        <v>0</v>
      </c>
      <c r="BS144" s="9"/>
      <c r="BT144" s="53" t="str">
        <f t="shared" si="3"/>
        <v>[unnamed 65]</v>
      </c>
      <c r="BU144" s="101" t="s">
        <v>230</v>
      </c>
    </row>
    <row r="145" spans="1:73" s="42" customFormat="1" ht="12.75" customHeight="1" x14ac:dyDescent="0.25">
      <c r="A145"/>
      <c r="B145" s="97">
        <f t="shared" si="4"/>
        <v>18</v>
      </c>
      <c r="C145" s="265" t="str">
        <f>HYPERLINK("https://sites.wustl.edu/meteoritesite/items/lm_nwa_unn_087/",Q145)</f>
        <v>[unnamed 87]</v>
      </c>
      <c r="D145" s="266"/>
      <c r="E145" s="266"/>
      <c r="F145" s="277"/>
      <c r="G145" s="98">
        <v>2015</v>
      </c>
      <c r="H145" s="267" t="s">
        <v>34</v>
      </c>
      <c r="I145" s="268"/>
      <c r="J145" s="106">
        <v>158</v>
      </c>
      <c r="K145" s="212" t="s">
        <v>39</v>
      </c>
      <c r="L145" s="213"/>
      <c r="M145" s="100">
        <v>4</v>
      </c>
      <c r="N145" s="100">
        <v>0.5</v>
      </c>
      <c r="P145" s="125">
        <f t="shared" si="0"/>
        <v>0</v>
      </c>
      <c r="Q145" s="54" t="s">
        <v>170</v>
      </c>
      <c r="R145" s="48">
        <v>4</v>
      </c>
      <c r="S145" s="49">
        <v>0.5</v>
      </c>
      <c r="T145" s="50"/>
      <c r="U145" s="9"/>
      <c r="V145" s="51"/>
      <c r="W145" s="51"/>
      <c r="X145" s="51"/>
      <c r="Y145" s="51"/>
      <c r="Z145" s="51"/>
      <c r="AA145" s="51"/>
      <c r="AB145" s="51"/>
      <c r="AC145" s="51"/>
      <c r="AD145" s="51"/>
      <c r="AE145" s="51"/>
      <c r="AF145" s="51"/>
      <c r="AG145" s="51"/>
      <c r="AH145" s="51"/>
      <c r="AI145" s="51"/>
      <c r="AJ145" s="51"/>
      <c r="AK145" s="51"/>
      <c r="AL145" s="51"/>
      <c r="AM145" s="51"/>
      <c r="AN145" s="51"/>
      <c r="AO145" s="51"/>
      <c r="AP145" s="51"/>
      <c r="AQ145" s="51"/>
      <c r="AR145" s="51"/>
      <c r="AS145" s="51"/>
      <c r="AT145" s="51"/>
      <c r="AU145" s="51"/>
      <c r="AV145" s="51"/>
      <c r="AW145" s="51"/>
      <c r="AX145" s="51"/>
      <c r="AY145" s="51"/>
      <c r="AZ145" s="51"/>
      <c r="BA145" s="51"/>
      <c r="BB145" s="51"/>
      <c r="BC145" s="51"/>
      <c r="BD145" s="51"/>
      <c r="BE145" s="51"/>
      <c r="BF145" s="51"/>
      <c r="BG145" s="51"/>
      <c r="BH145" s="51"/>
      <c r="BI145" s="51"/>
      <c r="BJ145" s="51"/>
      <c r="BK145" s="51"/>
      <c r="BL145" s="51"/>
      <c r="BM145" s="51"/>
      <c r="BN145" s="51"/>
      <c r="BO145" s="51"/>
      <c r="BP145" s="51"/>
      <c r="BQ145" s="51"/>
      <c r="BR145" s="9">
        <f t="shared" si="2"/>
        <v>0</v>
      </c>
      <c r="BS145" s="9"/>
      <c r="BT145" s="53" t="str">
        <f t="shared" si="3"/>
        <v>[unnamed 87]</v>
      </c>
      <c r="BU145" s="101" t="s">
        <v>230</v>
      </c>
    </row>
    <row r="146" spans="1:73" s="42" customFormat="1" ht="12.75" customHeight="1" x14ac:dyDescent="0.25">
      <c r="A146"/>
      <c r="B146" s="97">
        <f t="shared" si="4"/>
        <v>19</v>
      </c>
      <c r="C146" s="265" t="str">
        <f>HYPERLINK("https://sites.wustl.edu/meteoritesite/items/lm_dho_0490/",Q146)</f>
        <v>Dhofar 490/ 1084</v>
      </c>
      <c r="D146" s="266"/>
      <c r="E146" s="266"/>
      <c r="F146" s="277"/>
      <c r="G146" s="98" t="s">
        <v>52</v>
      </c>
      <c r="H146" s="269" t="s">
        <v>38</v>
      </c>
      <c r="I146" s="269"/>
      <c r="J146" s="99">
        <v>124.05</v>
      </c>
      <c r="K146" s="272" t="s">
        <v>37</v>
      </c>
      <c r="L146" s="273"/>
      <c r="M146" s="100">
        <v>4.0999999999999996</v>
      </c>
      <c r="N146" s="100">
        <v>0.5</v>
      </c>
      <c r="P146" s="125">
        <f t="shared" si="0"/>
        <v>124.05</v>
      </c>
      <c r="Q146" s="54" t="s">
        <v>258</v>
      </c>
      <c r="R146" s="48">
        <v>4.0999999999999996</v>
      </c>
      <c r="S146" s="49">
        <v>0.5</v>
      </c>
      <c r="T146" s="50">
        <f t="shared" ref="T146:T175" si="5">J146-P146</f>
        <v>0</v>
      </c>
      <c r="U146" s="9"/>
      <c r="V146" s="51">
        <v>34.049999999999997</v>
      </c>
      <c r="W146" s="51">
        <v>90</v>
      </c>
      <c r="X146" s="51"/>
      <c r="Y146" s="51"/>
      <c r="Z146" s="51"/>
      <c r="AA146" s="51"/>
      <c r="AB146" s="51"/>
      <c r="AC146" s="51"/>
      <c r="AD146" s="51"/>
      <c r="AE146" s="51"/>
      <c r="AF146" s="51"/>
      <c r="AG146" s="51"/>
      <c r="AH146" s="51"/>
      <c r="AI146" s="51"/>
      <c r="AJ146" s="51"/>
      <c r="AK146" s="51"/>
      <c r="AL146" s="51"/>
      <c r="AM146" s="51"/>
      <c r="AN146" s="51"/>
      <c r="AO146" s="51"/>
      <c r="AP146" s="51"/>
      <c r="AQ146" s="51"/>
      <c r="AR146" s="51"/>
      <c r="AS146" s="51"/>
      <c r="AT146" s="51"/>
      <c r="AU146" s="51"/>
      <c r="AV146" s="51"/>
      <c r="AW146" s="51"/>
      <c r="AX146" s="51"/>
      <c r="AY146" s="51"/>
      <c r="AZ146" s="51"/>
      <c r="BA146" s="51"/>
      <c r="BB146" s="51"/>
      <c r="BC146" s="51"/>
      <c r="BD146" s="51"/>
      <c r="BE146" s="51"/>
      <c r="BF146" s="51"/>
      <c r="BG146" s="51"/>
      <c r="BH146" s="51"/>
      <c r="BI146" s="51"/>
      <c r="BJ146" s="51"/>
      <c r="BK146" s="51"/>
      <c r="BL146" s="51"/>
      <c r="BM146" s="51"/>
      <c r="BN146" s="51"/>
      <c r="BO146" s="51"/>
      <c r="BP146" s="51"/>
      <c r="BQ146" s="51"/>
      <c r="BR146" s="9">
        <f t="shared" si="2"/>
        <v>2</v>
      </c>
      <c r="BS146" s="9"/>
      <c r="BT146" s="53" t="str">
        <f t="shared" si="3"/>
        <v>Dhofar 490/ 1084</v>
      </c>
      <c r="BU146" s="101" t="s">
        <v>230</v>
      </c>
    </row>
    <row r="147" spans="1:73" s="42" customFormat="1" ht="12.75" customHeight="1" x14ac:dyDescent="0.25">
      <c r="A147"/>
      <c r="B147" s="97">
        <f t="shared" si="4"/>
        <v>20</v>
      </c>
      <c r="C147" s="265" t="str">
        <f>HYPERLINK("https://sites.wustl.edu/meteoritesite/items/lm_nwa_11006/",Q147)</f>
        <v>Northwest Africa 11006</v>
      </c>
      <c r="D147" s="266"/>
      <c r="E147" s="266"/>
      <c r="F147" s="277"/>
      <c r="G147" s="98">
        <v>2016</v>
      </c>
      <c r="H147" s="267" t="s">
        <v>616</v>
      </c>
      <c r="I147" s="268"/>
      <c r="J147" s="99">
        <v>2245</v>
      </c>
      <c r="K147" s="212" t="s">
        <v>35</v>
      </c>
      <c r="L147" s="213"/>
      <c r="M147" s="100">
        <v>3.5</v>
      </c>
      <c r="N147" s="100">
        <v>0.5</v>
      </c>
      <c r="P147" s="125">
        <f t="shared" si="0"/>
        <v>2245</v>
      </c>
      <c r="Q147" s="54" t="s">
        <v>208</v>
      </c>
      <c r="R147" s="48">
        <v>3.5</v>
      </c>
      <c r="S147" s="49">
        <v>0.5</v>
      </c>
      <c r="T147" s="50">
        <f t="shared" si="5"/>
        <v>0</v>
      </c>
      <c r="U147" s="9"/>
      <c r="V147" s="51">
        <v>2245</v>
      </c>
      <c r="W147" s="51"/>
      <c r="X147" s="51"/>
      <c r="Y147" s="51"/>
      <c r="Z147" s="51"/>
      <c r="AA147" s="51"/>
      <c r="AB147" s="51"/>
      <c r="AC147" s="51"/>
      <c r="AD147" s="51"/>
      <c r="AE147" s="51"/>
      <c r="AF147" s="51"/>
      <c r="AG147" s="51"/>
      <c r="AH147" s="51"/>
      <c r="AI147" s="51"/>
      <c r="AJ147" s="51"/>
      <c r="AK147" s="51"/>
      <c r="AL147" s="51"/>
      <c r="AM147" s="51"/>
      <c r="AN147" s="51"/>
      <c r="AO147" s="51"/>
      <c r="AP147" s="51"/>
      <c r="AQ147" s="51"/>
      <c r="AR147" s="51"/>
      <c r="AS147" s="51"/>
      <c r="AT147" s="51"/>
      <c r="AU147" s="51"/>
      <c r="AV147" s="51"/>
      <c r="AW147" s="51"/>
      <c r="AX147" s="51"/>
      <c r="AY147" s="51"/>
      <c r="AZ147" s="51"/>
      <c r="BA147" s="51"/>
      <c r="BB147" s="51"/>
      <c r="BC147" s="51"/>
      <c r="BD147" s="51"/>
      <c r="BE147" s="51"/>
      <c r="BF147" s="51"/>
      <c r="BG147" s="51"/>
      <c r="BH147" s="51"/>
      <c r="BI147" s="51"/>
      <c r="BJ147" s="51"/>
      <c r="BK147" s="51"/>
      <c r="BL147" s="51"/>
      <c r="BM147" s="51"/>
      <c r="BN147" s="51"/>
      <c r="BO147" s="51"/>
      <c r="BP147" s="51"/>
      <c r="BQ147" s="51"/>
      <c r="BR147" s="9">
        <f t="shared" si="2"/>
        <v>1</v>
      </c>
      <c r="BS147" s="9"/>
      <c r="BT147" s="53" t="str">
        <f t="shared" si="3"/>
        <v>Northwest Africa 11006</v>
      </c>
      <c r="BU147" s="101" t="s">
        <v>230</v>
      </c>
    </row>
    <row r="148" spans="1:73" s="42" customFormat="1" ht="12.75" customHeight="1" x14ac:dyDescent="0.25">
      <c r="A148"/>
      <c r="B148" s="97">
        <f t="shared" si="4"/>
        <v>21</v>
      </c>
      <c r="C148" s="265" t="str">
        <f>HYPERLINK("https://sites.wustl.edu/meteoritesite/items/lm_nwa_11182/",Q148)</f>
        <v>Northwest Africa 11182</v>
      </c>
      <c r="D148" s="266"/>
      <c r="E148" s="266"/>
      <c r="F148" s="277"/>
      <c r="G148" s="98">
        <v>2017</v>
      </c>
      <c r="H148" s="267" t="s">
        <v>396</v>
      </c>
      <c r="I148" s="268"/>
      <c r="J148" s="99">
        <v>60</v>
      </c>
      <c r="K148" s="212" t="s">
        <v>39</v>
      </c>
      <c r="L148" s="213"/>
      <c r="M148" s="100">
        <v>3.7</v>
      </c>
      <c r="N148" s="102">
        <v>0.1</v>
      </c>
      <c r="P148" s="125">
        <f t="shared" si="0"/>
        <v>60</v>
      </c>
      <c r="Q148" s="54" t="s">
        <v>217</v>
      </c>
      <c r="R148" s="48">
        <v>3.7</v>
      </c>
      <c r="S148" s="49">
        <v>0.1</v>
      </c>
      <c r="T148" s="50">
        <f t="shared" si="5"/>
        <v>0</v>
      </c>
      <c r="U148" s="9"/>
      <c r="V148" s="51">
        <v>60</v>
      </c>
      <c r="W148" s="51"/>
      <c r="X148" s="51"/>
      <c r="Y148" s="51"/>
      <c r="Z148" s="51"/>
      <c r="AA148" s="51"/>
      <c r="AB148" s="51"/>
      <c r="AC148" s="51"/>
      <c r="AD148" s="51"/>
      <c r="AE148" s="51"/>
      <c r="AF148" s="51"/>
      <c r="AG148" s="51"/>
      <c r="AH148" s="51"/>
      <c r="AI148" s="51"/>
      <c r="AJ148" s="51"/>
      <c r="AK148" s="51"/>
      <c r="AL148" s="51"/>
      <c r="AM148" s="51"/>
      <c r="AN148" s="51"/>
      <c r="AO148" s="51"/>
      <c r="AP148" s="51"/>
      <c r="AQ148" s="51"/>
      <c r="AR148" s="51"/>
      <c r="AS148" s="51"/>
      <c r="AT148" s="51"/>
      <c r="AU148" s="51"/>
      <c r="AV148" s="51"/>
      <c r="AW148" s="51"/>
      <c r="AX148" s="51"/>
      <c r="AY148" s="51"/>
      <c r="AZ148" s="51"/>
      <c r="BA148" s="51"/>
      <c r="BB148" s="51"/>
      <c r="BC148" s="51"/>
      <c r="BD148" s="51"/>
      <c r="BE148" s="51"/>
      <c r="BF148" s="51"/>
      <c r="BG148" s="51"/>
      <c r="BH148" s="51"/>
      <c r="BI148" s="51"/>
      <c r="BJ148" s="51"/>
      <c r="BK148" s="51"/>
      <c r="BL148" s="51"/>
      <c r="BM148" s="51"/>
      <c r="BN148" s="51"/>
      <c r="BO148" s="51"/>
      <c r="BP148" s="51"/>
      <c r="BQ148" s="51"/>
      <c r="BR148" s="9">
        <f t="shared" si="2"/>
        <v>1</v>
      </c>
      <c r="BS148" s="9"/>
      <c r="BT148" s="53" t="str">
        <f t="shared" si="3"/>
        <v>Northwest Africa 11182</v>
      </c>
      <c r="BU148" s="101" t="s">
        <v>230</v>
      </c>
    </row>
    <row r="149" spans="1:73" s="42" customFormat="1" ht="12.75" customHeight="1" x14ac:dyDescent="0.25">
      <c r="A149"/>
      <c r="B149" s="97">
        <f t="shared" si="4"/>
        <v>22</v>
      </c>
      <c r="C149" s="265" t="str">
        <f>HYPERLINK("https://sites.wustl.edu/meteoritesite/items/lm_nwa_10665/",Q149)</f>
        <v>Northwest Africa 10665</v>
      </c>
      <c r="D149" s="266"/>
      <c r="E149" s="266"/>
      <c r="F149" s="277"/>
      <c r="G149" s="98">
        <v>2016</v>
      </c>
      <c r="H149" s="267" t="s">
        <v>396</v>
      </c>
      <c r="I149" s="268"/>
      <c r="J149" s="99">
        <f>24.73</f>
        <v>24.73</v>
      </c>
      <c r="K149" s="212" t="s">
        <v>39</v>
      </c>
      <c r="L149" s="213"/>
      <c r="M149" s="100">
        <v>3.7</v>
      </c>
      <c r="N149" s="100">
        <v>0.4</v>
      </c>
      <c r="P149" s="125">
        <f t="shared" si="0"/>
        <v>24.73</v>
      </c>
      <c r="Q149" s="54" t="s">
        <v>202</v>
      </c>
      <c r="R149" s="48">
        <v>3.7</v>
      </c>
      <c r="S149" s="49">
        <v>0.4</v>
      </c>
      <c r="T149" s="50">
        <f t="shared" si="5"/>
        <v>0</v>
      </c>
      <c r="U149" s="9"/>
      <c r="V149" s="51">
        <v>24.73</v>
      </c>
      <c r="W149" s="51"/>
      <c r="X149" s="51"/>
      <c r="Y149" s="51"/>
      <c r="Z149" s="51"/>
      <c r="AA149" s="51"/>
      <c r="AB149" s="51"/>
      <c r="AC149" s="51"/>
      <c r="AD149" s="51"/>
      <c r="AE149" s="51"/>
      <c r="AF149" s="51"/>
      <c r="AG149" s="51"/>
      <c r="AH149" s="51"/>
      <c r="AI149" s="51"/>
      <c r="AJ149" s="51"/>
      <c r="AK149" s="51"/>
      <c r="AL149" s="51"/>
      <c r="AM149" s="51"/>
      <c r="AN149" s="51"/>
      <c r="AO149" s="51"/>
      <c r="AP149" s="51"/>
      <c r="AQ149" s="51"/>
      <c r="AR149" s="51"/>
      <c r="AS149" s="51"/>
      <c r="AT149" s="51"/>
      <c r="AU149" s="51"/>
      <c r="AV149" s="51"/>
      <c r="AW149" s="51"/>
      <c r="AX149" s="51"/>
      <c r="AY149" s="51"/>
      <c r="AZ149" s="51"/>
      <c r="BA149" s="51"/>
      <c r="BB149" s="51"/>
      <c r="BC149" s="51"/>
      <c r="BD149" s="51"/>
      <c r="BE149" s="51"/>
      <c r="BF149" s="51"/>
      <c r="BG149" s="51"/>
      <c r="BH149" s="51"/>
      <c r="BI149" s="51"/>
      <c r="BJ149" s="51"/>
      <c r="BK149" s="51"/>
      <c r="BL149" s="51"/>
      <c r="BM149" s="51"/>
      <c r="BN149" s="51"/>
      <c r="BO149" s="51"/>
      <c r="BP149" s="51"/>
      <c r="BQ149" s="51"/>
      <c r="BR149" s="9">
        <f t="shared" si="2"/>
        <v>1</v>
      </c>
      <c r="BS149" s="9"/>
      <c r="BT149" s="53" t="str">
        <f t="shared" si="3"/>
        <v>Northwest Africa 10665</v>
      </c>
      <c r="BU149" s="101" t="s">
        <v>230</v>
      </c>
    </row>
    <row r="150" spans="1:73" s="42" customFormat="1" ht="12.75" customHeight="1" x14ac:dyDescent="0.25">
      <c r="A150"/>
      <c r="B150" s="97">
        <f t="shared" si="4"/>
        <v>23</v>
      </c>
      <c r="C150" s="265" t="str">
        <f>HYPERLINK("https://sites.wustl.edu/meteoritesite/items/lm_gra_06157/",Q150)</f>
        <v>Graves Nunataks 06157</v>
      </c>
      <c r="D150" s="266"/>
      <c r="E150" s="266"/>
      <c r="F150" s="277"/>
      <c r="G150" s="98">
        <v>2007</v>
      </c>
      <c r="H150" s="269" t="s">
        <v>41</v>
      </c>
      <c r="I150" s="269"/>
      <c r="J150" s="98">
        <v>0.78800000000000003</v>
      </c>
      <c r="K150" s="270" t="s">
        <v>42</v>
      </c>
      <c r="L150" s="271"/>
      <c r="M150" s="100">
        <v>3.6</v>
      </c>
      <c r="N150" s="100">
        <v>0.2</v>
      </c>
      <c r="P150" s="125">
        <f t="shared" si="0"/>
        <v>0.78800000000000003</v>
      </c>
      <c r="Q150" s="54" t="s">
        <v>173</v>
      </c>
      <c r="R150" s="48">
        <v>3.6</v>
      </c>
      <c r="S150" s="49">
        <v>0.2</v>
      </c>
      <c r="T150" s="50">
        <f t="shared" si="5"/>
        <v>0</v>
      </c>
      <c r="U150" s="9"/>
      <c r="V150" s="51">
        <v>0.78800000000000003</v>
      </c>
      <c r="W150" s="52"/>
      <c r="X150" s="52"/>
      <c r="Y150" s="51"/>
      <c r="Z150" s="51"/>
      <c r="AA150" s="51"/>
      <c r="AB150" s="51"/>
      <c r="AC150" s="51"/>
      <c r="AD150" s="51"/>
      <c r="AE150" s="51"/>
      <c r="AF150" s="51"/>
      <c r="AG150" s="51"/>
      <c r="AH150" s="51"/>
      <c r="AI150" s="51"/>
      <c r="AJ150" s="51"/>
      <c r="AK150" s="51"/>
      <c r="AL150" s="51"/>
      <c r="AM150" s="51"/>
      <c r="AN150" s="51"/>
      <c r="AO150" s="51"/>
      <c r="AP150" s="51"/>
      <c r="AQ150" s="51"/>
      <c r="AR150" s="51"/>
      <c r="AS150" s="51"/>
      <c r="AT150" s="51"/>
      <c r="AU150" s="51"/>
      <c r="AV150" s="51"/>
      <c r="AW150" s="51"/>
      <c r="AX150" s="51"/>
      <c r="AY150" s="51"/>
      <c r="AZ150" s="51"/>
      <c r="BA150" s="51"/>
      <c r="BB150" s="51"/>
      <c r="BC150" s="51"/>
      <c r="BD150" s="51"/>
      <c r="BE150" s="51"/>
      <c r="BF150" s="51"/>
      <c r="BG150" s="51"/>
      <c r="BH150" s="51"/>
      <c r="BI150" s="51"/>
      <c r="BJ150" s="51"/>
      <c r="BK150" s="51"/>
      <c r="BL150" s="51"/>
      <c r="BM150" s="51"/>
      <c r="BN150" s="51"/>
      <c r="BO150" s="51"/>
      <c r="BP150" s="51"/>
      <c r="BQ150" s="51"/>
      <c r="BR150" s="9">
        <f t="shared" si="2"/>
        <v>1</v>
      </c>
      <c r="BS150" s="9"/>
      <c r="BT150" s="53" t="str">
        <f t="shared" si="3"/>
        <v>Graves Nunataks 06157</v>
      </c>
      <c r="BU150" s="101" t="s">
        <v>230</v>
      </c>
    </row>
    <row r="151" spans="1:73" s="42" customFormat="1" ht="12.75" customHeight="1" x14ac:dyDescent="0.25">
      <c r="A151"/>
      <c r="B151" s="97">
        <f t="shared" si="4"/>
        <v>24</v>
      </c>
      <c r="C151" s="265" t="str">
        <f>HYPERLINK("https://sites.wustl.edu/meteoritesite/items/lm_nwa_10404/",Q151)</f>
        <v>Northwest Africa 10404</v>
      </c>
      <c r="D151" s="266"/>
      <c r="E151" s="266"/>
      <c r="F151" s="277"/>
      <c r="G151" s="98">
        <v>2015</v>
      </c>
      <c r="H151" s="267" t="s">
        <v>189</v>
      </c>
      <c r="I151" s="268"/>
      <c r="J151" s="99">
        <v>229</v>
      </c>
      <c r="K151" s="212" t="s">
        <v>39</v>
      </c>
      <c r="L151" s="213"/>
      <c r="M151" s="100">
        <v>3.7</v>
      </c>
      <c r="N151" s="100">
        <v>0.7</v>
      </c>
      <c r="P151" s="125">
        <f t="shared" si="0"/>
        <v>229</v>
      </c>
      <c r="Q151" s="54" t="s">
        <v>183</v>
      </c>
      <c r="R151" s="48">
        <v>3.7</v>
      </c>
      <c r="S151" s="49">
        <v>0.7</v>
      </c>
      <c r="T151" s="50">
        <f t="shared" si="5"/>
        <v>0</v>
      </c>
      <c r="U151" s="9"/>
      <c r="V151" s="51">
        <v>229</v>
      </c>
      <c r="W151" s="51"/>
      <c r="X151" s="51"/>
      <c r="Y151" s="51"/>
      <c r="Z151" s="51"/>
      <c r="AA151" s="51"/>
      <c r="AB151" s="51"/>
      <c r="AC151" s="51"/>
      <c r="AD151" s="51"/>
      <c r="AE151" s="51"/>
      <c r="AF151" s="51"/>
      <c r="AG151" s="51"/>
      <c r="AH151" s="51"/>
      <c r="AI151" s="51"/>
      <c r="AJ151" s="51"/>
      <c r="AK151" s="51"/>
      <c r="AL151" s="51"/>
      <c r="AM151" s="51"/>
      <c r="AN151" s="51"/>
      <c r="AO151" s="51"/>
      <c r="AP151" s="51"/>
      <c r="AQ151" s="51"/>
      <c r="AR151" s="51"/>
      <c r="AS151" s="51"/>
      <c r="AT151" s="51"/>
      <c r="AU151" s="51"/>
      <c r="AV151" s="51"/>
      <c r="AW151" s="51"/>
      <c r="AX151" s="51"/>
      <c r="AY151" s="51"/>
      <c r="AZ151" s="51"/>
      <c r="BA151" s="51"/>
      <c r="BB151" s="51"/>
      <c r="BC151" s="51"/>
      <c r="BD151" s="51"/>
      <c r="BE151" s="51"/>
      <c r="BF151" s="51"/>
      <c r="BG151" s="51"/>
      <c r="BH151" s="51"/>
      <c r="BI151" s="51"/>
      <c r="BJ151" s="51"/>
      <c r="BK151" s="51"/>
      <c r="BL151" s="51"/>
      <c r="BM151" s="51"/>
      <c r="BN151" s="51"/>
      <c r="BO151" s="51"/>
      <c r="BP151" s="51"/>
      <c r="BQ151" s="51"/>
      <c r="BR151" s="9">
        <f t="shared" si="2"/>
        <v>1</v>
      </c>
      <c r="BS151" s="9"/>
      <c r="BT151" s="53" t="str">
        <f t="shared" si="3"/>
        <v>Northwest Africa 10404</v>
      </c>
      <c r="BU151" s="101" t="s">
        <v>230</v>
      </c>
    </row>
    <row r="152" spans="1:73" s="42" customFormat="1" ht="12.75" customHeight="1" x14ac:dyDescent="0.25">
      <c r="A152"/>
      <c r="B152" s="97">
        <f t="shared" si="4"/>
        <v>25</v>
      </c>
      <c r="C152" s="265" t="str">
        <f>HYPERLINK("https://sites.wustl.edu/meteoritesite/items/lm_nwa_10141_clan/",Q152)</f>
        <v>Northwest Africa 10141/ 10142/ 10415/ 11111</v>
      </c>
      <c r="D152" s="266"/>
      <c r="E152" s="266"/>
      <c r="F152" s="266"/>
      <c r="G152" s="98">
        <v>2014</v>
      </c>
      <c r="H152" s="267" t="s">
        <v>38</v>
      </c>
      <c r="I152" s="268"/>
      <c r="J152" s="99">
        <v>416</v>
      </c>
      <c r="K152" s="212" t="s">
        <v>39</v>
      </c>
      <c r="L152" s="213"/>
      <c r="M152" s="100">
        <v>4</v>
      </c>
      <c r="N152" s="100">
        <v>0.4</v>
      </c>
      <c r="P152" s="125">
        <f t="shared" si="0"/>
        <v>416</v>
      </c>
      <c r="Q152" s="54" t="s">
        <v>504</v>
      </c>
      <c r="R152" s="48">
        <v>4</v>
      </c>
      <c r="S152" s="49">
        <v>0.4</v>
      </c>
      <c r="T152" s="50">
        <f t="shared" si="5"/>
        <v>0</v>
      </c>
      <c r="U152" s="9"/>
      <c r="V152" s="51">
        <v>39</v>
      </c>
      <c r="W152" s="51">
        <v>102</v>
      </c>
      <c r="X152" s="51">
        <v>164</v>
      </c>
      <c r="Y152" s="51">
        <v>111</v>
      </c>
      <c r="Z152" s="51"/>
      <c r="AA152" s="51"/>
      <c r="AB152" s="51"/>
      <c r="AC152" s="51"/>
      <c r="AD152" s="51"/>
      <c r="AE152" s="51"/>
      <c r="AF152" s="51"/>
      <c r="AG152" s="51"/>
      <c r="AH152" s="51"/>
      <c r="AI152" s="51"/>
      <c r="AJ152" s="51"/>
      <c r="AK152" s="51"/>
      <c r="AL152" s="51"/>
      <c r="AM152" s="51"/>
      <c r="AN152" s="51"/>
      <c r="AO152" s="51"/>
      <c r="AP152" s="51"/>
      <c r="AQ152" s="51"/>
      <c r="AR152" s="51"/>
      <c r="AS152" s="51"/>
      <c r="AT152" s="51"/>
      <c r="AU152" s="51"/>
      <c r="AV152" s="51"/>
      <c r="AW152" s="51"/>
      <c r="AX152" s="51"/>
      <c r="AY152" s="51"/>
      <c r="AZ152" s="51"/>
      <c r="BA152" s="51"/>
      <c r="BB152" s="51"/>
      <c r="BC152" s="51"/>
      <c r="BD152" s="51"/>
      <c r="BE152" s="51"/>
      <c r="BF152" s="51"/>
      <c r="BG152" s="51"/>
      <c r="BH152" s="51"/>
      <c r="BI152" s="51"/>
      <c r="BJ152" s="51"/>
      <c r="BK152" s="51"/>
      <c r="BL152" s="51"/>
      <c r="BM152" s="51"/>
      <c r="BN152" s="51"/>
      <c r="BO152" s="51"/>
      <c r="BP152" s="51"/>
      <c r="BQ152" s="51"/>
      <c r="BR152" s="9">
        <f t="shared" si="2"/>
        <v>4</v>
      </c>
      <c r="BS152" s="9"/>
      <c r="BT152" s="53" t="str">
        <f t="shared" si="3"/>
        <v>Northwest Africa 10141/ 10142/ 10415/ 11111</v>
      </c>
      <c r="BU152" s="101" t="s">
        <v>230</v>
      </c>
    </row>
    <row r="153" spans="1:73" s="42" customFormat="1" ht="12.75" customHeight="1" x14ac:dyDescent="0.25">
      <c r="A153"/>
      <c r="B153" s="97">
        <f t="shared" si="4"/>
        <v>26</v>
      </c>
      <c r="C153" s="265" t="str">
        <f>HYPERLINK("https://sites.wustl.edu/meteoritesite/items/lm_nwa_10678/",Q153)</f>
        <v>Northwest Africa 10678/ [unnamed 131]</v>
      </c>
      <c r="D153" s="266"/>
      <c r="E153" s="266"/>
      <c r="F153" s="277"/>
      <c r="G153" s="98">
        <v>2016</v>
      </c>
      <c r="H153" s="267" t="s">
        <v>396</v>
      </c>
      <c r="I153" s="268"/>
      <c r="J153" s="103">
        <v>49.15</v>
      </c>
      <c r="K153" s="212" t="s">
        <v>39</v>
      </c>
      <c r="L153" s="213"/>
      <c r="M153" s="100">
        <v>3.8</v>
      </c>
      <c r="N153" s="100">
        <v>0.8</v>
      </c>
      <c r="P153" s="125">
        <f t="shared" si="0"/>
        <v>49.15</v>
      </c>
      <c r="Q153" s="54" t="s">
        <v>441</v>
      </c>
      <c r="R153" s="48">
        <v>3.8</v>
      </c>
      <c r="S153" s="49">
        <v>0.8</v>
      </c>
      <c r="T153" s="50">
        <f t="shared" si="5"/>
        <v>0</v>
      </c>
      <c r="U153" s="9"/>
      <c r="V153" s="51">
        <v>49.15</v>
      </c>
      <c r="W153" s="51"/>
      <c r="X153" s="51"/>
      <c r="Y153" s="51"/>
      <c r="Z153" s="51"/>
      <c r="AA153" s="51"/>
      <c r="AB153" s="51"/>
      <c r="AC153" s="51"/>
      <c r="AD153" s="51"/>
      <c r="AE153" s="51"/>
      <c r="AF153" s="51"/>
      <c r="AG153" s="51"/>
      <c r="AH153" s="51"/>
      <c r="AI153" s="51"/>
      <c r="AJ153" s="51"/>
      <c r="AK153" s="51"/>
      <c r="AL153" s="51"/>
      <c r="AM153" s="51"/>
      <c r="AN153" s="51"/>
      <c r="AO153" s="51"/>
      <c r="AP153" s="51"/>
      <c r="AQ153" s="51"/>
      <c r="AR153" s="51"/>
      <c r="AS153" s="51"/>
      <c r="AT153" s="51"/>
      <c r="AU153" s="51"/>
      <c r="AV153" s="51"/>
      <c r="AW153" s="51"/>
      <c r="AX153" s="51"/>
      <c r="AY153" s="51"/>
      <c r="AZ153" s="51"/>
      <c r="BA153" s="51"/>
      <c r="BB153" s="51"/>
      <c r="BC153" s="51"/>
      <c r="BD153" s="51"/>
      <c r="BE153" s="51"/>
      <c r="BF153" s="51"/>
      <c r="BG153" s="51"/>
      <c r="BH153" s="51"/>
      <c r="BI153" s="51"/>
      <c r="BJ153" s="51"/>
      <c r="BK153" s="51"/>
      <c r="BL153" s="51"/>
      <c r="BM153" s="51"/>
      <c r="BN153" s="51"/>
      <c r="BO153" s="51"/>
      <c r="BP153" s="51"/>
      <c r="BQ153" s="51"/>
      <c r="BR153" s="9">
        <f t="shared" si="2"/>
        <v>1</v>
      </c>
      <c r="BS153" s="9"/>
      <c r="BT153" s="53" t="str">
        <f t="shared" si="3"/>
        <v>Northwest Africa 10678/ [unnamed 131]</v>
      </c>
      <c r="BU153" s="101" t="s">
        <v>230</v>
      </c>
    </row>
    <row r="154" spans="1:73" s="42" customFormat="1" ht="12.75" customHeight="1" x14ac:dyDescent="0.25">
      <c r="A154"/>
      <c r="B154" s="97">
        <f t="shared" si="4"/>
        <v>27</v>
      </c>
      <c r="C154" s="265" t="str">
        <f>HYPERLINK("https://sites.wustl.edu/meteoritesite/items/lm_nwa_02200/",Q154)</f>
        <v>Northwest Africa 2200</v>
      </c>
      <c r="D154" s="266"/>
      <c r="E154" s="266"/>
      <c r="F154" s="266"/>
      <c r="G154" s="98">
        <v>2004</v>
      </c>
      <c r="H154" s="267" t="s">
        <v>396</v>
      </c>
      <c r="I154" s="268"/>
      <c r="J154" s="99">
        <v>552</v>
      </c>
      <c r="K154" s="212" t="s">
        <v>35</v>
      </c>
      <c r="L154" s="213"/>
      <c r="M154" s="100">
        <v>3.9</v>
      </c>
      <c r="N154" s="100">
        <v>0.4</v>
      </c>
      <c r="P154" s="125">
        <f t="shared" si="0"/>
        <v>552</v>
      </c>
      <c r="Q154" s="54" t="s">
        <v>124</v>
      </c>
      <c r="R154" s="48">
        <v>3.9</v>
      </c>
      <c r="S154" s="49">
        <v>0.4</v>
      </c>
      <c r="T154" s="50">
        <f t="shared" si="5"/>
        <v>0</v>
      </c>
      <c r="U154" s="9"/>
      <c r="V154" s="51">
        <v>552</v>
      </c>
      <c r="W154" s="51"/>
      <c r="X154" s="51"/>
      <c r="Y154" s="51"/>
      <c r="Z154" s="51"/>
      <c r="AA154" s="51"/>
      <c r="AB154" s="51"/>
      <c r="AC154" s="51"/>
      <c r="AD154" s="51"/>
      <c r="AE154" s="51"/>
      <c r="AF154" s="51"/>
      <c r="AG154" s="51"/>
      <c r="AH154" s="51"/>
      <c r="AI154" s="51"/>
      <c r="AJ154" s="51"/>
      <c r="AK154" s="51"/>
      <c r="AL154" s="51"/>
      <c r="AM154" s="51"/>
      <c r="AN154" s="51"/>
      <c r="AO154" s="51"/>
      <c r="AP154" s="51"/>
      <c r="AQ154" s="51"/>
      <c r="AR154" s="51"/>
      <c r="AS154" s="51"/>
      <c r="AT154" s="51"/>
      <c r="AU154" s="51"/>
      <c r="AV154" s="51"/>
      <c r="AW154" s="51"/>
      <c r="AX154" s="51"/>
      <c r="AY154" s="51"/>
      <c r="AZ154" s="51"/>
      <c r="BA154" s="51"/>
      <c r="BB154" s="51"/>
      <c r="BC154" s="51"/>
      <c r="BD154" s="51"/>
      <c r="BE154" s="51"/>
      <c r="BF154" s="51"/>
      <c r="BG154" s="51"/>
      <c r="BH154" s="51"/>
      <c r="BI154" s="51"/>
      <c r="BJ154" s="51"/>
      <c r="BK154" s="51"/>
      <c r="BL154" s="51"/>
      <c r="BM154" s="51"/>
      <c r="BN154" s="51"/>
      <c r="BO154" s="51"/>
      <c r="BP154" s="51"/>
      <c r="BQ154" s="51"/>
      <c r="BR154" s="9">
        <f t="shared" si="2"/>
        <v>1</v>
      </c>
      <c r="BS154" s="9"/>
      <c r="BT154" s="53" t="str">
        <f t="shared" si="3"/>
        <v>Northwest Africa 2200</v>
      </c>
      <c r="BU154" s="101" t="s">
        <v>230</v>
      </c>
    </row>
    <row r="155" spans="1:73" s="42" customFormat="1" ht="12.75" customHeight="1" x14ac:dyDescent="0.25">
      <c r="A155"/>
      <c r="B155" s="97">
        <f t="shared" si="4"/>
        <v>28</v>
      </c>
      <c r="C155" s="333" t="str">
        <f>HYPERLINK("https://sites.wustl.edu/meteoritesite/items/lm_lar_06638/",Q155)</f>
        <v>Larkman Nunatak 06638</v>
      </c>
      <c r="D155" s="333"/>
      <c r="E155" s="333"/>
      <c r="F155" s="333"/>
      <c r="G155" s="98">
        <v>2007</v>
      </c>
      <c r="H155" s="269" t="s">
        <v>41</v>
      </c>
      <c r="I155" s="269"/>
      <c r="J155" s="98">
        <v>5.2930000000000001</v>
      </c>
      <c r="K155" s="270" t="s">
        <v>42</v>
      </c>
      <c r="L155" s="271"/>
      <c r="M155" s="100">
        <v>3.9</v>
      </c>
      <c r="N155" s="100">
        <v>0.4</v>
      </c>
      <c r="P155" s="125">
        <f t="shared" si="0"/>
        <v>5.2930000000000001</v>
      </c>
      <c r="Q155" s="54" t="s">
        <v>172</v>
      </c>
      <c r="R155" s="48">
        <v>3.9</v>
      </c>
      <c r="S155" s="49">
        <v>0.4</v>
      </c>
      <c r="T155" s="50">
        <f t="shared" si="5"/>
        <v>0</v>
      </c>
      <c r="U155" s="9"/>
      <c r="V155" s="51">
        <v>5.2930000000000001</v>
      </c>
      <c r="W155" s="52"/>
      <c r="X155" s="52"/>
      <c r="Y155" s="51"/>
      <c r="Z155" s="51"/>
      <c r="AA155" s="51"/>
      <c r="AB155" s="51"/>
      <c r="AC155" s="51"/>
      <c r="AD155" s="51"/>
      <c r="AE155" s="51"/>
      <c r="AF155" s="51"/>
      <c r="AG155" s="51"/>
      <c r="AH155" s="51"/>
      <c r="AI155" s="51"/>
      <c r="AJ155" s="51"/>
      <c r="AK155" s="51"/>
      <c r="AL155" s="51"/>
      <c r="AM155" s="51"/>
      <c r="AN155" s="51"/>
      <c r="AO155" s="51"/>
      <c r="AP155" s="51"/>
      <c r="AQ155" s="51"/>
      <c r="AR155" s="51"/>
      <c r="AS155" s="51"/>
      <c r="AT155" s="51"/>
      <c r="AU155" s="51"/>
      <c r="AV155" s="51"/>
      <c r="AW155" s="51"/>
      <c r="AX155" s="51"/>
      <c r="AY155" s="51"/>
      <c r="AZ155" s="51"/>
      <c r="BA155" s="51"/>
      <c r="BB155" s="51"/>
      <c r="BC155" s="51"/>
      <c r="BD155" s="51"/>
      <c r="BE155" s="51"/>
      <c r="BF155" s="51"/>
      <c r="BG155" s="51"/>
      <c r="BH155" s="51"/>
      <c r="BI155" s="51"/>
      <c r="BJ155" s="51"/>
      <c r="BK155" s="51"/>
      <c r="BL155" s="51"/>
      <c r="BM155" s="51"/>
      <c r="BN155" s="51"/>
      <c r="BO155" s="51"/>
      <c r="BP155" s="51"/>
      <c r="BQ155" s="51"/>
      <c r="BR155" s="9">
        <f t="shared" si="2"/>
        <v>1</v>
      </c>
      <c r="BS155" s="9"/>
      <c r="BT155" s="53" t="str">
        <f t="shared" si="3"/>
        <v>Larkman Nunatak 06638</v>
      </c>
      <c r="BU155" s="101" t="s">
        <v>230</v>
      </c>
    </row>
    <row r="156" spans="1:73" s="42" customFormat="1" ht="12.75" customHeight="1" x14ac:dyDescent="0.25">
      <c r="A156"/>
      <c r="B156" s="97">
        <f t="shared" si="4"/>
        <v>29</v>
      </c>
      <c r="C156" s="265" t="str">
        <f>HYPERLINK("https://sites.wustl.edu/meteoritesite/items/lm_nwa_11077/",Q156)</f>
        <v>Northwest Africa 11077</v>
      </c>
      <c r="D156" s="266"/>
      <c r="E156" s="266"/>
      <c r="F156" s="266"/>
      <c r="G156" s="98">
        <v>2016</v>
      </c>
      <c r="H156" s="267" t="s">
        <v>396</v>
      </c>
      <c r="I156" s="268"/>
      <c r="J156" s="104">
        <v>1139.7</v>
      </c>
      <c r="K156" s="212" t="s">
        <v>39</v>
      </c>
      <c r="L156" s="213"/>
      <c r="M156" s="100">
        <v>3.9</v>
      </c>
      <c r="N156" s="100">
        <v>0.4</v>
      </c>
      <c r="P156" s="125">
        <f t="shared" si="0"/>
        <v>1139.7</v>
      </c>
      <c r="Q156" s="54" t="s">
        <v>210</v>
      </c>
      <c r="R156" s="48">
        <v>3.9</v>
      </c>
      <c r="S156" s="49">
        <v>0.4</v>
      </c>
      <c r="T156" s="50">
        <f t="shared" si="5"/>
        <v>0</v>
      </c>
      <c r="U156" s="9"/>
      <c r="V156" s="51">
        <v>1139.7</v>
      </c>
      <c r="W156" s="51"/>
      <c r="X156" s="51"/>
      <c r="Y156" s="51"/>
      <c r="Z156" s="51"/>
      <c r="AA156" s="51"/>
      <c r="AB156" s="51"/>
      <c r="AC156" s="51"/>
      <c r="AD156" s="51"/>
      <c r="AE156" s="51"/>
      <c r="AF156" s="51"/>
      <c r="AG156" s="51"/>
      <c r="AH156" s="51"/>
      <c r="AI156" s="51"/>
      <c r="AJ156" s="51"/>
      <c r="AK156" s="51"/>
      <c r="AL156" s="51"/>
      <c r="AM156" s="51"/>
      <c r="AN156" s="51"/>
      <c r="AO156" s="51"/>
      <c r="AP156" s="51"/>
      <c r="AQ156" s="51"/>
      <c r="AR156" s="51"/>
      <c r="AS156" s="51"/>
      <c r="AT156" s="51"/>
      <c r="AU156" s="51"/>
      <c r="AV156" s="51"/>
      <c r="AW156" s="51"/>
      <c r="AX156" s="51"/>
      <c r="AY156" s="51"/>
      <c r="AZ156" s="51"/>
      <c r="BA156" s="51"/>
      <c r="BB156" s="51"/>
      <c r="BC156" s="51"/>
      <c r="BD156" s="51"/>
      <c r="BE156" s="51"/>
      <c r="BF156" s="51"/>
      <c r="BG156" s="51"/>
      <c r="BH156" s="51"/>
      <c r="BI156" s="51"/>
      <c r="BJ156" s="51"/>
      <c r="BK156" s="51"/>
      <c r="BL156" s="51"/>
      <c r="BM156" s="51"/>
      <c r="BN156" s="51"/>
      <c r="BO156" s="51"/>
      <c r="BP156" s="51"/>
      <c r="BQ156" s="51"/>
      <c r="BR156" s="9">
        <f t="shared" si="2"/>
        <v>1</v>
      </c>
      <c r="BS156" s="9"/>
      <c r="BT156" s="53" t="str">
        <f t="shared" si="3"/>
        <v>Northwest Africa 11077</v>
      </c>
      <c r="BU156" s="101" t="s">
        <v>230</v>
      </c>
    </row>
    <row r="157" spans="1:73" s="42" customFormat="1" ht="12.75" customHeight="1" x14ac:dyDescent="0.25">
      <c r="A157"/>
      <c r="B157" s="97">
        <f t="shared" si="4"/>
        <v>30</v>
      </c>
      <c r="C157" s="265" t="str">
        <f>HYPERLINK("https://sites.wustl.edu/meteoritesite/items/lm_dag_262/",Q157)</f>
        <v>Dar al Gani 262/ 996/ 1042/ 1048</v>
      </c>
      <c r="D157" s="266"/>
      <c r="E157" s="266"/>
      <c r="F157" s="266"/>
      <c r="G157" s="98" t="s">
        <v>89</v>
      </c>
      <c r="H157" s="267" t="s">
        <v>188</v>
      </c>
      <c r="I157" s="268"/>
      <c r="J157" s="99">
        <v>1327.1109999999999</v>
      </c>
      <c r="K157" s="212" t="s">
        <v>50</v>
      </c>
      <c r="L157" s="213"/>
      <c r="M157" s="100">
        <v>4.3</v>
      </c>
      <c r="N157" s="100">
        <v>0.4</v>
      </c>
      <c r="P157" s="125">
        <f t="shared" si="0"/>
        <v>1327.1109999999999</v>
      </c>
      <c r="Q157" s="54" t="s">
        <v>259</v>
      </c>
      <c r="R157" s="48">
        <v>4.3</v>
      </c>
      <c r="S157" s="49">
        <v>0.4</v>
      </c>
      <c r="T157" s="50">
        <f t="shared" si="5"/>
        <v>0</v>
      </c>
      <c r="U157" s="9"/>
      <c r="V157" s="51">
        <v>513</v>
      </c>
      <c r="W157" s="51">
        <v>12.31</v>
      </c>
      <c r="X157" s="51">
        <v>801</v>
      </c>
      <c r="Y157" s="51">
        <v>0.80100000000000005</v>
      </c>
      <c r="Z157" s="51"/>
      <c r="AA157" s="51"/>
      <c r="AB157" s="51"/>
      <c r="AC157" s="51"/>
      <c r="AD157" s="51"/>
      <c r="AE157" s="51"/>
      <c r="AF157" s="51"/>
      <c r="AG157" s="51"/>
      <c r="AH157" s="51"/>
      <c r="AI157" s="51"/>
      <c r="AJ157" s="51"/>
      <c r="AK157" s="51"/>
      <c r="AL157" s="51"/>
      <c r="AM157" s="51"/>
      <c r="AN157" s="51"/>
      <c r="AO157" s="51"/>
      <c r="AP157" s="51"/>
      <c r="AQ157" s="51"/>
      <c r="AR157" s="51"/>
      <c r="AS157" s="51"/>
      <c r="AT157" s="51"/>
      <c r="AU157" s="51"/>
      <c r="AV157" s="51"/>
      <c r="AW157" s="51"/>
      <c r="AX157" s="51"/>
      <c r="AY157" s="51"/>
      <c r="AZ157" s="51"/>
      <c r="BA157" s="51"/>
      <c r="BB157" s="51"/>
      <c r="BC157" s="51"/>
      <c r="BD157" s="51"/>
      <c r="BE157" s="51"/>
      <c r="BF157" s="51"/>
      <c r="BG157" s="51"/>
      <c r="BH157" s="51"/>
      <c r="BI157" s="51"/>
      <c r="BJ157" s="51"/>
      <c r="BK157" s="51"/>
      <c r="BL157" s="51"/>
      <c r="BM157" s="51"/>
      <c r="BN157" s="51"/>
      <c r="BO157" s="51"/>
      <c r="BP157" s="51"/>
      <c r="BQ157" s="51"/>
      <c r="BR157" s="9">
        <f t="shared" si="2"/>
        <v>4</v>
      </c>
      <c r="BS157" s="9"/>
      <c r="BT157" s="53" t="str">
        <f t="shared" si="3"/>
        <v>Dar al Gani 262/ 996/ 1042/ 1048</v>
      </c>
      <c r="BU157" s="101" t="s">
        <v>230</v>
      </c>
    </row>
    <row r="158" spans="1:73" s="42" customFormat="1" ht="12.75" customHeight="1" x14ac:dyDescent="0.25">
      <c r="A158"/>
      <c r="B158" s="97">
        <f t="shared" si="4"/>
        <v>31</v>
      </c>
      <c r="C158" s="265" t="str">
        <f>HYPERLINK("https://sites.wustl.edu/meteoritesite/items/lm_nwa_00482/",Q158)</f>
        <v>Northwest Africa 482</v>
      </c>
      <c r="D158" s="266"/>
      <c r="E158" s="266"/>
      <c r="F158" s="266"/>
      <c r="G158" s="98">
        <v>2001</v>
      </c>
      <c r="H158" s="267" t="s">
        <v>616</v>
      </c>
      <c r="I158" s="268"/>
      <c r="J158" s="99">
        <v>1015</v>
      </c>
      <c r="K158" s="212" t="s">
        <v>48</v>
      </c>
      <c r="L158" s="213"/>
      <c r="M158" s="100">
        <v>3.8</v>
      </c>
      <c r="N158" s="100">
        <v>0.4</v>
      </c>
      <c r="P158" s="125">
        <f t="shared" si="0"/>
        <v>1015</v>
      </c>
      <c r="Q158" s="54" t="s">
        <v>125</v>
      </c>
      <c r="R158" s="48">
        <v>3.8</v>
      </c>
      <c r="S158" s="49">
        <v>0.2</v>
      </c>
      <c r="T158" s="50">
        <f t="shared" si="5"/>
        <v>0</v>
      </c>
      <c r="U158" s="9"/>
      <c r="V158" s="51">
        <v>1015</v>
      </c>
      <c r="W158" s="51"/>
      <c r="X158" s="51"/>
      <c r="Y158" s="51"/>
      <c r="Z158" s="51"/>
      <c r="AA158" s="51"/>
      <c r="AB158" s="51"/>
      <c r="AC158" s="51"/>
      <c r="AD158" s="51"/>
      <c r="AE158" s="51"/>
      <c r="AF158" s="51"/>
      <c r="AG158" s="51"/>
      <c r="AH158" s="51"/>
      <c r="AI158" s="51"/>
      <c r="AJ158" s="51"/>
      <c r="AK158" s="51"/>
      <c r="AL158" s="51"/>
      <c r="AM158" s="51"/>
      <c r="AN158" s="51"/>
      <c r="AO158" s="51"/>
      <c r="AP158" s="51"/>
      <c r="AQ158" s="51"/>
      <c r="AR158" s="51"/>
      <c r="AS158" s="51"/>
      <c r="AT158" s="51"/>
      <c r="AU158" s="51"/>
      <c r="AV158" s="51"/>
      <c r="AW158" s="51"/>
      <c r="AX158" s="51"/>
      <c r="AY158" s="51"/>
      <c r="AZ158" s="51"/>
      <c r="BA158" s="51"/>
      <c r="BB158" s="51"/>
      <c r="BC158" s="51"/>
      <c r="BD158" s="51"/>
      <c r="BE158" s="51"/>
      <c r="BF158" s="51"/>
      <c r="BG158" s="51"/>
      <c r="BH158" s="51"/>
      <c r="BI158" s="51"/>
      <c r="BJ158" s="51"/>
      <c r="BK158" s="51"/>
      <c r="BL158" s="51"/>
      <c r="BM158" s="51"/>
      <c r="BN158" s="51"/>
      <c r="BO158" s="51"/>
      <c r="BP158" s="51"/>
      <c r="BQ158" s="51"/>
      <c r="BR158" s="9">
        <f t="shared" si="2"/>
        <v>1</v>
      </c>
      <c r="BS158" s="9"/>
      <c r="BT158" s="53" t="str">
        <f t="shared" si="3"/>
        <v>Northwest Africa 482</v>
      </c>
      <c r="BU158" s="101" t="s">
        <v>230</v>
      </c>
    </row>
    <row r="159" spans="1:73" s="42" customFormat="1" ht="12.75" customHeight="1" x14ac:dyDescent="0.25">
      <c r="A159"/>
      <c r="B159" s="97">
        <f t="shared" si="4"/>
        <v>32</v>
      </c>
      <c r="C159" s="265" t="str">
        <f>HYPERLINK("https://sites.wustl.edu/meteoritesite/items/lm_dho_1428/",Q159)</f>
        <v>Dhofar 1428</v>
      </c>
      <c r="D159" s="266"/>
      <c r="E159" s="266"/>
      <c r="F159" s="266"/>
      <c r="G159" s="98">
        <v>2006</v>
      </c>
      <c r="H159" s="269" t="s">
        <v>41</v>
      </c>
      <c r="I159" s="269"/>
      <c r="J159" s="99">
        <v>213</v>
      </c>
      <c r="K159" s="272" t="s">
        <v>37</v>
      </c>
      <c r="L159" s="273"/>
      <c r="M159" s="100">
        <v>4.2</v>
      </c>
      <c r="N159" s="100">
        <v>0.4</v>
      </c>
      <c r="P159" s="125">
        <f t="shared" si="0"/>
        <v>213</v>
      </c>
      <c r="Q159" s="54" t="s">
        <v>148</v>
      </c>
      <c r="R159" s="48">
        <v>4.2</v>
      </c>
      <c r="S159" s="49">
        <v>0.4</v>
      </c>
      <c r="T159" s="50">
        <f t="shared" si="5"/>
        <v>0</v>
      </c>
      <c r="U159" s="9"/>
      <c r="V159" s="51">
        <v>213</v>
      </c>
      <c r="W159" s="51"/>
      <c r="X159" s="51"/>
      <c r="Y159" s="51"/>
      <c r="Z159" s="51"/>
      <c r="AA159" s="51"/>
      <c r="AB159" s="51"/>
      <c r="AC159" s="51"/>
      <c r="AD159" s="51"/>
      <c r="AE159" s="51"/>
      <c r="AF159" s="51"/>
      <c r="AG159" s="51"/>
      <c r="AH159" s="51"/>
      <c r="AI159" s="51"/>
      <c r="AJ159" s="51"/>
      <c r="AK159" s="51"/>
      <c r="AL159" s="51"/>
      <c r="AM159" s="51"/>
      <c r="AN159" s="51"/>
      <c r="AO159" s="51"/>
      <c r="AP159" s="51"/>
      <c r="AQ159" s="51"/>
      <c r="AR159" s="51"/>
      <c r="AS159" s="51"/>
      <c r="AT159" s="51"/>
      <c r="AU159" s="51"/>
      <c r="AV159" s="51"/>
      <c r="AW159" s="51"/>
      <c r="AX159" s="51"/>
      <c r="AY159" s="51"/>
      <c r="AZ159" s="51"/>
      <c r="BA159" s="51"/>
      <c r="BB159" s="51"/>
      <c r="BC159" s="51"/>
      <c r="BD159" s="51"/>
      <c r="BE159" s="51"/>
      <c r="BF159" s="51"/>
      <c r="BG159" s="51"/>
      <c r="BH159" s="51"/>
      <c r="BI159" s="51"/>
      <c r="BJ159" s="51"/>
      <c r="BK159" s="51"/>
      <c r="BL159" s="51"/>
      <c r="BM159" s="51"/>
      <c r="BN159" s="51"/>
      <c r="BO159" s="51"/>
      <c r="BP159" s="51"/>
      <c r="BQ159" s="51"/>
      <c r="BR159" s="9">
        <f t="shared" si="2"/>
        <v>1</v>
      </c>
      <c r="BS159" s="9"/>
      <c r="BT159" s="53" t="str">
        <f t="shared" si="3"/>
        <v>Dhofar 1428</v>
      </c>
      <c r="BU159" s="101" t="s">
        <v>230</v>
      </c>
    </row>
    <row r="160" spans="1:73" s="42" customFormat="1" ht="12.75" customHeight="1" x14ac:dyDescent="0.25">
      <c r="A160"/>
      <c r="B160" s="97">
        <f t="shared" si="4"/>
        <v>33</v>
      </c>
      <c r="C160" s="265" t="str">
        <f>HYPERLINK("https://sites.wustl.edu/meteoritesite/items/lm_nwa_07493/",Q160)</f>
        <v>Northwest Africa 7493</v>
      </c>
      <c r="D160" s="266"/>
      <c r="E160" s="266"/>
      <c r="F160" s="266"/>
      <c r="G160" s="98">
        <v>2011</v>
      </c>
      <c r="H160" s="267" t="s">
        <v>38</v>
      </c>
      <c r="I160" s="268"/>
      <c r="J160" s="99">
        <v>503</v>
      </c>
      <c r="K160" s="212" t="s">
        <v>35</v>
      </c>
      <c r="L160" s="213"/>
      <c r="M160" s="100">
        <v>4.4000000000000004</v>
      </c>
      <c r="N160" s="100">
        <v>0.3</v>
      </c>
      <c r="P160" s="125">
        <f t="shared" si="0"/>
        <v>503</v>
      </c>
      <c r="Q160" s="54" t="s">
        <v>127</v>
      </c>
      <c r="R160" s="48">
        <v>4.4000000000000004</v>
      </c>
      <c r="S160" s="49">
        <v>0.3</v>
      </c>
      <c r="T160" s="50">
        <f t="shared" si="5"/>
        <v>0</v>
      </c>
      <c r="U160" s="9"/>
      <c r="V160" s="51">
        <v>503</v>
      </c>
      <c r="W160" s="51"/>
      <c r="X160" s="51"/>
      <c r="Y160" s="51"/>
      <c r="Z160" s="51"/>
      <c r="AA160" s="51"/>
      <c r="AB160" s="51"/>
      <c r="AC160" s="51"/>
      <c r="AD160" s="51"/>
      <c r="AE160" s="51"/>
      <c r="AF160" s="51"/>
      <c r="AG160" s="51"/>
      <c r="AH160" s="51"/>
      <c r="AI160" s="51"/>
      <c r="AJ160" s="51"/>
      <c r="AK160" s="51"/>
      <c r="AL160" s="51"/>
      <c r="AM160" s="51"/>
      <c r="AN160" s="51"/>
      <c r="AO160" s="51"/>
      <c r="AP160" s="51"/>
      <c r="AQ160" s="51"/>
      <c r="AR160" s="51"/>
      <c r="AS160" s="51"/>
      <c r="AT160" s="51"/>
      <c r="AU160" s="51"/>
      <c r="AV160" s="51"/>
      <c r="AW160" s="51"/>
      <c r="AX160" s="51"/>
      <c r="AY160" s="51"/>
      <c r="AZ160" s="51"/>
      <c r="BA160" s="51"/>
      <c r="BB160" s="51"/>
      <c r="BC160" s="51"/>
      <c r="BD160" s="51"/>
      <c r="BE160" s="51"/>
      <c r="BF160" s="51"/>
      <c r="BG160" s="51"/>
      <c r="BH160" s="51"/>
      <c r="BI160" s="51"/>
      <c r="BJ160" s="51"/>
      <c r="BK160" s="51"/>
      <c r="BL160" s="51"/>
      <c r="BM160" s="51"/>
      <c r="BN160" s="51"/>
      <c r="BO160" s="51"/>
      <c r="BP160" s="51"/>
      <c r="BQ160" s="51"/>
      <c r="BR160" s="9">
        <f t="shared" si="2"/>
        <v>1</v>
      </c>
      <c r="BS160" s="9"/>
      <c r="BT160" s="53" t="str">
        <f t="shared" si="3"/>
        <v>Northwest Africa 7493</v>
      </c>
      <c r="BU160" s="101" t="s">
        <v>230</v>
      </c>
    </row>
    <row r="161" spans="1:73" s="42" customFormat="1" ht="12.75" customHeight="1" x14ac:dyDescent="0.25">
      <c r="A161"/>
      <c r="B161" s="97">
        <f t="shared" si="4"/>
        <v>34</v>
      </c>
      <c r="C161" s="265" t="str">
        <f>HYPERLINK("https://sites.wustl.edu/meteoritesite/items/lm_nwa_10073/",Q161)</f>
        <v>Northwest Africa 10073/ 15216</v>
      </c>
      <c r="D161" s="266"/>
      <c r="E161" s="266"/>
      <c r="F161" s="266"/>
      <c r="G161" s="98">
        <v>2015</v>
      </c>
      <c r="H161" s="267" t="s">
        <v>38</v>
      </c>
      <c r="I161" s="268"/>
      <c r="J161" s="99">
        <v>313</v>
      </c>
      <c r="K161" s="212" t="s">
        <v>39</v>
      </c>
      <c r="L161" s="213"/>
      <c r="M161" s="100">
        <v>3.8</v>
      </c>
      <c r="N161" s="100">
        <v>0.6</v>
      </c>
      <c r="P161" s="125">
        <f t="shared" ref="P161:P185" si="6">SUM(V161:BQ161)</f>
        <v>313</v>
      </c>
      <c r="Q161" s="54" t="s">
        <v>605</v>
      </c>
      <c r="R161" s="48">
        <v>3.8</v>
      </c>
      <c r="S161" s="49">
        <v>0.6</v>
      </c>
      <c r="T161" s="50">
        <f t="shared" si="5"/>
        <v>0</v>
      </c>
      <c r="U161" s="9"/>
      <c r="V161" s="51">
        <v>64</v>
      </c>
      <c r="W161" s="51">
        <v>249</v>
      </c>
      <c r="X161" s="51"/>
      <c r="Y161" s="51"/>
      <c r="Z161" s="51"/>
      <c r="AA161" s="51"/>
      <c r="AB161" s="51"/>
      <c r="AC161" s="51"/>
      <c r="AD161" s="51"/>
      <c r="AE161" s="51"/>
      <c r="AF161" s="51"/>
      <c r="AG161" s="51"/>
      <c r="AH161" s="51"/>
      <c r="AI161" s="51"/>
      <c r="AJ161" s="51"/>
      <c r="AK161" s="51"/>
      <c r="AL161" s="51"/>
      <c r="AM161" s="51"/>
      <c r="AN161" s="51"/>
      <c r="AO161" s="51"/>
      <c r="AP161" s="51"/>
      <c r="AQ161" s="51"/>
      <c r="AR161" s="51"/>
      <c r="AS161" s="51"/>
      <c r="AT161" s="51"/>
      <c r="AU161" s="51"/>
      <c r="AV161" s="51"/>
      <c r="AW161" s="51"/>
      <c r="AX161" s="51"/>
      <c r="AY161" s="51"/>
      <c r="AZ161" s="51"/>
      <c r="BA161" s="51"/>
      <c r="BB161" s="51"/>
      <c r="BC161" s="51"/>
      <c r="BD161" s="51"/>
      <c r="BE161" s="51"/>
      <c r="BF161" s="51"/>
      <c r="BG161" s="51"/>
      <c r="BH161" s="51"/>
      <c r="BI161" s="51"/>
      <c r="BJ161" s="51"/>
      <c r="BK161" s="51"/>
      <c r="BL161" s="51"/>
      <c r="BM161" s="51"/>
      <c r="BN161" s="51"/>
      <c r="BO161" s="51"/>
      <c r="BP161" s="51"/>
      <c r="BQ161" s="51"/>
      <c r="BR161" s="9">
        <f t="shared" si="2"/>
        <v>2</v>
      </c>
      <c r="BS161" s="9"/>
      <c r="BT161" s="53" t="str">
        <f t="shared" si="3"/>
        <v>Northwest Africa 10073/ 15216</v>
      </c>
      <c r="BU161" s="101" t="s">
        <v>230</v>
      </c>
    </row>
    <row r="162" spans="1:73" s="42" customFormat="1" ht="12.75" customHeight="1" x14ac:dyDescent="0.25">
      <c r="A162"/>
      <c r="B162" s="97">
        <f t="shared" si="4"/>
        <v>35</v>
      </c>
      <c r="C162" s="265" t="str">
        <f>HYPERLINK("https://sites.wustl.edu/meteoritesite/items/lm_nwa_06578/",Q162)</f>
        <v>Northwest Africa 6578</v>
      </c>
      <c r="D162" s="266"/>
      <c r="E162" s="266"/>
      <c r="F162" s="266"/>
      <c r="G162" s="98">
        <v>2010</v>
      </c>
      <c r="H162" s="267" t="s">
        <v>46</v>
      </c>
      <c r="I162" s="268"/>
      <c r="J162" s="99">
        <v>1638</v>
      </c>
      <c r="K162" s="212" t="s">
        <v>35</v>
      </c>
      <c r="L162" s="213"/>
      <c r="M162" s="100">
        <v>4.2</v>
      </c>
      <c r="N162" s="100">
        <v>0.4</v>
      </c>
      <c r="P162" s="125">
        <f t="shared" si="6"/>
        <v>1638</v>
      </c>
      <c r="Q162" s="54" t="s">
        <v>126</v>
      </c>
      <c r="R162" s="48">
        <v>4.2</v>
      </c>
      <c r="S162" s="49">
        <v>0.4</v>
      </c>
      <c r="T162" s="50">
        <f t="shared" si="5"/>
        <v>0</v>
      </c>
      <c r="U162" s="9"/>
      <c r="V162" s="51">
        <v>1638</v>
      </c>
      <c r="W162" s="51"/>
      <c r="X162" s="51"/>
      <c r="Y162" s="51"/>
      <c r="Z162" s="51"/>
      <c r="AA162" s="51"/>
      <c r="AB162" s="51"/>
      <c r="AC162" s="51"/>
      <c r="AD162" s="51"/>
      <c r="AE162" s="51"/>
      <c r="AF162" s="51"/>
      <c r="AG162" s="51"/>
      <c r="AH162" s="51"/>
      <c r="AI162" s="51"/>
      <c r="AJ162" s="51"/>
      <c r="AK162" s="51"/>
      <c r="AL162" s="51"/>
      <c r="AM162" s="51"/>
      <c r="AN162" s="51"/>
      <c r="AO162" s="51"/>
      <c r="AP162" s="51"/>
      <c r="AQ162" s="51"/>
      <c r="AR162" s="51"/>
      <c r="AS162" s="51"/>
      <c r="AT162" s="51"/>
      <c r="AU162" s="51"/>
      <c r="AV162" s="51"/>
      <c r="AW162" s="51"/>
      <c r="AX162" s="51"/>
      <c r="AY162" s="51"/>
      <c r="AZ162" s="51"/>
      <c r="BA162" s="51"/>
      <c r="BB162" s="51"/>
      <c r="BC162" s="51"/>
      <c r="BD162" s="51"/>
      <c r="BE162" s="51"/>
      <c r="BF162" s="51"/>
      <c r="BG162" s="51"/>
      <c r="BH162" s="51"/>
      <c r="BI162" s="51"/>
      <c r="BJ162" s="51"/>
      <c r="BK162" s="51"/>
      <c r="BL162" s="51"/>
      <c r="BM162" s="51"/>
      <c r="BN162" s="51"/>
      <c r="BO162" s="51"/>
      <c r="BP162" s="51"/>
      <c r="BQ162" s="51"/>
      <c r="BR162" s="9">
        <f t="shared" si="2"/>
        <v>1</v>
      </c>
      <c r="BS162" s="9"/>
      <c r="BT162" s="53" t="str">
        <f t="shared" si="3"/>
        <v>Northwest Africa 6578</v>
      </c>
      <c r="BU162" s="101" t="s">
        <v>230</v>
      </c>
    </row>
    <row r="163" spans="1:73" s="42" customFormat="1" ht="12.75" customHeight="1" x14ac:dyDescent="0.25">
      <c r="A163"/>
      <c r="B163" s="97">
        <f t="shared" si="4"/>
        <v>36</v>
      </c>
      <c r="C163" s="265" t="str">
        <f>HYPERLINK("https://sites.wustl.edu/meteoritesite/items/lm_mac_88104/",Q163)</f>
        <v>MacAlpine Hills 88104/ 88105</v>
      </c>
      <c r="D163" s="266"/>
      <c r="E163" s="266"/>
      <c r="F163" s="266"/>
      <c r="G163" s="98">
        <v>1989</v>
      </c>
      <c r="H163" s="269" t="s">
        <v>41</v>
      </c>
      <c r="I163" s="269"/>
      <c r="J163" s="98">
        <v>723.7</v>
      </c>
      <c r="K163" s="270" t="s">
        <v>42</v>
      </c>
      <c r="L163" s="271"/>
      <c r="M163" s="100">
        <v>4.5</v>
      </c>
      <c r="N163" s="100">
        <v>0.4</v>
      </c>
      <c r="P163" s="125">
        <f t="shared" si="6"/>
        <v>723.7</v>
      </c>
      <c r="Q163" s="54" t="s">
        <v>262</v>
      </c>
      <c r="R163" s="48">
        <v>4.5</v>
      </c>
      <c r="S163" s="49">
        <v>0.4</v>
      </c>
      <c r="T163" s="50">
        <f t="shared" si="5"/>
        <v>0</v>
      </c>
      <c r="U163" s="9"/>
      <c r="V163" s="51">
        <v>61.2</v>
      </c>
      <c r="W163" s="52">
        <v>662.5</v>
      </c>
      <c r="X163" s="52"/>
      <c r="Y163" s="51"/>
      <c r="Z163" s="51"/>
      <c r="AA163" s="51"/>
      <c r="AB163" s="51"/>
      <c r="AC163" s="51"/>
      <c r="AD163" s="51"/>
      <c r="AE163" s="51"/>
      <c r="AF163" s="51"/>
      <c r="AG163" s="51"/>
      <c r="AH163" s="51"/>
      <c r="AI163" s="51"/>
      <c r="AJ163" s="51"/>
      <c r="AK163" s="51"/>
      <c r="AL163" s="51"/>
      <c r="AM163" s="51"/>
      <c r="AN163" s="51"/>
      <c r="AO163" s="51"/>
      <c r="AP163" s="51"/>
      <c r="AQ163" s="51"/>
      <c r="AR163" s="51"/>
      <c r="AS163" s="51"/>
      <c r="AT163" s="51"/>
      <c r="AU163" s="51"/>
      <c r="AV163" s="51"/>
      <c r="AW163" s="51"/>
      <c r="AX163" s="51"/>
      <c r="AY163" s="51"/>
      <c r="AZ163" s="51"/>
      <c r="BA163" s="51"/>
      <c r="BB163" s="51"/>
      <c r="BC163" s="51"/>
      <c r="BD163" s="51"/>
      <c r="BE163" s="51"/>
      <c r="BF163" s="51"/>
      <c r="BG163" s="51"/>
      <c r="BH163" s="51"/>
      <c r="BI163" s="51"/>
      <c r="BJ163" s="51"/>
      <c r="BK163" s="51"/>
      <c r="BL163" s="51"/>
      <c r="BM163" s="51"/>
      <c r="BN163" s="51"/>
      <c r="BO163" s="51"/>
      <c r="BP163" s="51"/>
      <c r="BQ163" s="51"/>
      <c r="BR163" s="9">
        <f t="shared" si="2"/>
        <v>2</v>
      </c>
      <c r="BS163" s="9"/>
      <c r="BT163" s="53" t="str">
        <f t="shared" si="3"/>
        <v>MacAlpine Hills 88104/ 88105</v>
      </c>
      <c r="BU163" s="101" t="s">
        <v>230</v>
      </c>
    </row>
    <row r="164" spans="1:73" s="42" customFormat="1" ht="12.75" customHeight="1" x14ac:dyDescent="0.25">
      <c r="A164"/>
      <c r="B164" s="97">
        <f t="shared" si="4"/>
        <v>37</v>
      </c>
      <c r="C164" s="265" t="str">
        <f>HYPERLINK("https://sites.wustl.edu/meteoritesite/items/lm_shisr_166/",Q164)</f>
        <v>Shişr 166</v>
      </c>
      <c r="D164" s="266"/>
      <c r="E164" s="266"/>
      <c r="F164" s="266"/>
      <c r="G164" s="98">
        <v>2008</v>
      </c>
      <c r="H164" s="269" t="s">
        <v>616</v>
      </c>
      <c r="I164" s="269"/>
      <c r="J164" s="104">
        <v>128.80000000000001</v>
      </c>
      <c r="K164" s="272" t="s">
        <v>37</v>
      </c>
      <c r="L164" s="273"/>
      <c r="M164" s="100">
        <v>4.0999999999999996</v>
      </c>
      <c r="N164" s="100">
        <v>0.4</v>
      </c>
      <c r="P164" s="125">
        <f t="shared" si="6"/>
        <v>128.80000000000001</v>
      </c>
      <c r="Q164" s="54" t="s">
        <v>157</v>
      </c>
      <c r="R164" s="48">
        <v>4.0999999999999996</v>
      </c>
      <c r="S164" s="49">
        <v>0.4</v>
      </c>
      <c r="T164" s="50">
        <f t="shared" si="5"/>
        <v>0</v>
      </c>
      <c r="U164" s="9"/>
      <c r="V164" s="51">
        <v>128.80000000000001</v>
      </c>
      <c r="W164" s="51"/>
      <c r="X164" s="51"/>
      <c r="Y164" s="51"/>
      <c r="Z164" s="51"/>
      <c r="AA164" s="51"/>
      <c r="AB164" s="51"/>
      <c r="AC164" s="51"/>
      <c r="AD164" s="51"/>
      <c r="AE164" s="51"/>
      <c r="AF164" s="51"/>
      <c r="AG164" s="51"/>
      <c r="AH164" s="51"/>
      <c r="AI164" s="51"/>
      <c r="AJ164" s="51"/>
      <c r="AK164" s="51"/>
      <c r="AL164" s="51"/>
      <c r="AM164" s="51"/>
      <c r="AN164" s="51"/>
      <c r="AO164" s="51"/>
      <c r="AP164" s="51"/>
      <c r="AQ164" s="51"/>
      <c r="AR164" s="51"/>
      <c r="AS164" s="51"/>
      <c r="AT164" s="51"/>
      <c r="AU164" s="51"/>
      <c r="AV164" s="51"/>
      <c r="AW164" s="51"/>
      <c r="AX164" s="51"/>
      <c r="AY164" s="51"/>
      <c r="AZ164" s="51"/>
      <c r="BA164" s="51"/>
      <c r="BB164" s="51"/>
      <c r="BC164" s="51"/>
      <c r="BD164" s="51"/>
      <c r="BE164" s="51"/>
      <c r="BF164" s="51"/>
      <c r="BG164" s="51"/>
      <c r="BH164" s="51"/>
      <c r="BI164" s="51"/>
      <c r="BJ164" s="51"/>
      <c r="BK164" s="51"/>
      <c r="BL164" s="51"/>
      <c r="BM164" s="51"/>
      <c r="BN164" s="51"/>
      <c r="BO164" s="51"/>
      <c r="BP164" s="51"/>
      <c r="BQ164" s="51"/>
      <c r="BR164" s="9">
        <f t="shared" si="2"/>
        <v>1</v>
      </c>
      <c r="BS164" s="9"/>
      <c r="BT164" s="53" t="str">
        <f t="shared" si="3"/>
        <v>Shişr 166</v>
      </c>
      <c r="BU164" s="101" t="s">
        <v>230</v>
      </c>
    </row>
    <row r="165" spans="1:73" s="42" customFormat="1" ht="12.75" customHeight="1" x14ac:dyDescent="0.25">
      <c r="A165"/>
      <c r="B165" s="97">
        <f t="shared" si="4"/>
        <v>38</v>
      </c>
      <c r="C165" s="265" t="str">
        <f>HYPERLINK("https://sites.wustl.edu/meteoritesite/items/lm_shisr_160/",Q165)</f>
        <v>Shişr 160</v>
      </c>
      <c r="D165" s="266"/>
      <c r="E165" s="266"/>
      <c r="F165" s="266"/>
      <c r="G165" s="98">
        <v>2008</v>
      </c>
      <c r="H165" s="269" t="s">
        <v>396</v>
      </c>
      <c r="I165" s="269"/>
      <c r="J165" s="103">
        <v>100.86</v>
      </c>
      <c r="K165" s="272" t="s">
        <v>37</v>
      </c>
      <c r="L165" s="273"/>
      <c r="M165" s="100">
        <v>3.9</v>
      </c>
      <c r="N165" s="100">
        <v>0.3</v>
      </c>
      <c r="P165" s="125">
        <f t="shared" si="6"/>
        <v>100.86</v>
      </c>
      <c r="Q165" s="54" t="s">
        <v>156</v>
      </c>
      <c r="R165" s="48">
        <v>3.9</v>
      </c>
      <c r="S165" s="49">
        <v>0.3</v>
      </c>
      <c r="T165" s="50">
        <f t="shared" si="5"/>
        <v>0</v>
      </c>
      <c r="U165" s="9"/>
      <c r="V165" s="51">
        <v>100.86</v>
      </c>
      <c r="W165" s="51"/>
      <c r="X165" s="51"/>
      <c r="Y165" s="51"/>
      <c r="Z165" s="51"/>
      <c r="AA165" s="51"/>
      <c r="AB165" s="51"/>
      <c r="AC165" s="51"/>
      <c r="AD165" s="51"/>
      <c r="AE165" s="51"/>
      <c r="AF165" s="51"/>
      <c r="AG165" s="51"/>
      <c r="AH165" s="51"/>
      <c r="AI165" s="51"/>
      <c r="AJ165" s="51"/>
      <c r="AK165" s="51"/>
      <c r="AL165" s="51"/>
      <c r="AM165" s="51"/>
      <c r="AN165" s="51"/>
      <c r="AO165" s="51"/>
      <c r="AP165" s="51"/>
      <c r="AQ165" s="51"/>
      <c r="AR165" s="51"/>
      <c r="AS165" s="51"/>
      <c r="AT165" s="51"/>
      <c r="AU165" s="51"/>
      <c r="AV165" s="51"/>
      <c r="AW165" s="51"/>
      <c r="AX165" s="51"/>
      <c r="AY165" s="51"/>
      <c r="AZ165" s="51"/>
      <c r="BA165" s="51"/>
      <c r="BB165" s="51"/>
      <c r="BC165" s="51"/>
      <c r="BD165" s="51"/>
      <c r="BE165" s="51"/>
      <c r="BF165" s="51"/>
      <c r="BG165" s="51"/>
      <c r="BH165" s="51"/>
      <c r="BI165" s="51"/>
      <c r="BJ165" s="51"/>
      <c r="BK165" s="51"/>
      <c r="BL165" s="51"/>
      <c r="BM165" s="51"/>
      <c r="BN165" s="51"/>
      <c r="BO165" s="51"/>
      <c r="BP165" s="51"/>
      <c r="BQ165" s="51"/>
      <c r="BR165" s="9">
        <f t="shared" si="2"/>
        <v>1</v>
      </c>
      <c r="BS165" s="9"/>
      <c r="BT165" s="53" t="str">
        <f t="shared" si="3"/>
        <v>Shişr 160</v>
      </c>
      <c r="BU165" s="101" t="s">
        <v>230</v>
      </c>
    </row>
    <row r="166" spans="1:73" s="42" customFormat="1" ht="12.75" customHeight="1" x14ac:dyDescent="0.25">
      <c r="A166"/>
      <c r="B166" s="97">
        <f t="shared" si="4"/>
        <v>39</v>
      </c>
      <c r="C166" s="265" t="str">
        <f>HYPERLINK("https://sites.wustl.edu/meteoritesite/items/lm_que_93069/",Q166)</f>
        <v>Queen Alexandra Range 93069/ 94269</v>
      </c>
      <c r="D166" s="266"/>
      <c r="E166" s="266"/>
      <c r="F166" s="266"/>
      <c r="G166" s="98" t="s">
        <v>54</v>
      </c>
      <c r="H166" s="269" t="s">
        <v>41</v>
      </c>
      <c r="I166" s="269"/>
      <c r="J166" s="98">
        <v>24.6</v>
      </c>
      <c r="K166" s="270" t="s">
        <v>42</v>
      </c>
      <c r="L166" s="271"/>
      <c r="M166" s="100">
        <v>4.4000000000000004</v>
      </c>
      <c r="N166" s="100">
        <v>0.4</v>
      </c>
      <c r="P166" s="125">
        <f t="shared" si="6"/>
        <v>24.599999999999998</v>
      </c>
      <c r="Q166" s="54" t="s">
        <v>261</v>
      </c>
      <c r="R166" s="48">
        <v>4.4000000000000004</v>
      </c>
      <c r="S166" s="49">
        <v>0.5</v>
      </c>
      <c r="T166" s="50">
        <f t="shared" si="5"/>
        <v>0</v>
      </c>
      <c r="U166" s="9"/>
      <c r="V166" s="51">
        <v>21.4</v>
      </c>
      <c r="W166" s="52">
        <v>3.2</v>
      </c>
      <c r="X166" s="52"/>
      <c r="Y166" s="51"/>
      <c r="Z166" s="51"/>
      <c r="AA166" s="51"/>
      <c r="AB166" s="51"/>
      <c r="AC166" s="51"/>
      <c r="AD166" s="51"/>
      <c r="AE166" s="51"/>
      <c r="AF166" s="51"/>
      <c r="AG166" s="51"/>
      <c r="AH166" s="51"/>
      <c r="AI166" s="51"/>
      <c r="AJ166" s="51"/>
      <c r="AK166" s="51"/>
      <c r="AL166" s="51"/>
      <c r="AM166" s="51"/>
      <c r="AN166" s="51"/>
      <c r="AO166" s="51"/>
      <c r="AP166" s="51"/>
      <c r="AQ166" s="51"/>
      <c r="AR166" s="51"/>
      <c r="AS166" s="51"/>
      <c r="AT166" s="51"/>
      <c r="AU166" s="51"/>
      <c r="AV166" s="51"/>
      <c r="AW166" s="51"/>
      <c r="AX166" s="51"/>
      <c r="AY166" s="51"/>
      <c r="AZ166" s="51"/>
      <c r="BA166" s="51"/>
      <c r="BB166" s="51"/>
      <c r="BC166" s="51"/>
      <c r="BD166" s="51"/>
      <c r="BE166" s="51"/>
      <c r="BF166" s="51"/>
      <c r="BG166" s="51"/>
      <c r="BH166" s="51"/>
      <c r="BI166" s="51"/>
      <c r="BJ166" s="51"/>
      <c r="BK166" s="51"/>
      <c r="BL166" s="51"/>
      <c r="BM166" s="51"/>
      <c r="BN166" s="51"/>
      <c r="BO166" s="51"/>
      <c r="BP166" s="51"/>
      <c r="BQ166" s="51"/>
      <c r="BR166" s="9">
        <f t="shared" si="2"/>
        <v>2</v>
      </c>
      <c r="BS166" s="9"/>
      <c r="BT166" s="53" t="str">
        <f t="shared" si="3"/>
        <v>Queen Alexandra Range 93069/ 94269</v>
      </c>
      <c r="BU166" s="101" t="s">
        <v>230</v>
      </c>
    </row>
    <row r="167" spans="1:73" s="42" customFormat="1" ht="12.75" customHeight="1" x14ac:dyDescent="0.25">
      <c r="A167"/>
      <c r="B167" s="97">
        <f t="shared" si="4"/>
        <v>40</v>
      </c>
      <c r="C167" s="265" t="str">
        <f>HYPERLINK("https://sites.wustl.edu/meteoritesite/items/lm_dho_026_clan/",Q167)</f>
        <v>Dhofar 026/ 457/ 458/ 459/ 460/ 461/ 462/ 463/ 464/ 465/ 466/ 467/ 468/ 1669</v>
      </c>
      <c r="D167" s="266"/>
      <c r="E167" s="266"/>
      <c r="F167" s="266"/>
      <c r="G167" s="98" t="s">
        <v>53</v>
      </c>
      <c r="H167" s="269" t="s">
        <v>722</v>
      </c>
      <c r="I167" s="269"/>
      <c r="J167" s="99">
        <v>712.1</v>
      </c>
      <c r="K167" s="272" t="s">
        <v>37</v>
      </c>
      <c r="L167" s="273"/>
      <c r="M167" s="100">
        <v>4.3</v>
      </c>
      <c r="N167" s="100">
        <v>0.4</v>
      </c>
      <c r="P167" s="125">
        <f t="shared" si="6"/>
        <v>712.1</v>
      </c>
      <c r="Q167" s="54" t="s">
        <v>260</v>
      </c>
      <c r="R167" s="48">
        <v>4.3</v>
      </c>
      <c r="S167" s="49">
        <v>0.4</v>
      </c>
      <c r="T167" s="50">
        <f t="shared" si="5"/>
        <v>0</v>
      </c>
      <c r="U167" s="9"/>
      <c r="V167" s="51">
        <v>148</v>
      </c>
      <c r="W167" s="51">
        <v>99.5</v>
      </c>
      <c r="X167" s="51">
        <v>36.700000000000003</v>
      </c>
      <c r="Y167" s="51">
        <v>31.5</v>
      </c>
      <c r="Z167" s="51">
        <v>73.099999999999994</v>
      </c>
      <c r="AA167" s="51">
        <v>33.700000000000003</v>
      </c>
      <c r="AB167" s="51">
        <v>44.7</v>
      </c>
      <c r="AC167" s="51">
        <v>24.3</v>
      </c>
      <c r="AD167" s="51">
        <v>22.3</v>
      </c>
      <c r="AE167" s="51">
        <v>70.7</v>
      </c>
      <c r="AF167" s="51"/>
      <c r="AG167" s="51">
        <v>69.2</v>
      </c>
      <c r="AH167" s="51">
        <v>36.200000000000003</v>
      </c>
      <c r="AI167" s="51">
        <v>18.899999999999999</v>
      </c>
      <c r="AJ167" s="51"/>
      <c r="AK167" s="51">
        <v>3.3</v>
      </c>
      <c r="AL167" s="51"/>
      <c r="AM167" s="51"/>
      <c r="AN167" s="51"/>
      <c r="AO167" s="51"/>
      <c r="AP167" s="51"/>
      <c r="AQ167" s="51"/>
      <c r="AR167" s="51"/>
      <c r="AS167" s="51"/>
      <c r="AT167" s="51"/>
      <c r="AU167" s="51"/>
      <c r="AV167" s="51"/>
      <c r="AW167" s="51"/>
      <c r="AX167" s="51"/>
      <c r="AY167" s="51"/>
      <c r="AZ167" s="51"/>
      <c r="BA167" s="51"/>
      <c r="BB167" s="51"/>
      <c r="BC167" s="51"/>
      <c r="BD167" s="51"/>
      <c r="BE167" s="51"/>
      <c r="BF167" s="51"/>
      <c r="BG167" s="51"/>
      <c r="BH167" s="51"/>
      <c r="BI167" s="51"/>
      <c r="BJ167" s="51"/>
      <c r="BK167" s="51"/>
      <c r="BL167" s="51"/>
      <c r="BM167" s="51"/>
      <c r="BN167" s="51"/>
      <c r="BO167" s="51"/>
      <c r="BP167" s="51"/>
      <c r="BQ167" s="51"/>
      <c r="BR167" s="9">
        <f t="shared" si="2"/>
        <v>14</v>
      </c>
      <c r="BS167" s="9"/>
      <c r="BT167" s="53" t="str">
        <f t="shared" si="3"/>
        <v>Dhofar 026/ 457/ 458/ 459/ 460/ 461/ 462/ 463/ 464/ 465/ 466/ 467/ 468/ 1669</v>
      </c>
      <c r="BU167" s="101" t="s">
        <v>230</v>
      </c>
    </row>
    <row r="168" spans="1:73" s="42" customFormat="1" ht="12.75" customHeight="1" x14ac:dyDescent="0.25">
      <c r="A168"/>
      <c r="B168" s="97">
        <f t="shared" si="4"/>
        <v>41</v>
      </c>
      <c r="C168" s="265" t="str">
        <f>HYPERLINK("https://sites.wustl.edu/meteoritesite/items/lm_aau_012//",Q168)</f>
        <v>Abar al' Uj 012</v>
      </c>
      <c r="D168" s="266"/>
      <c r="E168" s="266"/>
      <c r="F168" s="266"/>
      <c r="G168" s="98">
        <v>2012</v>
      </c>
      <c r="H168" s="269" t="s">
        <v>616</v>
      </c>
      <c r="I168" s="269"/>
      <c r="J168" s="103">
        <v>122.78</v>
      </c>
      <c r="K168" s="272" t="s">
        <v>43</v>
      </c>
      <c r="L168" s="273"/>
      <c r="M168" s="100">
        <v>3.9</v>
      </c>
      <c r="N168" s="100">
        <v>0.4</v>
      </c>
      <c r="P168" s="125">
        <f t="shared" si="6"/>
        <v>122.78</v>
      </c>
      <c r="Q168" s="54" t="s">
        <v>187</v>
      </c>
      <c r="R168" s="48">
        <v>3.9</v>
      </c>
      <c r="S168" s="49">
        <v>0.4</v>
      </c>
      <c r="T168" s="50">
        <f t="shared" si="5"/>
        <v>0</v>
      </c>
      <c r="U168" s="9"/>
      <c r="V168" s="51">
        <v>122.78</v>
      </c>
      <c r="W168" s="51"/>
      <c r="X168" s="51"/>
      <c r="Y168" s="51"/>
      <c r="Z168" s="51"/>
      <c r="AA168" s="51"/>
      <c r="AB168" s="51"/>
      <c r="AC168" s="51"/>
      <c r="AD168" s="51"/>
      <c r="AE168" s="51"/>
      <c r="AF168" s="51"/>
      <c r="AG168" s="51"/>
      <c r="AH168" s="51"/>
      <c r="AI168" s="51"/>
      <c r="AJ168" s="51"/>
      <c r="AK168" s="51"/>
      <c r="AL168" s="51"/>
      <c r="AM168" s="51"/>
      <c r="AN168" s="51"/>
      <c r="AO168" s="51"/>
      <c r="AP168" s="51"/>
      <c r="AQ168" s="51"/>
      <c r="AR168" s="51"/>
      <c r="AS168" s="51"/>
      <c r="AT168" s="51"/>
      <c r="AU168" s="51"/>
      <c r="AV168" s="51"/>
      <c r="AW168" s="51"/>
      <c r="AX168" s="51"/>
      <c r="AY168" s="51"/>
      <c r="AZ168" s="51"/>
      <c r="BA168" s="51"/>
      <c r="BB168" s="51"/>
      <c r="BC168" s="51"/>
      <c r="BD168" s="51"/>
      <c r="BE168" s="51"/>
      <c r="BF168" s="51"/>
      <c r="BG168" s="51"/>
      <c r="BH168" s="51"/>
      <c r="BI168" s="51"/>
      <c r="BJ168" s="51"/>
      <c r="BK168" s="51"/>
      <c r="BL168" s="51"/>
      <c r="BM168" s="51"/>
      <c r="BN168" s="51"/>
      <c r="BO168" s="51"/>
      <c r="BP168" s="51"/>
      <c r="BQ168" s="51"/>
      <c r="BR168" s="9">
        <f t="shared" si="2"/>
        <v>1</v>
      </c>
      <c r="BS168" s="9"/>
      <c r="BT168" s="53" t="str">
        <f t="shared" si="3"/>
        <v>Abar al' Uj 012</v>
      </c>
      <c r="BU168" s="101" t="s">
        <v>230</v>
      </c>
    </row>
    <row r="169" spans="1:73" s="42" customFormat="1" ht="12.75" customHeight="1" x14ac:dyDescent="0.25">
      <c r="A169"/>
      <c r="B169" s="97">
        <f t="shared" si="4"/>
        <v>42</v>
      </c>
      <c r="C169" s="265" t="str">
        <f>HYPERLINK("https://sites.wustl.edu/meteoritesite/items/lm_nwa_8586/",Q169)</f>
        <v>Northwest Africa 8586</v>
      </c>
      <c r="D169" s="266"/>
      <c r="E169" s="266"/>
      <c r="F169" s="266"/>
      <c r="G169" s="98">
        <v>2014</v>
      </c>
      <c r="H169" s="267" t="s">
        <v>38</v>
      </c>
      <c r="I169" s="268"/>
      <c r="J169" s="104">
        <v>704.5</v>
      </c>
      <c r="K169" s="212" t="s">
        <v>51</v>
      </c>
      <c r="L169" s="213"/>
      <c r="M169" s="100">
        <v>4.2</v>
      </c>
      <c r="N169" s="100">
        <v>0.6</v>
      </c>
      <c r="P169" s="125">
        <f t="shared" si="6"/>
        <v>704.5</v>
      </c>
      <c r="Q169" s="54" t="s">
        <v>129</v>
      </c>
      <c r="R169" s="48">
        <v>4.2</v>
      </c>
      <c r="S169" s="49">
        <v>0.6</v>
      </c>
      <c r="T169" s="50">
        <f t="shared" si="5"/>
        <v>0</v>
      </c>
      <c r="U169" s="9"/>
      <c r="V169" s="51">
        <v>704.5</v>
      </c>
      <c r="W169" s="51"/>
      <c r="X169" s="51"/>
      <c r="Y169" s="51"/>
      <c r="Z169" s="51"/>
      <c r="AA169" s="51"/>
      <c r="AB169" s="51"/>
      <c r="AC169" s="51"/>
      <c r="AD169" s="51"/>
      <c r="AE169" s="51"/>
      <c r="AF169" s="51"/>
      <c r="AG169" s="51"/>
      <c r="AH169" s="51"/>
      <c r="AI169" s="51"/>
      <c r="AJ169" s="51"/>
      <c r="AK169" s="51"/>
      <c r="AL169" s="51"/>
      <c r="AM169" s="51"/>
      <c r="AN169" s="51"/>
      <c r="AO169" s="51"/>
      <c r="AP169" s="51"/>
      <c r="AQ169" s="51"/>
      <c r="AR169" s="51"/>
      <c r="AS169" s="51"/>
      <c r="AT169" s="51"/>
      <c r="AU169" s="51"/>
      <c r="AV169" s="51"/>
      <c r="AW169" s="51"/>
      <c r="AX169" s="51"/>
      <c r="AY169" s="51"/>
      <c r="AZ169" s="51"/>
      <c r="BA169" s="51"/>
      <c r="BB169" s="51"/>
      <c r="BC169" s="51"/>
      <c r="BD169" s="51"/>
      <c r="BE169" s="51"/>
      <c r="BF169" s="51"/>
      <c r="BG169" s="51"/>
      <c r="BH169" s="51"/>
      <c r="BI169" s="51"/>
      <c r="BJ169" s="51"/>
      <c r="BK169" s="51"/>
      <c r="BL169" s="51"/>
      <c r="BM169" s="51"/>
      <c r="BN169" s="51"/>
      <c r="BO169" s="51"/>
      <c r="BP169" s="51"/>
      <c r="BQ169" s="51"/>
      <c r="BR169" s="9">
        <f t="shared" si="2"/>
        <v>1</v>
      </c>
      <c r="BS169" s="9"/>
      <c r="BT169" s="53" t="str">
        <f t="shared" si="3"/>
        <v>Northwest Africa 8586</v>
      </c>
      <c r="BU169" s="101" t="s">
        <v>230</v>
      </c>
    </row>
    <row r="170" spans="1:73" s="42" customFormat="1" ht="12.75" customHeight="1" x14ac:dyDescent="0.25">
      <c r="A170"/>
      <c r="B170" s="97">
        <f t="shared" si="4"/>
        <v>43</v>
      </c>
      <c r="C170" s="265" t="str">
        <f>HYPERLINK("https://sites.wustl.edu/meteoritesite/items/lm_nwa_08001/",Q170)</f>
        <v>Northwest Africa 8001</v>
      </c>
      <c r="D170" s="266"/>
      <c r="E170" s="266"/>
      <c r="F170" s="266"/>
      <c r="G170" s="98">
        <v>2013</v>
      </c>
      <c r="H170" s="267" t="s">
        <v>41</v>
      </c>
      <c r="I170" s="268"/>
      <c r="J170" s="104">
        <v>23.4</v>
      </c>
      <c r="K170" s="212" t="s">
        <v>39</v>
      </c>
      <c r="L170" s="213"/>
      <c r="M170" s="100">
        <v>4.7</v>
      </c>
      <c r="N170" s="100">
        <v>1.3</v>
      </c>
      <c r="P170" s="125">
        <f t="shared" si="6"/>
        <v>23.4</v>
      </c>
      <c r="Q170" s="54" t="s">
        <v>128</v>
      </c>
      <c r="R170" s="48">
        <v>4.7</v>
      </c>
      <c r="S170" s="49">
        <v>1.3</v>
      </c>
      <c r="T170" s="50">
        <f t="shared" si="5"/>
        <v>0</v>
      </c>
      <c r="U170" s="9"/>
      <c r="V170" s="51">
        <v>23.4</v>
      </c>
      <c r="W170" s="51"/>
      <c r="X170" s="51"/>
      <c r="Y170" s="51"/>
      <c r="Z170" s="51"/>
      <c r="AA170" s="51"/>
      <c r="AB170" s="51"/>
      <c r="AC170" s="51"/>
      <c r="AD170" s="51"/>
      <c r="AE170" s="51"/>
      <c r="AF170" s="51"/>
      <c r="AG170" s="51"/>
      <c r="AH170" s="51"/>
      <c r="AI170" s="51"/>
      <c r="AJ170" s="51"/>
      <c r="AK170" s="51"/>
      <c r="AL170" s="51"/>
      <c r="AM170" s="51"/>
      <c r="AN170" s="51"/>
      <c r="AO170" s="51"/>
      <c r="AP170" s="51"/>
      <c r="AQ170" s="51"/>
      <c r="AR170" s="51"/>
      <c r="AS170" s="51"/>
      <c r="AT170" s="51"/>
      <c r="AU170" s="51"/>
      <c r="AV170" s="51"/>
      <c r="AW170" s="51"/>
      <c r="AX170" s="51"/>
      <c r="AY170" s="51"/>
      <c r="AZ170" s="51"/>
      <c r="BA170" s="51"/>
      <c r="BB170" s="51"/>
      <c r="BC170" s="51"/>
      <c r="BD170" s="51"/>
      <c r="BE170" s="51"/>
      <c r="BF170" s="51"/>
      <c r="BG170" s="51"/>
      <c r="BH170" s="51"/>
      <c r="BI170" s="51"/>
      <c r="BJ170" s="51"/>
      <c r="BK170" s="51"/>
      <c r="BL170" s="51"/>
      <c r="BM170" s="51"/>
      <c r="BN170" s="51"/>
      <c r="BO170" s="51"/>
      <c r="BP170" s="51"/>
      <c r="BQ170" s="51"/>
      <c r="BR170" s="9">
        <f t="shared" si="2"/>
        <v>1</v>
      </c>
      <c r="BS170" s="9"/>
      <c r="BT170" s="53" t="str">
        <f t="shared" si="3"/>
        <v>Northwest Africa 8001</v>
      </c>
      <c r="BU170" s="101" t="s">
        <v>230</v>
      </c>
    </row>
    <row r="171" spans="1:73" s="42" customFormat="1" ht="12.75" customHeight="1" x14ac:dyDescent="0.25">
      <c r="A171"/>
      <c r="B171" s="97">
        <f t="shared" si="4"/>
        <v>44</v>
      </c>
      <c r="C171" s="265" t="str">
        <f>HYPERLINK("https://sites.wustl.edu/meteoritesite/items/lm_mil_090036/",Q171)</f>
        <v>Miller Range 090036</v>
      </c>
      <c r="D171" s="266"/>
      <c r="E171" s="266"/>
      <c r="F171" s="266"/>
      <c r="G171" s="98">
        <v>2009</v>
      </c>
      <c r="H171" s="267" t="s">
        <v>38</v>
      </c>
      <c r="I171" s="268"/>
      <c r="J171" s="98">
        <v>244.83</v>
      </c>
      <c r="K171" s="270" t="s">
        <v>42</v>
      </c>
      <c r="L171" s="271"/>
      <c r="M171" s="100">
        <v>5</v>
      </c>
      <c r="N171" s="100">
        <v>1.6</v>
      </c>
      <c r="P171" s="125">
        <f t="shared" si="6"/>
        <v>244.83</v>
      </c>
      <c r="Q171" s="54" t="s">
        <v>165</v>
      </c>
      <c r="R171" s="48">
        <v>5</v>
      </c>
      <c r="S171" s="49">
        <v>1.6</v>
      </c>
      <c r="T171" s="50">
        <f t="shared" si="5"/>
        <v>0</v>
      </c>
      <c r="U171" s="9"/>
      <c r="V171" s="51">
        <v>244.83</v>
      </c>
      <c r="W171" s="52"/>
      <c r="X171" s="52"/>
      <c r="Y171" s="51"/>
      <c r="Z171" s="51"/>
      <c r="AA171" s="51"/>
      <c r="AB171" s="51"/>
      <c r="AC171" s="51"/>
      <c r="AD171" s="51"/>
      <c r="AE171" s="51"/>
      <c r="AF171" s="51"/>
      <c r="AG171" s="51"/>
      <c r="AH171" s="51"/>
      <c r="AI171" s="51"/>
      <c r="AJ171" s="51"/>
      <c r="AK171" s="51"/>
      <c r="AL171" s="51"/>
      <c r="AM171" s="51"/>
      <c r="AN171" s="51"/>
      <c r="AO171" s="51"/>
      <c r="AP171" s="51"/>
      <c r="AQ171" s="51"/>
      <c r="AR171" s="51"/>
      <c r="AS171" s="51"/>
      <c r="AT171" s="51"/>
      <c r="AU171" s="51"/>
      <c r="AV171" s="51"/>
      <c r="AW171" s="51"/>
      <c r="AX171" s="51"/>
      <c r="AY171" s="51"/>
      <c r="AZ171" s="51"/>
      <c r="BA171" s="51"/>
      <c r="BB171" s="51"/>
      <c r="BC171" s="51"/>
      <c r="BD171" s="51"/>
      <c r="BE171" s="51"/>
      <c r="BF171" s="51"/>
      <c r="BG171" s="51"/>
      <c r="BH171" s="51"/>
      <c r="BI171" s="51"/>
      <c r="BJ171" s="51"/>
      <c r="BK171" s="51"/>
      <c r="BL171" s="51"/>
      <c r="BM171" s="51"/>
      <c r="BN171" s="51"/>
      <c r="BO171" s="51"/>
      <c r="BP171" s="51"/>
      <c r="BQ171" s="51"/>
      <c r="BR171" s="9">
        <f t="shared" si="2"/>
        <v>1</v>
      </c>
      <c r="BS171" s="9"/>
      <c r="BT171" s="53" t="str">
        <f t="shared" si="3"/>
        <v>Miller Range 090036</v>
      </c>
      <c r="BU171" s="101" t="s">
        <v>230</v>
      </c>
    </row>
    <row r="172" spans="1:73" s="42" customFormat="1" ht="12.75" customHeight="1" x14ac:dyDescent="0.25">
      <c r="A172"/>
      <c r="B172" s="97">
        <f>B171+1</f>
        <v>45</v>
      </c>
      <c r="C172" s="265" t="str">
        <f>HYPERLINK("https://sites.wustl.edu/meteoritesite/items/lm_nwa_11223/",Q172)</f>
        <v>Northwest Africa 11223/ 11809</v>
      </c>
      <c r="D172" s="266"/>
      <c r="E172" s="266"/>
      <c r="F172" s="266"/>
      <c r="G172" s="98" t="s">
        <v>443</v>
      </c>
      <c r="H172" s="267" t="s">
        <v>616</v>
      </c>
      <c r="I172" s="268"/>
      <c r="J172" s="99">
        <v>95</v>
      </c>
      <c r="K172" s="212" t="s">
        <v>39</v>
      </c>
      <c r="L172" s="213"/>
      <c r="M172" s="100">
        <v>4.0999999999999996</v>
      </c>
      <c r="N172" s="102">
        <v>0.15</v>
      </c>
      <c r="P172" s="125">
        <f t="shared" si="6"/>
        <v>95</v>
      </c>
      <c r="Q172" s="54" t="s">
        <v>442</v>
      </c>
      <c r="R172" s="48">
        <v>4.0999999999999996</v>
      </c>
      <c r="S172" s="49">
        <v>0.15</v>
      </c>
      <c r="T172" s="50">
        <f t="shared" si="5"/>
        <v>0</v>
      </c>
      <c r="U172" s="9"/>
      <c r="V172" s="51">
        <v>28</v>
      </c>
      <c r="W172" s="51">
        <v>67</v>
      </c>
      <c r="X172" s="51"/>
      <c r="Y172" s="51"/>
      <c r="Z172" s="51"/>
      <c r="AA172" s="51"/>
      <c r="AB172" s="51"/>
      <c r="AC172" s="51"/>
      <c r="AD172" s="51"/>
      <c r="AE172" s="51"/>
      <c r="AF172" s="51"/>
      <c r="AG172" s="51"/>
      <c r="AH172" s="51"/>
      <c r="AI172" s="51"/>
      <c r="AJ172" s="51"/>
      <c r="AK172" s="51"/>
      <c r="AL172" s="51"/>
      <c r="AM172" s="51"/>
      <c r="AN172" s="51"/>
      <c r="AO172" s="51"/>
      <c r="AP172" s="51"/>
      <c r="AQ172" s="51"/>
      <c r="AR172" s="51"/>
      <c r="AS172" s="51"/>
      <c r="AT172" s="51"/>
      <c r="AU172" s="51"/>
      <c r="AV172" s="51"/>
      <c r="AW172" s="51"/>
      <c r="AX172" s="51"/>
      <c r="AY172" s="51"/>
      <c r="AZ172" s="51"/>
      <c r="BA172" s="51"/>
      <c r="BB172" s="51"/>
      <c r="BC172" s="51"/>
      <c r="BD172" s="51"/>
      <c r="BE172" s="51"/>
      <c r="BF172" s="51"/>
      <c r="BG172" s="51"/>
      <c r="BH172" s="51"/>
      <c r="BI172" s="51"/>
      <c r="BJ172" s="51"/>
      <c r="BK172" s="51"/>
      <c r="BL172" s="51"/>
      <c r="BM172" s="51"/>
      <c r="BN172" s="51"/>
      <c r="BO172" s="51"/>
      <c r="BP172" s="51"/>
      <c r="BQ172" s="51"/>
      <c r="BR172" s="9">
        <f t="shared" si="2"/>
        <v>2</v>
      </c>
      <c r="BS172" s="9"/>
      <c r="BT172" s="53" t="str">
        <f t="shared" si="3"/>
        <v>Northwest Africa 11223/ 11809</v>
      </c>
      <c r="BU172" s="101" t="s">
        <v>230</v>
      </c>
    </row>
    <row r="173" spans="1:73" s="42" customFormat="1" ht="12.75" customHeight="1" x14ac:dyDescent="0.25">
      <c r="A173"/>
      <c r="B173" s="97">
        <f t="shared" si="4"/>
        <v>46</v>
      </c>
      <c r="C173" s="265" t="str">
        <f>HYPERLINK("https://sites.wustl.edu/meteoritesite/items/lm_nwa_11352/",Q173)</f>
        <v>Northwest Africa 11352</v>
      </c>
      <c r="D173" s="266"/>
      <c r="E173" s="266"/>
      <c r="F173" s="266"/>
      <c r="G173" s="98">
        <v>2017</v>
      </c>
      <c r="H173" s="267" t="s">
        <v>38</v>
      </c>
      <c r="I173" s="268"/>
      <c r="J173" s="104">
        <v>74.5</v>
      </c>
      <c r="K173" s="212" t="s">
        <v>35</v>
      </c>
      <c r="L173" s="213"/>
      <c r="M173" s="100">
        <v>4.2</v>
      </c>
      <c r="N173" s="100">
        <v>0.4</v>
      </c>
      <c r="P173" s="125">
        <f t="shared" si="6"/>
        <v>74.5</v>
      </c>
      <c r="Q173" s="54" t="s">
        <v>225</v>
      </c>
      <c r="R173" s="48">
        <v>4.2</v>
      </c>
      <c r="S173" s="49">
        <v>0.4</v>
      </c>
      <c r="T173" s="50">
        <f t="shared" si="5"/>
        <v>0</v>
      </c>
      <c r="U173" s="9"/>
      <c r="V173" s="51">
        <v>74.5</v>
      </c>
      <c r="W173" s="107" t="s">
        <v>317</v>
      </c>
      <c r="X173" s="107" t="s">
        <v>292</v>
      </c>
      <c r="Y173" s="107" t="s">
        <v>293</v>
      </c>
      <c r="Z173" s="107" t="s">
        <v>294</v>
      </c>
      <c r="AA173" s="107" t="s">
        <v>295</v>
      </c>
      <c r="AB173" s="107" t="s">
        <v>296</v>
      </c>
      <c r="AC173" s="107" t="s">
        <v>297</v>
      </c>
      <c r="AD173" s="107" t="s">
        <v>298</v>
      </c>
      <c r="AE173" s="107" t="s">
        <v>299</v>
      </c>
      <c r="AF173" s="51"/>
      <c r="AG173" s="107" t="s">
        <v>300</v>
      </c>
      <c r="AH173" s="107" t="s">
        <v>301</v>
      </c>
      <c r="AI173" s="107" t="s">
        <v>302</v>
      </c>
      <c r="AJ173" s="107" t="s">
        <v>303</v>
      </c>
      <c r="AK173" s="107" t="s">
        <v>304</v>
      </c>
      <c r="AL173" s="107" t="s">
        <v>305</v>
      </c>
      <c r="AM173" s="107" t="s">
        <v>306</v>
      </c>
      <c r="AN173" s="107" t="s">
        <v>307</v>
      </c>
      <c r="AO173" s="107" t="s">
        <v>308</v>
      </c>
      <c r="AP173" s="107" t="s">
        <v>309</v>
      </c>
      <c r="AQ173" s="107" t="s">
        <v>310</v>
      </c>
      <c r="AR173" s="107" t="s">
        <v>311</v>
      </c>
      <c r="AS173" s="107" t="s">
        <v>312</v>
      </c>
      <c r="AT173" s="107" t="s">
        <v>313</v>
      </c>
      <c r="AU173" s="107" t="s">
        <v>314</v>
      </c>
      <c r="AV173" s="107" t="s">
        <v>315</v>
      </c>
      <c r="AW173" s="107" t="s">
        <v>316</v>
      </c>
      <c r="AX173" s="107" t="s">
        <v>318</v>
      </c>
      <c r="AY173" s="107" t="s">
        <v>331</v>
      </c>
      <c r="AZ173" s="107" t="s">
        <v>332</v>
      </c>
      <c r="BA173" s="107" t="s">
        <v>333</v>
      </c>
      <c r="BB173" s="107" t="s">
        <v>334</v>
      </c>
      <c r="BC173" s="107" t="s">
        <v>377</v>
      </c>
      <c r="BD173" s="107" t="s">
        <v>353</v>
      </c>
      <c r="BE173" s="107" t="s">
        <v>357</v>
      </c>
      <c r="BF173" s="51"/>
      <c r="BG173" s="107" t="s">
        <v>364</v>
      </c>
      <c r="BH173" s="107" t="s">
        <v>390</v>
      </c>
      <c r="BI173" s="107" t="s">
        <v>401</v>
      </c>
      <c r="BJ173" s="107" t="s">
        <v>394</v>
      </c>
      <c r="BK173" s="107" t="s">
        <v>465</v>
      </c>
      <c r="BL173" s="107" t="s">
        <v>432</v>
      </c>
      <c r="BM173" s="107" t="s">
        <v>466</v>
      </c>
      <c r="BN173" s="107" t="s">
        <v>525</v>
      </c>
      <c r="BO173" s="107"/>
      <c r="BP173" s="107"/>
      <c r="BQ173" s="107"/>
      <c r="BR173" s="9">
        <f t="shared" si="2"/>
        <v>1</v>
      </c>
      <c r="BS173" s="9"/>
      <c r="BT173" s="53" t="str">
        <f t="shared" si="3"/>
        <v>Northwest Africa 11352</v>
      </c>
      <c r="BU173" s="101" t="s">
        <v>230</v>
      </c>
    </row>
    <row r="174" spans="1:73" s="42" customFormat="1" ht="12.75" customHeight="1" x14ac:dyDescent="0.25">
      <c r="A174"/>
      <c r="B174" s="97">
        <f t="shared" si="4"/>
        <v>47</v>
      </c>
      <c r="C174" s="265" t="str">
        <f>HYPERLINK("https://sites.wustl.edu/meteoritesite/items/lm_nwa_08046_clan/",Q174)</f>
        <v>Northwest Africa 8046/ 10309/ 10461/ 10609/ 10643/ 10649/ 10756/ 10822/ 10901/ 11029/ 11266/ 11269/ 11273/ 11303/ 11379/ 11428/ 11460/ 11479/ 11515/ 12691/ 12760/</v>
      </c>
      <c r="D174" s="266"/>
      <c r="E174" s="266"/>
      <c r="F174" s="266"/>
      <c r="G174" s="98" t="s">
        <v>400</v>
      </c>
      <c r="H174" s="267" t="s">
        <v>186</v>
      </c>
      <c r="I174" s="268"/>
      <c r="J174" s="105">
        <v>191262.22999999998</v>
      </c>
      <c r="K174" s="212" t="s">
        <v>39</v>
      </c>
      <c r="L174" s="213"/>
      <c r="M174" s="100">
        <v>4.5999999999999996</v>
      </c>
      <c r="N174" s="100">
        <v>0.2</v>
      </c>
      <c r="P174" s="130">
        <f t="shared" si="6"/>
        <v>191262.22999999998</v>
      </c>
      <c r="Q174" s="54" t="s">
        <v>418</v>
      </c>
      <c r="R174" s="48">
        <v>4.5999999999999996</v>
      </c>
      <c r="S174" s="49">
        <v>0.2</v>
      </c>
      <c r="T174" s="50">
        <f t="shared" si="5"/>
        <v>0</v>
      </c>
      <c r="U174" s="9"/>
      <c r="V174" s="51">
        <v>47.3</v>
      </c>
      <c r="W174" s="108"/>
      <c r="X174" s="51">
        <v>16518</v>
      </c>
      <c r="Y174" s="51">
        <v>285.75</v>
      </c>
      <c r="Z174" s="51">
        <v>43.02</v>
      </c>
      <c r="AA174" s="51">
        <v>43.56</v>
      </c>
      <c r="AB174" s="51">
        <v>41.3</v>
      </c>
      <c r="AC174" s="51">
        <v>125</v>
      </c>
      <c r="AD174" s="51">
        <v>56</v>
      </c>
      <c r="AE174" s="51">
        <v>68.040000000000006</v>
      </c>
      <c r="AF174" s="51"/>
      <c r="AG174" s="51">
        <v>75</v>
      </c>
      <c r="AH174" s="51">
        <v>1017</v>
      </c>
      <c r="AI174" s="51">
        <v>220</v>
      </c>
      <c r="AJ174" s="51">
        <v>2808</v>
      </c>
      <c r="AK174" s="51">
        <v>6000</v>
      </c>
      <c r="AL174" s="108"/>
      <c r="AM174" s="51">
        <v>150.87</v>
      </c>
      <c r="AN174" s="108"/>
      <c r="AO174" s="108"/>
      <c r="AP174" s="51">
        <v>783.39</v>
      </c>
      <c r="AQ174" s="108"/>
      <c r="AR174" s="51">
        <v>286</v>
      </c>
      <c r="AS174" s="51">
        <v>504</v>
      </c>
      <c r="AT174" s="51">
        <v>330</v>
      </c>
      <c r="AU174" s="108"/>
      <c r="AV174" s="108"/>
      <c r="AW174" s="108"/>
      <c r="AX174" s="108"/>
      <c r="AY174" s="108"/>
      <c r="AZ174" s="108"/>
      <c r="BA174" s="108"/>
      <c r="BB174" s="108"/>
      <c r="BC174" s="51"/>
      <c r="BD174" s="108"/>
      <c r="BE174" s="51">
        <v>58090</v>
      </c>
      <c r="BF174" s="51"/>
      <c r="BG174" s="108">
        <v>103770</v>
      </c>
      <c r="BH174" s="108"/>
      <c r="BI174" s="108"/>
      <c r="BJ174" s="108"/>
      <c r="BK174" s="108"/>
      <c r="BL174" s="108"/>
      <c r="BM174" s="108"/>
      <c r="BN174" s="108"/>
      <c r="BO174" s="51"/>
      <c r="BP174" s="51"/>
      <c r="BQ174" s="51"/>
      <c r="BR174" s="9"/>
      <c r="BS174" s="9"/>
      <c r="BT174" s="53" t="str">
        <f t="shared" si="3"/>
        <v>Northwest Africa 8046/ 10309/ 10461/ 10609/ 10643/ 10649/ 10756/ 10822/ 10901/ 11029/ 11266/ 11269/ 11273/ 11303/ 11379/ 11428/ 11460/ 11479/ 11515/ 12691/ 12760/</v>
      </c>
      <c r="BU174" s="101" t="s">
        <v>230</v>
      </c>
    </row>
    <row r="175" spans="1:73" s="42" customFormat="1" ht="12.75" customHeight="1" x14ac:dyDescent="0.25">
      <c r="A175"/>
      <c r="B175" s="97"/>
      <c r="C175" s="265" t="str">
        <f>HYPERLINK("https://sites.wustl.edu/meteoritesite/items/lm_nwa_08046_clan/",Q175)</f>
        <v xml:space="preserve">Northwest Africa 8046 probable pairs: 2425/ 11331/ 11407/ 11421/ 11444/ 11517/ 11532/ 11695/ 11787/ 11789, 11898, 11966, 11968, 12630, 12695, 12966, 13101, 13120, 13390, 13426, 13739, 14340 </v>
      </c>
      <c r="D175" s="266"/>
      <c r="E175" s="266"/>
      <c r="F175" s="266"/>
      <c r="G175" s="98" t="s">
        <v>431</v>
      </c>
      <c r="H175" s="267" t="s">
        <v>190</v>
      </c>
      <c r="I175" s="268"/>
      <c r="J175" s="105">
        <v>105959.38</v>
      </c>
      <c r="K175" s="212" t="s">
        <v>39</v>
      </c>
      <c r="L175" s="213"/>
      <c r="M175" s="100">
        <v>4.5999999999999996</v>
      </c>
      <c r="N175" s="100">
        <v>0.2</v>
      </c>
      <c r="P175" s="135">
        <f>SUM(V175:BQ175)-P174</f>
        <v>105959.38</v>
      </c>
      <c r="Q175" s="54" t="s">
        <v>584</v>
      </c>
      <c r="R175" s="48">
        <v>4.5999999999999996</v>
      </c>
      <c r="S175" s="49">
        <v>0.2</v>
      </c>
      <c r="T175" s="50">
        <f t="shared" si="5"/>
        <v>0</v>
      </c>
      <c r="U175" s="9"/>
      <c r="V175" s="51">
        <v>47.3</v>
      </c>
      <c r="W175" s="108">
        <v>810</v>
      </c>
      <c r="X175" s="51">
        <v>16518</v>
      </c>
      <c r="Y175" s="51">
        <v>285.75</v>
      </c>
      <c r="Z175" s="51">
        <v>43.02</v>
      </c>
      <c r="AA175" s="51">
        <v>43.56</v>
      </c>
      <c r="AB175" s="51">
        <v>41.3</v>
      </c>
      <c r="AC175" s="51">
        <v>125</v>
      </c>
      <c r="AD175" s="51">
        <v>56</v>
      </c>
      <c r="AE175" s="51">
        <v>68.040000000000006</v>
      </c>
      <c r="AF175" s="51"/>
      <c r="AG175" s="51">
        <v>75</v>
      </c>
      <c r="AH175" s="51">
        <v>1017</v>
      </c>
      <c r="AI175" s="51">
        <v>220</v>
      </c>
      <c r="AJ175" s="51">
        <v>2808</v>
      </c>
      <c r="AK175" s="51">
        <v>6000</v>
      </c>
      <c r="AL175" s="108">
        <v>318</v>
      </c>
      <c r="AM175" s="51">
        <v>150.87</v>
      </c>
      <c r="AN175" s="108">
        <v>700</v>
      </c>
      <c r="AO175" s="108">
        <v>912</v>
      </c>
      <c r="AP175" s="51">
        <v>783.39</v>
      </c>
      <c r="AQ175" s="108">
        <v>1323</v>
      </c>
      <c r="AR175" s="108">
        <v>286</v>
      </c>
      <c r="AS175" s="108">
        <v>504</v>
      </c>
      <c r="AT175" s="108">
        <v>330</v>
      </c>
      <c r="AU175" s="108">
        <v>88</v>
      </c>
      <c r="AV175" s="108">
        <v>70</v>
      </c>
      <c r="AW175" s="108">
        <v>350</v>
      </c>
      <c r="AX175" s="108">
        <v>23500</v>
      </c>
      <c r="AY175" s="108">
        <v>5492</v>
      </c>
      <c r="AZ175" s="108">
        <v>767.8</v>
      </c>
      <c r="BA175" s="108">
        <v>157.13</v>
      </c>
      <c r="BB175" s="108">
        <v>427.8</v>
      </c>
      <c r="BC175" s="51">
        <v>233</v>
      </c>
      <c r="BD175" s="51">
        <v>224</v>
      </c>
      <c r="BE175" s="108">
        <v>58090</v>
      </c>
      <c r="BF175" s="51"/>
      <c r="BG175" s="108">
        <v>103770</v>
      </c>
      <c r="BH175" s="51">
        <v>1.39</v>
      </c>
      <c r="BI175" s="51">
        <v>68796</v>
      </c>
      <c r="BJ175" s="51">
        <v>818.7</v>
      </c>
      <c r="BK175" s="51">
        <v>113</v>
      </c>
      <c r="BL175" s="51">
        <v>137.30000000000001</v>
      </c>
      <c r="BM175" s="51">
        <v>712</v>
      </c>
      <c r="BN175" s="51">
        <v>8.26</v>
      </c>
      <c r="BO175" s="51"/>
      <c r="BP175" s="51"/>
      <c r="BQ175" s="51"/>
      <c r="BR175" s="9">
        <f t="shared" si="2"/>
        <v>43</v>
      </c>
      <c r="BS175" s="9"/>
      <c r="BT175" s="53" t="str">
        <f t="shared" si="3"/>
        <v xml:space="preserve">Northwest Africa 8046 probable pairs: 2425/ 11331/ 11407/ 11421/ 11444/ 11517/ 11532/ 11695/ 11787/ 11789, 11898, 11966, 11968, 12630, 12695, 12966, 13101, 13120, 13390, 13426, 13739, 14340 </v>
      </c>
      <c r="BU175" s="101" t="s">
        <v>230</v>
      </c>
    </row>
    <row r="176" spans="1:73" s="42" customFormat="1" ht="12.75" customHeight="1" x14ac:dyDescent="0.25">
      <c r="A176"/>
      <c r="B176" s="97">
        <f>B174+1</f>
        <v>48</v>
      </c>
      <c r="C176" s="265" t="s">
        <v>585</v>
      </c>
      <c r="D176" s="266"/>
      <c r="E176" s="266"/>
      <c r="F176" s="266"/>
      <c r="G176" s="98" t="s">
        <v>452</v>
      </c>
      <c r="H176" s="109"/>
      <c r="I176" s="110"/>
      <c r="J176" s="105">
        <f>Q255</f>
        <v>20196.159999999996</v>
      </c>
      <c r="K176" s="212" t="s">
        <v>39</v>
      </c>
      <c r="L176" s="213"/>
      <c r="M176" s="100"/>
      <c r="N176" s="100"/>
      <c r="P176" s="130">
        <f t="shared" si="6"/>
        <v>0</v>
      </c>
      <c r="Q176" s="123" t="s">
        <v>574</v>
      </c>
      <c r="R176" s="48"/>
      <c r="S176" s="49"/>
      <c r="T176" s="50"/>
      <c r="U176" s="9"/>
      <c r="V176" s="51"/>
      <c r="W176" s="51"/>
      <c r="X176" s="51"/>
      <c r="Y176" s="51"/>
      <c r="Z176" s="51"/>
      <c r="AA176" s="51"/>
      <c r="AB176" s="51"/>
      <c r="AC176" s="51"/>
      <c r="AD176" s="51"/>
      <c r="AE176" s="51"/>
      <c r="AF176" s="51"/>
      <c r="AG176" s="51"/>
      <c r="AH176" s="51"/>
      <c r="AI176" s="51"/>
      <c r="AJ176" s="51"/>
      <c r="AK176" s="51"/>
      <c r="AL176" s="51"/>
      <c r="AM176" s="51"/>
      <c r="AN176" s="51"/>
      <c r="AO176" s="51"/>
      <c r="AP176" s="51"/>
      <c r="AQ176" s="51"/>
      <c r="AR176" s="51"/>
      <c r="AS176" s="51"/>
      <c r="AT176" s="51"/>
      <c r="AU176" s="51"/>
      <c r="AV176" s="51"/>
      <c r="AW176" s="51"/>
      <c r="AX176" s="51"/>
      <c r="AY176" s="51"/>
      <c r="AZ176" s="51"/>
      <c r="BA176" s="51"/>
      <c r="BB176" s="51"/>
      <c r="BC176" s="51"/>
      <c r="BD176" s="51"/>
      <c r="BE176" s="51"/>
      <c r="BF176" s="51"/>
      <c r="BG176" s="51"/>
      <c r="BH176" s="51"/>
      <c r="BI176" s="51"/>
      <c r="BJ176" s="51"/>
      <c r="BK176" s="51"/>
      <c r="BL176" s="51"/>
      <c r="BM176" s="51"/>
      <c r="BN176" s="51"/>
      <c r="BO176" s="51"/>
      <c r="BP176" s="51"/>
      <c r="BQ176" s="51"/>
      <c r="BR176" s="9">
        <f t="shared" si="2"/>
        <v>0</v>
      </c>
      <c r="BS176" s="9"/>
      <c r="BT176" s="53" t="str">
        <f t="shared" si="3"/>
        <v>with other possibles</v>
      </c>
      <c r="BU176" s="101"/>
    </row>
    <row r="177" spans="1:73" s="42" customFormat="1" ht="12.75" customHeight="1" x14ac:dyDescent="0.25">
      <c r="A177"/>
      <c r="B177" s="97">
        <f t="shared" si="4"/>
        <v>49</v>
      </c>
      <c r="C177" s="265" t="str">
        <f>HYPERLINK("https://sites.wustl.edu/meteoritesite/items/lm_nwa_06721/",Q177)</f>
        <v>Northwest Africa 6721</v>
      </c>
      <c r="D177" s="266"/>
      <c r="E177" s="266"/>
      <c r="F177" s="266"/>
      <c r="G177" s="98">
        <v>2011</v>
      </c>
      <c r="H177" s="267" t="s">
        <v>38</v>
      </c>
      <c r="I177" s="268"/>
      <c r="J177" s="99">
        <v>181</v>
      </c>
      <c r="K177" s="212" t="s">
        <v>35</v>
      </c>
      <c r="L177" s="213"/>
      <c r="M177" s="100">
        <v>5</v>
      </c>
      <c r="N177" s="100">
        <v>0.5</v>
      </c>
      <c r="P177" s="125">
        <f t="shared" si="6"/>
        <v>181</v>
      </c>
      <c r="Q177" s="54" t="s">
        <v>131</v>
      </c>
      <c r="R177" s="48">
        <v>5</v>
      </c>
      <c r="S177" s="49">
        <v>0.5</v>
      </c>
      <c r="T177" s="50">
        <f t="shared" ref="T177:T191" si="7">J177-P177</f>
        <v>0</v>
      </c>
      <c r="U177" s="9"/>
      <c r="V177" s="51">
        <v>181</v>
      </c>
      <c r="W177" s="51"/>
      <c r="X177" s="51"/>
      <c r="Y177" s="51"/>
      <c r="Z177" s="51"/>
      <c r="AA177" s="51"/>
      <c r="AB177" s="51"/>
      <c r="AC177" s="51"/>
      <c r="AD177" s="51"/>
      <c r="AE177" s="51"/>
      <c r="AF177" s="51"/>
      <c r="AG177" s="51"/>
      <c r="AH177" s="51"/>
      <c r="AI177" s="51"/>
      <c r="AJ177" s="51"/>
      <c r="AK177" s="51"/>
      <c r="AL177" s="51"/>
      <c r="AM177" s="51"/>
      <c r="AN177" s="51"/>
      <c r="AO177" s="51"/>
      <c r="AP177" s="51"/>
      <c r="AQ177" s="51"/>
      <c r="AR177" s="51"/>
      <c r="AS177" s="51"/>
      <c r="AT177" s="51"/>
      <c r="AU177" s="51"/>
      <c r="AV177" s="51"/>
      <c r="AW177" s="51"/>
      <c r="AX177" s="51"/>
      <c r="AY177" s="51"/>
      <c r="AZ177" s="51"/>
      <c r="BA177" s="51"/>
      <c r="BB177" s="51"/>
      <c r="BC177" s="51"/>
      <c r="BD177" s="51"/>
      <c r="BE177" s="51"/>
      <c r="BF177" s="51"/>
      <c r="BG177" s="51"/>
      <c r="BH177" s="51"/>
      <c r="BI177" s="51"/>
      <c r="BJ177" s="51"/>
      <c r="BK177" s="51"/>
      <c r="BL177" s="51"/>
      <c r="BM177" s="51"/>
      <c r="BN177" s="51"/>
      <c r="BO177" s="51"/>
      <c r="BP177" s="51"/>
      <c r="BQ177" s="51"/>
      <c r="BR177" s="9">
        <f t="shared" si="2"/>
        <v>1</v>
      </c>
      <c r="BS177" s="9"/>
      <c r="BT177" s="53" t="str">
        <f t="shared" si="3"/>
        <v>Northwest Africa 6721</v>
      </c>
      <c r="BU177" s="101" t="s">
        <v>230</v>
      </c>
    </row>
    <row r="178" spans="1:73" s="42" customFormat="1" ht="12.75" customHeight="1" x14ac:dyDescent="0.25">
      <c r="A178"/>
      <c r="B178" s="97">
        <f t="shared" si="4"/>
        <v>50</v>
      </c>
      <c r="C178" s="265" t="str">
        <f>HYPERLINK("https://sites.wustl.edu/meteoritesite/items/lm_rabt-sbayta_007/",Q178)</f>
        <v>Rabt Sbayta 007/ [unnamed 143]</v>
      </c>
      <c r="D178" s="266"/>
      <c r="E178" s="266"/>
      <c r="F178" s="266"/>
      <c r="G178" s="98">
        <v>2016</v>
      </c>
      <c r="H178" s="267" t="s">
        <v>38</v>
      </c>
      <c r="I178" s="268"/>
      <c r="J178" s="99">
        <v>4432</v>
      </c>
      <c r="K178" s="212" t="s">
        <v>44</v>
      </c>
      <c r="L178" s="213"/>
      <c r="M178" s="100">
        <v>4.5999999999999996</v>
      </c>
      <c r="N178" s="100">
        <v>0.6</v>
      </c>
      <c r="P178" s="125">
        <f>SUM(V178:BQ178)</f>
        <v>4432</v>
      </c>
      <c r="Q178" s="54" t="s">
        <v>287</v>
      </c>
      <c r="R178" s="48">
        <v>4.5999999999999996</v>
      </c>
      <c r="S178" s="49">
        <v>0.6</v>
      </c>
      <c r="T178" s="50">
        <f t="shared" si="7"/>
        <v>0</v>
      </c>
      <c r="U178" s="9"/>
      <c r="V178" s="51">
        <v>4432</v>
      </c>
      <c r="W178" s="51"/>
      <c r="X178" s="51"/>
      <c r="Y178" s="51"/>
      <c r="Z178" s="51"/>
      <c r="AA178" s="51"/>
      <c r="AB178" s="51"/>
      <c r="AC178" s="51"/>
      <c r="AD178" s="51"/>
      <c r="AE178" s="51"/>
      <c r="AF178" s="51"/>
      <c r="AG178" s="51"/>
      <c r="AH178" s="51"/>
      <c r="AI178" s="51"/>
      <c r="AJ178" s="51"/>
      <c r="AK178" s="51"/>
      <c r="AL178" s="51"/>
      <c r="AM178" s="51"/>
      <c r="AN178" s="51"/>
      <c r="AO178" s="51"/>
      <c r="AP178" s="51"/>
      <c r="AQ178" s="51"/>
      <c r="AR178" s="51"/>
      <c r="AS178" s="51"/>
      <c r="AT178" s="51"/>
      <c r="AU178" s="51"/>
      <c r="AV178" s="51"/>
      <c r="AW178" s="51"/>
      <c r="AX178" s="51"/>
      <c r="AY178" s="51"/>
      <c r="AZ178" s="51"/>
      <c r="BA178" s="51"/>
      <c r="BB178" s="51"/>
      <c r="BC178" s="51"/>
      <c r="BD178" s="51"/>
      <c r="BE178" s="51"/>
      <c r="BF178" s="51"/>
      <c r="BG178" s="51"/>
      <c r="BH178" s="51"/>
      <c r="BI178" s="51"/>
      <c r="BJ178" s="51"/>
      <c r="BK178" s="51"/>
      <c r="BL178" s="51"/>
      <c r="BM178" s="51"/>
      <c r="BN178" s="51"/>
      <c r="BO178" s="51"/>
      <c r="BP178" s="51"/>
      <c r="BQ178" s="51"/>
      <c r="BR178" s="9">
        <f t="shared" si="2"/>
        <v>1</v>
      </c>
      <c r="BS178" s="9"/>
      <c r="BT178" s="53" t="str">
        <f t="shared" si="3"/>
        <v>Rabt Sbayta 007/ [unnamed 143]</v>
      </c>
      <c r="BU178" s="101" t="s">
        <v>230</v>
      </c>
    </row>
    <row r="179" spans="1:73" s="42" customFormat="1" ht="12.75" customHeight="1" x14ac:dyDescent="0.25">
      <c r="A179"/>
      <c r="B179" s="97">
        <f t="shared" si="4"/>
        <v>51</v>
      </c>
      <c r="C179" s="265" t="str">
        <f>HYPERLINK("https://sites.wustl.edu/meteoritesite/items/lm_nwa_05000/",Q179)</f>
        <v>Northwest Africa 5000</v>
      </c>
      <c r="D179" s="266"/>
      <c r="E179" s="266"/>
      <c r="F179" s="266"/>
      <c r="G179" s="98">
        <v>2007</v>
      </c>
      <c r="H179" s="267" t="s">
        <v>38</v>
      </c>
      <c r="I179" s="268"/>
      <c r="J179" s="105">
        <v>11528</v>
      </c>
      <c r="K179" s="212" t="s">
        <v>39</v>
      </c>
      <c r="L179" s="213"/>
      <c r="M179" s="100">
        <v>5.7</v>
      </c>
      <c r="N179" s="100">
        <v>0.7</v>
      </c>
      <c r="P179" s="125">
        <f t="shared" si="6"/>
        <v>11528</v>
      </c>
      <c r="Q179" s="54" t="s">
        <v>224</v>
      </c>
      <c r="R179" s="48">
        <v>5.7</v>
      </c>
      <c r="S179" s="49">
        <v>0.7</v>
      </c>
      <c r="T179" s="50">
        <f t="shared" si="7"/>
        <v>0</v>
      </c>
      <c r="U179" s="9"/>
      <c r="V179" s="51">
        <v>11528</v>
      </c>
      <c r="W179" s="51"/>
      <c r="X179" s="51"/>
      <c r="Y179" s="51"/>
      <c r="Z179" s="51"/>
      <c r="AA179" s="51"/>
      <c r="AB179" s="51"/>
      <c r="AC179" s="51"/>
      <c r="AD179" s="51"/>
      <c r="AE179" s="51"/>
      <c r="AF179" s="51"/>
      <c r="AG179" s="51"/>
      <c r="AH179" s="51"/>
      <c r="AI179" s="51"/>
      <c r="AJ179" s="51"/>
      <c r="AK179" s="51"/>
      <c r="AL179" s="51"/>
      <c r="AM179" s="51"/>
      <c r="AN179" s="51"/>
      <c r="AO179" s="51"/>
      <c r="AP179" s="51"/>
      <c r="AQ179" s="51"/>
      <c r="AR179" s="51"/>
      <c r="AS179" s="51"/>
      <c r="AT179" s="51"/>
      <c r="AU179" s="51"/>
      <c r="AV179" s="51"/>
      <c r="AW179" s="51"/>
      <c r="AX179" s="51"/>
      <c r="AY179" s="51"/>
      <c r="AZ179" s="51"/>
      <c r="BA179" s="51"/>
      <c r="BB179" s="51"/>
      <c r="BC179" s="51"/>
      <c r="BD179" s="51"/>
      <c r="BE179" s="51"/>
      <c r="BF179" s="51"/>
      <c r="BG179" s="51"/>
      <c r="BH179" s="51"/>
      <c r="BI179" s="51"/>
      <c r="BJ179" s="51"/>
      <c r="BK179" s="51"/>
      <c r="BL179" s="51"/>
      <c r="BM179" s="51"/>
      <c r="BN179" s="51"/>
      <c r="BO179" s="51"/>
      <c r="BP179" s="51"/>
      <c r="BQ179" s="51"/>
      <c r="BR179" s="9">
        <f t="shared" si="2"/>
        <v>1</v>
      </c>
      <c r="BS179" s="9"/>
      <c r="BT179" s="53" t="str">
        <f t="shared" si="3"/>
        <v>Northwest Africa 5000</v>
      </c>
      <c r="BU179" s="101" t="s">
        <v>230</v>
      </c>
    </row>
    <row r="180" spans="1:73" s="42" customFormat="1" ht="12.75" customHeight="1" x14ac:dyDescent="0.25">
      <c r="A180"/>
      <c r="B180" s="97">
        <f t="shared" si="4"/>
        <v>52</v>
      </c>
      <c r="C180" s="265" t="str">
        <f>HYPERLINK("https://sites.wustl.edu/meteoritesite/items/lm_nwa_8641_clan/",Q180)</f>
        <v>Northwest Africa 8641/ 8682/ 10049/ 10077/ 10133/ [unnamed 77]</v>
      </c>
      <c r="D180" s="266"/>
      <c r="E180" s="266"/>
      <c r="F180" s="266"/>
      <c r="G180" s="98">
        <v>2014</v>
      </c>
      <c r="H180" s="269" t="s">
        <v>41</v>
      </c>
      <c r="I180" s="269"/>
      <c r="J180" s="99">
        <v>6092.47</v>
      </c>
      <c r="K180" s="212" t="s">
        <v>39</v>
      </c>
      <c r="L180" s="213"/>
      <c r="M180" s="100">
        <v>6.2</v>
      </c>
      <c r="N180" s="100">
        <v>1</v>
      </c>
      <c r="P180" s="125">
        <f t="shared" si="6"/>
        <v>6092.47</v>
      </c>
      <c r="Q180" s="54" t="s">
        <v>265</v>
      </c>
      <c r="R180" s="48">
        <v>6.2</v>
      </c>
      <c r="S180" s="49">
        <v>1</v>
      </c>
      <c r="T180" s="50">
        <f t="shared" si="7"/>
        <v>0</v>
      </c>
      <c r="U180" s="9"/>
      <c r="V180" s="51">
        <v>5895</v>
      </c>
      <c r="W180" s="51">
        <v>82</v>
      </c>
      <c r="X180" s="51">
        <v>56</v>
      </c>
      <c r="Y180" s="51">
        <v>5.27</v>
      </c>
      <c r="Z180" s="51">
        <v>54.2</v>
      </c>
      <c r="AA180" s="51"/>
      <c r="AB180" s="51"/>
      <c r="AC180" s="51"/>
      <c r="AD180" s="51"/>
      <c r="AE180" s="51"/>
      <c r="AF180" s="51"/>
      <c r="AG180" s="51"/>
      <c r="AH180" s="51"/>
      <c r="AI180" s="51"/>
      <c r="AJ180" s="51"/>
      <c r="AK180" s="51"/>
      <c r="AL180" s="51"/>
      <c r="AM180" s="51"/>
      <c r="AN180" s="51"/>
      <c r="AO180" s="51"/>
      <c r="AP180" s="51"/>
      <c r="AQ180" s="51"/>
      <c r="AR180" s="51"/>
      <c r="AS180" s="51"/>
      <c r="AT180" s="51"/>
      <c r="AU180" s="51"/>
      <c r="AV180" s="51"/>
      <c r="AW180" s="51"/>
      <c r="AX180" s="51"/>
      <c r="AY180" s="51"/>
      <c r="AZ180" s="51"/>
      <c r="BA180" s="51"/>
      <c r="BB180" s="51"/>
      <c r="BC180" s="51"/>
      <c r="BD180" s="51"/>
      <c r="BE180" s="51"/>
      <c r="BF180" s="51"/>
      <c r="BG180" s="51"/>
      <c r="BH180" s="51"/>
      <c r="BI180" s="51"/>
      <c r="BJ180" s="51"/>
      <c r="BK180" s="51"/>
      <c r="BL180" s="51"/>
      <c r="BM180" s="51"/>
      <c r="BN180" s="51"/>
      <c r="BO180" s="51"/>
      <c r="BP180" s="51"/>
      <c r="BQ180" s="51"/>
      <c r="BR180" s="9">
        <f t="shared" si="2"/>
        <v>5</v>
      </c>
      <c r="BS180" s="9"/>
      <c r="BT180" s="53" t="str">
        <f t="shared" si="3"/>
        <v>Northwest Africa 8641/ 8682/ 10049/ 10077/ 10133/ [unnamed 77]</v>
      </c>
      <c r="BU180" s="101" t="s">
        <v>230</v>
      </c>
    </row>
    <row r="181" spans="1:73" s="42" customFormat="1" ht="12.75" customHeight="1" x14ac:dyDescent="0.25">
      <c r="A181"/>
      <c r="B181" s="97">
        <f t="shared" si="4"/>
        <v>53</v>
      </c>
      <c r="C181" s="265" t="str">
        <f>HYPERLINK("https://sites.wustl.edu/meteoritesite/items/lm_yamato_82192_clan/",Q181)</f>
        <v>Yamato 82192/ 82193/ 86032</v>
      </c>
      <c r="D181" s="266"/>
      <c r="E181" s="266"/>
      <c r="F181" s="266"/>
      <c r="G181" s="98" t="s">
        <v>55</v>
      </c>
      <c r="H181" s="269" t="s">
        <v>38</v>
      </c>
      <c r="I181" s="269"/>
      <c r="J181" s="98">
        <v>712.14</v>
      </c>
      <c r="K181" s="270" t="s">
        <v>42</v>
      </c>
      <c r="L181" s="271"/>
      <c r="M181" s="100">
        <v>4.7</v>
      </c>
      <c r="N181" s="102">
        <v>0.19</v>
      </c>
      <c r="P181" s="125">
        <f t="shared" si="6"/>
        <v>712.14</v>
      </c>
      <c r="Q181" s="54" t="s">
        <v>266</v>
      </c>
      <c r="R181" s="48">
        <v>4.7</v>
      </c>
      <c r="S181" s="49">
        <v>0.19</v>
      </c>
      <c r="T181" s="50">
        <f t="shared" si="7"/>
        <v>0</v>
      </c>
      <c r="U181" s="9"/>
      <c r="V181" s="51">
        <v>36.67</v>
      </c>
      <c r="W181" s="52">
        <v>27.04</v>
      </c>
      <c r="X181" s="52">
        <v>648.42999999999995</v>
      </c>
      <c r="Y181" s="51"/>
      <c r="Z181" s="51"/>
      <c r="AA181" s="51"/>
      <c r="AB181" s="51"/>
      <c r="AC181" s="51"/>
      <c r="AD181" s="51"/>
      <c r="AE181" s="51"/>
      <c r="AF181" s="51"/>
      <c r="AG181" s="51"/>
      <c r="AH181" s="51"/>
      <c r="AI181" s="51"/>
      <c r="AJ181" s="51"/>
      <c r="AK181" s="51"/>
      <c r="AL181" s="51"/>
      <c r="AM181" s="51"/>
      <c r="AN181" s="51"/>
      <c r="AO181" s="51"/>
      <c r="AP181" s="51"/>
      <c r="AQ181" s="51"/>
      <c r="AR181" s="51"/>
      <c r="AS181" s="51"/>
      <c r="AT181" s="51"/>
      <c r="AU181" s="51"/>
      <c r="AV181" s="51"/>
      <c r="AW181" s="51"/>
      <c r="AX181" s="51"/>
      <c r="AY181" s="51"/>
      <c r="AZ181" s="51"/>
      <c r="BA181" s="51"/>
      <c r="BB181" s="51"/>
      <c r="BC181" s="51"/>
      <c r="BD181" s="51"/>
      <c r="BE181" s="51"/>
      <c r="BF181" s="51"/>
      <c r="BG181" s="51"/>
      <c r="BH181" s="51"/>
      <c r="BI181" s="51"/>
      <c r="BJ181" s="51"/>
      <c r="BK181" s="51"/>
      <c r="BL181" s="51"/>
      <c r="BM181" s="51"/>
      <c r="BN181" s="51"/>
      <c r="BO181" s="51"/>
      <c r="BP181" s="51"/>
      <c r="BQ181" s="51"/>
      <c r="BR181" s="9">
        <f t="shared" si="2"/>
        <v>3</v>
      </c>
      <c r="BS181" s="9"/>
      <c r="BT181" s="53" t="str">
        <f t="shared" si="3"/>
        <v>Yamato 82192/ 82193/ 86032</v>
      </c>
      <c r="BU181" s="101" t="s">
        <v>230</v>
      </c>
    </row>
    <row r="182" spans="1:73" s="42" customFormat="1" ht="12.75" customHeight="1" x14ac:dyDescent="0.25">
      <c r="A182"/>
      <c r="B182" s="97">
        <f t="shared" si="4"/>
        <v>54</v>
      </c>
      <c r="C182" s="265" t="str">
        <f>HYPERLINK("https://sites.wustl.edu/meteoritesite/items/lm_jah_838/",Q182)</f>
        <v>Jiddat al Harasis 838</v>
      </c>
      <c r="D182" s="266"/>
      <c r="E182" s="266"/>
      <c r="F182" s="266"/>
      <c r="G182" s="98">
        <v>2003</v>
      </c>
      <c r="H182" s="269" t="s">
        <v>41</v>
      </c>
      <c r="I182" s="269"/>
      <c r="J182" s="103">
        <v>34.36</v>
      </c>
      <c r="K182" s="272" t="s">
        <v>37</v>
      </c>
      <c r="L182" s="273"/>
      <c r="M182" s="100">
        <v>4.8</v>
      </c>
      <c r="N182" s="100">
        <v>2</v>
      </c>
      <c r="P182" s="125">
        <f t="shared" si="6"/>
        <v>34.36</v>
      </c>
      <c r="Q182" s="54" t="s">
        <v>175</v>
      </c>
      <c r="R182" s="48">
        <v>4.8</v>
      </c>
      <c r="S182" s="49">
        <v>2</v>
      </c>
      <c r="T182" s="50">
        <f t="shared" si="7"/>
        <v>0</v>
      </c>
      <c r="U182" s="9"/>
      <c r="V182" s="51">
        <v>34.36</v>
      </c>
      <c r="W182" s="51"/>
      <c r="X182" s="51"/>
      <c r="Y182" s="51"/>
      <c r="Z182" s="51"/>
      <c r="AA182" s="51"/>
      <c r="AB182" s="51"/>
      <c r="AC182" s="51"/>
      <c r="AD182" s="51"/>
      <c r="AE182" s="51"/>
      <c r="AF182" s="51"/>
      <c r="AG182" s="51"/>
      <c r="AH182" s="51"/>
      <c r="AI182" s="51"/>
      <c r="AJ182" s="51"/>
      <c r="AK182" s="51"/>
      <c r="AL182" s="51"/>
      <c r="AM182" s="51"/>
      <c r="AN182" s="51"/>
      <c r="AO182" s="51"/>
      <c r="AP182" s="51"/>
      <c r="AQ182" s="51"/>
      <c r="AR182" s="51"/>
      <c r="AS182" s="51"/>
      <c r="AT182" s="51"/>
      <c r="AU182" s="51"/>
      <c r="AV182" s="51"/>
      <c r="AW182" s="51"/>
      <c r="AX182" s="51"/>
      <c r="AY182" s="51"/>
      <c r="AZ182" s="51"/>
      <c r="BA182" s="51"/>
      <c r="BB182" s="51"/>
      <c r="BC182" s="51"/>
      <c r="BD182" s="51"/>
      <c r="BE182" s="51"/>
      <c r="BF182" s="51"/>
      <c r="BG182" s="51"/>
      <c r="BH182" s="51"/>
      <c r="BI182" s="51"/>
      <c r="BJ182" s="51"/>
      <c r="BK182" s="51"/>
      <c r="BL182" s="51"/>
      <c r="BM182" s="51"/>
      <c r="BN182" s="51"/>
      <c r="BO182" s="51"/>
      <c r="BP182" s="51"/>
      <c r="BQ182" s="51"/>
      <c r="BR182" s="9">
        <f t="shared" si="2"/>
        <v>1</v>
      </c>
      <c r="BS182" s="9"/>
      <c r="BT182" s="53" t="str">
        <f t="shared" si="3"/>
        <v>Jiddat al Harasis 838</v>
      </c>
      <c r="BU182" s="101" t="s">
        <v>230</v>
      </c>
    </row>
    <row r="183" spans="1:73" s="42" customFormat="1" ht="12.75" customHeight="1" x14ac:dyDescent="0.25">
      <c r="A183"/>
      <c r="B183" s="97">
        <f t="shared" si="4"/>
        <v>55</v>
      </c>
      <c r="C183" s="265" t="str">
        <f>HYPERLINK("https://sites.wustl.edu/meteoritesite/items/lm_nwa_07022/",Q183)</f>
        <v>Northwest Africa 7022</v>
      </c>
      <c r="D183" s="266"/>
      <c r="E183" s="266"/>
      <c r="F183" s="266"/>
      <c r="G183" s="98">
        <v>2011</v>
      </c>
      <c r="H183" s="267" t="s">
        <v>723</v>
      </c>
      <c r="I183" s="268"/>
      <c r="J183" s="99">
        <v>444</v>
      </c>
      <c r="K183" s="212" t="s">
        <v>39</v>
      </c>
      <c r="L183" s="213"/>
      <c r="M183" s="100" t="s">
        <v>114</v>
      </c>
      <c r="N183" s="102" t="s">
        <v>115</v>
      </c>
      <c r="P183" s="125">
        <f t="shared" si="6"/>
        <v>444</v>
      </c>
      <c r="Q183" s="54" t="s">
        <v>132</v>
      </c>
      <c r="R183" s="48" t="s">
        <v>114</v>
      </c>
      <c r="S183" s="49" t="s">
        <v>115</v>
      </c>
      <c r="T183" s="50">
        <f t="shared" si="7"/>
        <v>0</v>
      </c>
      <c r="U183" s="9"/>
      <c r="V183" s="51">
        <v>444</v>
      </c>
      <c r="W183" s="51"/>
      <c r="X183" s="51"/>
      <c r="Y183" s="51"/>
      <c r="Z183" s="51"/>
      <c r="AA183" s="51"/>
      <c r="AB183" s="51"/>
      <c r="AC183" s="51"/>
      <c r="AD183" s="51"/>
      <c r="AE183" s="51"/>
      <c r="AF183" s="51"/>
      <c r="AG183" s="51"/>
      <c r="AH183" s="51"/>
      <c r="AI183" s="51"/>
      <c r="AJ183" s="51"/>
      <c r="AK183" s="51"/>
      <c r="AL183" s="51"/>
      <c r="AM183" s="51"/>
      <c r="AN183" s="51"/>
      <c r="AO183" s="51"/>
      <c r="AP183" s="51"/>
      <c r="AQ183" s="51"/>
      <c r="AR183" s="51"/>
      <c r="AS183" s="51"/>
      <c r="AT183" s="51"/>
      <c r="AU183" s="51"/>
      <c r="AV183" s="51"/>
      <c r="AW183" s="51"/>
      <c r="AX183" s="51"/>
      <c r="AY183" s="51"/>
      <c r="AZ183" s="51"/>
      <c r="BA183" s="51"/>
      <c r="BB183" s="51"/>
      <c r="BC183" s="51"/>
      <c r="BD183" s="51"/>
      <c r="BE183" s="51"/>
      <c r="BF183" s="51"/>
      <c r="BG183" s="51"/>
      <c r="BH183" s="51"/>
      <c r="BI183" s="51"/>
      <c r="BJ183" s="51"/>
      <c r="BK183" s="51"/>
      <c r="BL183" s="51"/>
      <c r="BM183" s="51"/>
      <c r="BN183" s="51"/>
      <c r="BO183" s="51"/>
      <c r="BP183" s="51"/>
      <c r="BQ183" s="51"/>
      <c r="BR183" s="9">
        <f t="shared" si="2"/>
        <v>1</v>
      </c>
      <c r="BS183" s="9"/>
      <c r="BT183" s="53" t="str">
        <f t="shared" si="3"/>
        <v>Northwest Africa 7022</v>
      </c>
      <c r="BU183" s="101" t="s">
        <v>230</v>
      </c>
    </row>
    <row r="184" spans="1:73" s="42" customFormat="1" ht="12.75" customHeight="1" x14ac:dyDescent="0.25">
      <c r="A184"/>
      <c r="B184" s="97">
        <f t="shared" si="4"/>
        <v>56</v>
      </c>
      <c r="C184" s="265" t="str">
        <f>HYPERLINK("https://sites.wustl.edu/meteoritesite/items/lm_nwa_10608/",Q184)</f>
        <v>Aridal 017/ Northwest Africa 10608</v>
      </c>
      <c r="D184" s="266"/>
      <c r="E184" s="266"/>
      <c r="F184" s="266"/>
      <c r="G184" s="98">
        <v>2016</v>
      </c>
      <c r="H184" s="267" t="s">
        <v>38</v>
      </c>
      <c r="I184" s="268"/>
      <c r="J184" s="99">
        <v>2604</v>
      </c>
      <c r="K184" s="212" t="s">
        <v>39</v>
      </c>
      <c r="L184" s="213"/>
      <c r="M184" s="100">
        <v>5.3</v>
      </c>
      <c r="N184" s="100" t="s">
        <v>40</v>
      </c>
      <c r="P184" s="125">
        <f t="shared" si="6"/>
        <v>2604</v>
      </c>
      <c r="Q184" s="54" t="s">
        <v>743</v>
      </c>
      <c r="R184" s="48">
        <v>5.0999999999999996</v>
      </c>
      <c r="S184" s="49">
        <v>0.8</v>
      </c>
      <c r="T184" s="50">
        <f t="shared" si="7"/>
        <v>0</v>
      </c>
      <c r="U184" s="9"/>
      <c r="V184" s="51">
        <v>2014</v>
      </c>
      <c r="W184" s="51">
        <v>590</v>
      </c>
      <c r="X184" s="51"/>
      <c r="Y184" s="51"/>
      <c r="Z184" s="51"/>
      <c r="AA184" s="51"/>
      <c r="AB184" s="51"/>
      <c r="AC184" s="51"/>
      <c r="AD184" s="51"/>
      <c r="AE184" s="51"/>
      <c r="AF184" s="51"/>
      <c r="AG184" s="51"/>
      <c r="AH184" s="51"/>
      <c r="AI184" s="51"/>
      <c r="AJ184" s="51"/>
      <c r="AK184" s="51"/>
      <c r="AL184" s="51"/>
      <c r="AM184" s="51"/>
      <c r="AN184" s="51"/>
      <c r="AO184" s="51"/>
      <c r="AP184" s="51"/>
      <c r="AQ184" s="51"/>
      <c r="AR184" s="51"/>
      <c r="AS184" s="51"/>
      <c r="AT184" s="51"/>
      <c r="AU184" s="51"/>
      <c r="AV184" s="51"/>
      <c r="AW184" s="51"/>
      <c r="AX184" s="51"/>
      <c r="AY184" s="51"/>
      <c r="AZ184" s="51"/>
      <c r="BA184" s="51"/>
      <c r="BB184" s="51"/>
      <c r="BC184" s="51"/>
      <c r="BD184" s="51"/>
      <c r="BE184" s="51"/>
      <c r="BF184" s="51"/>
      <c r="BG184" s="51"/>
      <c r="BH184" s="51"/>
      <c r="BI184" s="51"/>
      <c r="BJ184" s="51"/>
      <c r="BK184" s="51"/>
      <c r="BL184" s="51"/>
      <c r="BM184" s="51"/>
      <c r="BN184" s="51"/>
      <c r="BO184" s="51"/>
      <c r="BP184" s="51"/>
      <c r="BQ184" s="51"/>
      <c r="BR184" s="9">
        <f t="shared" si="2"/>
        <v>2</v>
      </c>
      <c r="BS184" s="9"/>
      <c r="BT184" s="53" t="str">
        <f t="shared" si="3"/>
        <v>Aridal 017/ Northwest Africa 10608</v>
      </c>
      <c r="BU184" s="101" t="s">
        <v>230</v>
      </c>
    </row>
    <row r="185" spans="1:73" s="42" customFormat="1" ht="12.75" customHeight="1" x14ac:dyDescent="0.25">
      <c r="A185"/>
      <c r="B185" s="97">
        <f t="shared" si="4"/>
        <v>57</v>
      </c>
      <c r="C185" s="265" t="str">
        <f>HYPERLINK("https://sites.wustl.edu/meteoritesite/items/lm_nwa_04936_clan/",Q185)</f>
        <v>Northwest Africa 4936/ 5406/ 6221/ 6355/ 6470/ 6570/ 7190 /7986/ 8181</v>
      </c>
      <c r="D185" s="266"/>
      <c r="E185" s="266"/>
      <c r="F185" s="266"/>
      <c r="G185" s="98" t="s">
        <v>62</v>
      </c>
      <c r="H185" s="267" t="s">
        <v>189</v>
      </c>
      <c r="I185" s="268"/>
      <c r="J185" s="99">
        <v>1876.0800000000002</v>
      </c>
      <c r="K185" s="212" t="s">
        <v>35</v>
      </c>
      <c r="L185" s="213"/>
      <c r="M185" s="100">
        <v>6</v>
      </c>
      <c r="N185" s="100">
        <v>2</v>
      </c>
      <c r="P185" s="125">
        <f t="shared" si="6"/>
        <v>1876.0800000000002</v>
      </c>
      <c r="Q185" s="54" t="s">
        <v>264</v>
      </c>
      <c r="R185" s="48">
        <v>6</v>
      </c>
      <c r="S185" s="49">
        <v>2</v>
      </c>
      <c r="T185" s="50">
        <f t="shared" si="7"/>
        <v>0</v>
      </c>
      <c r="U185" s="9"/>
      <c r="V185" s="51">
        <v>179</v>
      </c>
      <c r="W185" s="51">
        <v>281</v>
      </c>
      <c r="X185" s="51">
        <v>109.4</v>
      </c>
      <c r="Y185" s="51">
        <v>760</v>
      </c>
      <c r="Z185" s="51">
        <v>96</v>
      </c>
      <c r="AA185" s="51">
        <v>415</v>
      </c>
      <c r="AB185" s="51">
        <v>5.28</v>
      </c>
      <c r="AC185" s="51">
        <v>12.2</v>
      </c>
      <c r="AD185" s="51">
        <v>18.2</v>
      </c>
      <c r="AE185" s="51"/>
      <c r="AF185" s="51"/>
      <c r="AG185" s="51"/>
      <c r="AH185" s="51"/>
      <c r="AI185" s="51"/>
      <c r="AJ185" s="51"/>
      <c r="AK185" s="51"/>
      <c r="AL185" s="51"/>
      <c r="AM185" s="51"/>
      <c r="AN185" s="51"/>
      <c r="AO185" s="51"/>
      <c r="AP185" s="51"/>
      <c r="AQ185" s="51"/>
      <c r="AR185" s="51"/>
      <c r="AS185" s="51"/>
      <c r="AT185" s="51"/>
      <c r="AU185" s="51"/>
      <c r="AV185" s="51"/>
      <c r="AW185" s="51"/>
      <c r="AX185" s="51"/>
      <c r="AY185" s="51"/>
      <c r="AZ185" s="51"/>
      <c r="BA185" s="51"/>
      <c r="BB185" s="51"/>
      <c r="BC185" s="51"/>
      <c r="BD185" s="51"/>
      <c r="BE185" s="51"/>
      <c r="BF185" s="51"/>
      <c r="BG185" s="51"/>
      <c r="BH185" s="51"/>
      <c r="BI185" s="51"/>
      <c r="BJ185" s="51"/>
      <c r="BK185" s="51"/>
      <c r="BL185" s="51"/>
      <c r="BM185" s="51"/>
      <c r="BN185" s="51"/>
      <c r="BO185" s="51"/>
      <c r="BP185" s="51"/>
      <c r="BQ185" s="51"/>
      <c r="BR185" s="9">
        <f t="shared" si="2"/>
        <v>9</v>
      </c>
      <c r="BS185" s="9"/>
      <c r="BT185" s="53" t="str">
        <f t="shared" si="3"/>
        <v>Northwest Africa 4936/ 5406/ 6221/ 6355/ 6470/ 6570/ 7190 /7986/ 8181</v>
      </c>
      <c r="BU185" s="101" t="s">
        <v>230</v>
      </c>
    </row>
    <row r="186" spans="1:73" s="42" customFormat="1" ht="12.75" customHeight="1" x14ac:dyDescent="0.25">
      <c r="A186"/>
      <c r="B186" s="97">
        <f t="shared" si="4"/>
        <v>58</v>
      </c>
      <c r="C186" s="265" t="str">
        <f>HYPERLINK("https://sites.wustl.edu/meteoritesite/items/lm_nwa_unn_142/",Q186)</f>
        <v>[unnamed 142]</v>
      </c>
      <c r="D186" s="266"/>
      <c r="E186" s="266"/>
      <c r="F186" s="266"/>
      <c r="G186" s="98">
        <v>2018</v>
      </c>
      <c r="H186" s="267" t="s">
        <v>34</v>
      </c>
      <c r="I186" s="268"/>
      <c r="J186" s="98" t="s">
        <v>40</v>
      </c>
      <c r="K186" s="212" t="s">
        <v>39</v>
      </c>
      <c r="L186" s="213"/>
      <c r="M186" s="100">
        <v>5.6</v>
      </c>
      <c r="N186" s="102">
        <v>0.17</v>
      </c>
      <c r="P186" s="125"/>
      <c r="Q186" s="54" t="s">
        <v>285</v>
      </c>
      <c r="R186" s="48">
        <v>5.6</v>
      </c>
      <c r="S186" s="49">
        <v>0.17</v>
      </c>
      <c r="T186" s="50"/>
      <c r="U186" s="9"/>
      <c r="V186" s="51"/>
      <c r="W186" s="52"/>
      <c r="X186" s="52"/>
      <c r="Y186" s="51"/>
      <c r="Z186" s="51"/>
      <c r="AA186" s="51"/>
      <c r="AB186" s="51"/>
      <c r="AC186" s="51"/>
      <c r="AD186" s="51"/>
      <c r="AE186" s="51"/>
      <c r="AF186" s="51"/>
      <c r="AG186" s="51"/>
      <c r="AH186" s="51"/>
      <c r="AI186" s="51"/>
      <c r="AJ186" s="51"/>
      <c r="AK186" s="51"/>
      <c r="AL186" s="51"/>
      <c r="AM186" s="51"/>
      <c r="AN186" s="51"/>
      <c r="AO186" s="51"/>
      <c r="AP186" s="51"/>
      <c r="AQ186" s="51"/>
      <c r="AR186" s="51"/>
      <c r="AS186" s="51"/>
      <c r="AT186" s="51"/>
      <c r="AU186" s="51"/>
      <c r="AV186" s="51"/>
      <c r="AW186" s="51"/>
      <c r="AX186" s="51"/>
      <c r="AY186" s="51"/>
      <c r="AZ186" s="51"/>
      <c r="BA186" s="51"/>
      <c r="BB186" s="51"/>
      <c r="BC186" s="51"/>
      <c r="BD186" s="51"/>
      <c r="BE186" s="51"/>
      <c r="BF186" s="51"/>
      <c r="BG186" s="51"/>
      <c r="BH186" s="51"/>
      <c r="BI186" s="51"/>
      <c r="BJ186" s="51"/>
      <c r="BK186" s="51"/>
      <c r="BL186" s="51"/>
      <c r="BM186" s="51"/>
      <c r="BN186" s="51"/>
      <c r="BO186" s="51"/>
      <c r="BP186" s="51"/>
      <c r="BQ186" s="51"/>
      <c r="BR186" s="9">
        <f t="shared" si="2"/>
        <v>0</v>
      </c>
      <c r="BS186" s="9"/>
      <c r="BT186" s="53" t="str">
        <f t="shared" si="3"/>
        <v>[unnamed 142]</v>
      </c>
      <c r="BU186" s="101"/>
    </row>
    <row r="187" spans="1:73" s="42" customFormat="1" ht="12.75" customHeight="1" x14ac:dyDescent="0.25">
      <c r="A187"/>
      <c r="B187" s="97">
        <f t="shared" si="4"/>
        <v>59</v>
      </c>
      <c r="C187" s="265" t="str">
        <f>HYPERLINK("https://sites.wustl.edu/meteoritesite/items/lm_nwa_10783/",Q187)</f>
        <v>Northwest Africa 10783</v>
      </c>
      <c r="D187" s="266"/>
      <c r="E187" s="266"/>
      <c r="F187" s="266"/>
      <c r="G187" s="98">
        <v>2015</v>
      </c>
      <c r="H187" s="267" t="s">
        <v>724</v>
      </c>
      <c r="I187" s="268"/>
      <c r="J187" s="104">
        <v>22</v>
      </c>
      <c r="K187" s="212" t="s">
        <v>39</v>
      </c>
      <c r="L187" s="213"/>
      <c r="M187" s="100">
        <v>6</v>
      </c>
      <c r="N187" s="102">
        <v>1.1000000000000001</v>
      </c>
      <c r="P187" s="125">
        <f t="shared" ref="P187:P192" si="8">SUM(V187:BQ187)</f>
        <v>22</v>
      </c>
      <c r="Q187" s="54" t="s">
        <v>206</v>
      </c>
      <c r="R187" s="48">
        <v>6</v>
      </c>
      <c r="S187" s="49">
        <v>1.1000000000000001</v>
      </c>
      <c r="T187" s="50">
        <f t="shared" si="7"/>
        <v>0</v>
      </c>
      <c r="U187" s="9"/>
      <c r="V187" s="51">
        <v>22</v>
      </c>
      <c r="W187" s="51"/>
      <c r="X187" s="51"/>
      <c r="Y187" s="51"/>
      <c r="Z187" s="51"/>
      <c r="AA187" s="51"/>
      <c r="AB187" s="51"/>
      <c r="AC187" s="51"/>
      <c r="AD187" s="51"/>
      <c r="AE187" s="51"/>
      <c r="AF187" s="51"/>
      <c r="AG187" s="51"/>
      <c r="AH187" s="51"/>
      <c r="AI187" s="51"/>
      <c r="AJ187" s="51"/>
      <c r="AK187" s="51"/>
      <c r="AL187" s="51"/>
      <c r="AM187" s="51"/>
      <c r="AN187" s="51"/>
      <c r="AO187" s="51"/>
      <c r="AP187" s="51"/>
      <c r="AQ187" s="51"/>
      <c r="AR187" s="51"/>
      <c r="AS187" s="51"/>
      <c r="AT187" s="51"/>
      <c r="AU187" s="51"/>
      <c r="AV187" s="51"/>
      <c r="AW187" s="51"/>
      <c r="AX187" s="51"/>
      <c r="AY187" s="51"/>
      <c r="AZ187" s="51"/>
      <c r="BA187" s="51"/>
      <c r="BB187" s="51"/>
      <c r="BC187" s="51"/>
      <c r="BD187" s="51"/>
      <c r="BE187" s="51"/>
      <c r="BF187" s="51"/>
      <c r="BG187" s="51"/>
      <c r="BH187" s="51"/>
      <c r="BI187" s="51"/>
      <c r="BJ187" s="51"/>
      <c r="BK187" s="51"/>
      <c r="BL187" s="51"/>
      <c r="BM187" s="51"/>
      <c r="BN187" s="51"/>
      <c r="BO187" s="51"/>
      <c r="BP187" s="51"/>
      <c r="BQ187" s="51"/>
      <c r="BR187" s="9">
        <f t="shared" si="2"/>
        <v>1</v>
      </c>
      <c r="BS187" s="9"/>
      <c r="BT187" s="53" t="str">
        <f t="shared" si="3"/>
        <v>Northwest Africa 10783</v>
      </c>
      <c r="BU187" s="101" t="s">
        <v>230</v>
      </c>
    </row>
    <row r="188" spans="1:73" s="42" customFormat="1" ht="12.75" customHeight="1" x14ac:dyDescent="0.25">
      <c r="A188"/>
      <c r="B188" s="97">
        <f t="shared" si="4"/>
        <v>60</v>
      </c>
      <c r="C188" s="265" t="str">
        <f>HYPERLINK("https://sites.wustl.edu/meteoritesite/items/lm_nea_001/",Q188)</f>
        <v>Northeast Africa 001</v>
      </c>
      <c r="D188" s="266"/>
      <c r="E188" s="266"/>
      <c r="F188" s="266"/>
      <c r="G188" s="98">
        <v>2002</v>
      </c>
      <c r="H188" s="267" t="s">
        <v>41</v>
      </c>
      <c r="I188" s="268"/>
      <c r="J188" s="99">
        <v>262</v>
      </c>
      <c r="K188" s="212" t="s">
        <v>59</v>
      </c>
      <c r="L188" s="213"/>
      <c r="M188" s="100">
        <v>5.3</v>
      </c>
      <c r="N188" s="100">
        <v>0.3</v>
      </c>
      <c r="P188" s="125">
        <f t="shared" si="8"/>
        <v>262</v>
      </c>
      <c r="Q188" s="54" t="s">
        <v>133</v>
      </c>
      <c r="R188" s="48">
        <v>5.3</v>
      </c>
      <c r="S188" s="49">
        <v>0.3</v>
      </c>
      <c r="T188" s="50">
        <f t="shared" si="7"/>
        <v>0</v>
      </c>
      <c r="U188" s="9"/>
      <c r="V188" s="51">
        <v>262</v>
      </c>
      <c r="W188" s="51"/>
      <c r="X188" s="51"/>
      <c r="Y188" s="51"/>
      <c r="Z188" s="51"/>
      <c r="AA188" s="51"/>
      <c r="AB188" s="51"/>
      <c r="AC188" s="51"/>
      <c r="AD188" s="51"/>
      <c r="AE188" s="51"/>
      <c r="AF188" s="51"/>
      <c r="AG188" s="51"/>
      <c r="AH188" s="51"/>
      <c r="AI188" s="51"/>
      <c r="AJ188" s="51"/>
      <c r="AK188" s="51"/>
      <c r="AL188" s="51"/>
      <c r="AM188" s="51"/>
      <c r="AN188" s="51"/>
      <c r="AO188" s="51"/>
      <c r="AP188" s="51"/>
      <c r="AQ188" s="51"/>
      <c r="AR188" s="51"/>
      <c r="AS188" s="51"/>
      <c r="AT188" s="51"/>
      <c r="AU188" s="51"/>
      <c r="AV188" s="51"/>
      <c r="AW188" s="51"/>
      <c r="AX188" s="51"/>
      <c r="AY188" s="51"/>
      <c r="AZ188" s="51"/>
      <c r="BA188" s="51"/>
      <c r="BB188" s="51"/>
      <c r="BC188" s="51"/>
      <c r="BD188" s="51"/>
      <c r="BE188" s="51"/>
      <c r="BF188" s="51"/>
      <c r="BG188" s="51"/>
      <c r="BH188" s="51"/>
      <c r="BI188" s="51"/>
      <c r="BJ188" s="51"/>
      <c r="BK188" s="51"/>
      <c r="BL188" s="51"/>
      <c r="BM188" s="51"/>
      <c r="BN188" s="51"/>
      <c r="BO188" s="51"/>
      <c r="BP188" s="51"/>
      <c r="BQ188" s="51"/>
      <c r="BR188" s="9">
        <f t="shared" si="2"/>
        <v>1</v>
      </c>
      <c r="BS188" s="9"/>
      <c r="BT188" s="53" t="str">
        <f t="shared" si="3"/>
        <v>Northeast Africa 001</v>
      </c>
      <c r="BU188" s="101" t="s">
        <v>230</v>
      </c>
    </row>
    <row r="189" spans="1:73" s="42" customFormat="1" ht="12.75" customHeight="1" x14ac:dyDescent="0.25">
      <c r="A189"/>
      <c r="B189" s="97">
        <f t="shared" si="4"/>
        <v>61</v>
      </c>
      <c r="C189" s="265" t="str">
        <f>HYPERLINK("https://sites.wustl.edu/meteoritesite/items/lm_dho_0025_clan/",Q189)</f>
        <v>Dhofar 025/ 301/ 304/ 308</v>
      </c>
      <c r="D189" s="266"/>
      <c r="E189" s="266"/>
      <c r="F189" s="266"/>
      <c r="G189" s="98" t="s">
        <v>56</v>
      </c>
      <c r="H189" s="269" t="s">
        <v>41</v>
      </c>
      <c r="I189" s="269"/>
      <c r="J189" s="99">
        <v>772</v>
      </c>
      <c r="K189" s="272" t="s">
        <v>37</v>
      </c>
      <c r="L189" s="273"/>
      <c r="M189" s="100">
        <v>4.7</v>
      </c>
      <c r="N189" s="100">
        <v>0.6</v>
      </c>
      <c r="P189" s="125">
        <f t="shared" si="8"/>
        <v>772</v>
      </c>
      <c r="Q189" s="54" t="s">
        <v>263</v>
      </c>
      <c r="R189" s="48">
        <v>4.7</v>
      </c>
      <c r="S189" s="49">
        <v>0.6</v>
      </c>
      <c r="T189" s="50">
        <f t="shared" si="7"/>
        <v>0</v>
      </c>
      <c r="U189" s="9"/>
      <c r="V189" s="51">
        <v>751</v>
      </c>
      <c r="W189" s="51">
        <v>9</v>
      </c>
      <c r="X189" s="51">
        <v>10</v>
      </c>
      <c r="Y189" s="51">
        <v>2</v>
      </c>
      <c r="Z189" s="51"/>
      <c r="AA189" s="51"/>
      <c r="AB189" s="51"/>
      <c r="AC189" s="51"/>
      <c r="AD189" s="51"/>
      <c r="AE189" s="51"/>
      <c r="AF189" s="51"/>
      <c r="AG189" s="51"/>
      <c r="AH189" s="51"/>
      <c r="AI189" s="51"/>
      <c r="AJ189" s="51"/>
      <c r="AK189" s="51"/>
      <c r="AL189" s="51"/>
      <c r="AM189" s="51"/>
      <c r="AN189" s="51"/>
      <c r="AO189" s="51"/>
      <c r="AP189" s="51"/>
      <c r="AQ189" s="51"/>
      <c r="AR189" s="51"/>
      <c r="AS189" s="51"/>
      <c r="AT189" s="51"/>
      <c r="AU189" s="51"/>
      <c r="AV189" s="51"/>
      <c r="AW189" s="51"/>
      <c r="AX189" s="51"/>
      <c r="AY189" s="51"/>
      <c r="AZ189" s="51"/>
      <c r="BA189" s="51"/>
      <c r="BB189" s="51"/>
      <c r="BC189" s="51"/>
      <c r="BD189" s="51"/>
      <c r="BE189" s="51"/>
      <c r="BF189" s="51"/>
      <c r="BG189" s="51"/>
      <c r="BH189" s="51"/>
      <c r="BI189" s="51"/>
      <c r="BJ189" s="51"/>
      <c r="BK189" s="51"/>
      <c r="BL189" s="51"/>
      <c r="BM189" s="51"/>
      <c r="BN189" s="51"/>
      <c r="BO189" s="51"/>
      <c r="BP189" s="51"/>
      <c r="BQ189" s="51"/>
      <c r="BR189" s="9">
        <f t="shared" si="2"/>
        <v>4</v>
      </c>
      <c r="BS189" s="9"/>
      <c r="BT189" s="53" t="str">
        <f t="shared" si="3"/>
        <v>Dhofar 025/ 301/ 304/ 308</v>
      </c>
      <c r="BU189" s="101" t="s">
        <v>230</v>
      </c>
    </row>
    <row r="190" spans="1:73" s="42" customFormat="1" ht="12.75" customHeight="1" x14ac:dyDescent="0.25">
      <c r="A190"/>
      <c r="B190" s="97">
        <f t="shared" si="4"/>
        <v>62</v>
      </c>
      <c r="C190" s="265" t="str">
        <f>HYPERLINK("https://sites.wustl.edu/meteoritesite/items/lm_nwa_06481/",Q190)</f>
        <v>Northwest Africa 6481</v>
      </c>
      <c r="D190" s="266"/>
      <c r="E190" s="266"/>
      <c r="F190" s="266"/>
      <c r="G190" s="98">
        <v>2010</v>
      </c>
      <c r="H190" s="267" t="s">
        <v>38</v>
      </c>
      <c r="I190" s="268"/>
      <c r="J190" s="104">
        <v>13.7</v>
      </c>
      <c r="K190" s="212" t="s">
        <v>35</v>
      </c>
      <c r="L190" s="213"/>
      <c r="M190" s="100">
        <v>4.7</v>
      </c>
      <c r="N190" s="100">
        <v>0.6</v>
      </c>
      <c r="P190" s="125">
        <f t="shared" si="8"/>
        <v>13.7</v>
      </c>
      <c r="Q190" s="54" t="s">
        <v>130</v>
      </c>
      <c r="R190" s="48">
        <v>4.7</v>
      </c>
      <c r="S190" s="49">
        <v>0.6</v>
      </c>
      <c r="T190" s="50">
        <f t="shared" si="7"/>
        <v>0</v>
      </c>
      <c r="U190" s="9"/>
      <c r="V190" s="51">
        <v>13.7</v>
      </c>
      <c r="W190" s="51"/>
      <c r="X190" s="51"/>
      <c r="Y190" s="51"/>
      <c r="Z190" s="51"/>
      <c r="AA190" s="51"/>
      <c r="AB190" s="51"/>
      <c r="AC190" s="51"/>
      <c r="AD190" s="51"/>
      <c r="AE190" s="51"/>
      <c r="AF190" s="51"/>
      <c r="AG190" s="51"/>
      <c r="AH190" s="51"/>
      <c r="AI190" s="51"/>
      <c r="AJ190" s="51"/>
      <c r="AK190" s="51"/>
      <c r="AL190" s="51"/>
      <c r="AM190" s="51"/>
      <c r="AN190" s="51"/>
      <c r="AO190" s="51"/>
      <c r="AP190" s="51"/>
      <c r="AQ190" s="51"/>
      <c r="AR190" s="51"/>
      <c r="AS190" s="51"/>
      <c r="AT190" s="51"/>
      <c r="AU190" s="51"/>
      <c r="AV190" s="51"/>
      <c r="AW190" s="51"/>
      <c r="AX190" s="51"/>
      <c r="AY190" s="51"/>
      <c r="AZ190" s="51"/>
      <c r="BA190" s="51"/>
      <c r="BB190" s="51"/>
      <c r="BC190" s="51"/>
      <c r="BD190" s="51"/>
      <c r="BE190" s="51"/>
      <c r="BF190" s="51"/>
      <c r="BG190" s="51"/>
      <c r="BH190" s="51"/>
      <c r="BI190" s="51"/>
      <c r="BJ190" s="51"/>
      <c r="BK190" s="51"/>
      <c r="BL190" s="51"/>
      <c r="BM190" s="51"/>
      <c r="BN190" s="51"/>
      <c r="BO190" s="51"/>
      <c r="BP190" s="51"/>
      <c r="BQ190" s="51"/>
      <c r="BR190" s="9">
        <f t="shared" si="2"/>
        <v>1</v>
      </c>
      <c r="BS190" s="9"/>
      <c r="BT190" s="53" t="str">
        <f t="shared" si="3"/>
        <v>Northwest Africa 6481</v>
      </c>
      <c r="BU190" s="101" t="s">
        <v>230</v>
      </c>
    </row>
    <row r="191" spans="1:73" s="42" customFormat="1" ht="12.75" customHeight="1" x14ac:dyDescent="0.25">
      <c r="A191"/>
      <c r="B191" s="97">
        <f t="shared" si="4"/>
        <v>63</v>
      </c>
      <c r="C191" s="265" t="str">
        <f>HYPERLINK("https://sites.wustl.edu/meteoritesite/items/lm_alha_a81005/",Q191)</f>
        <v>Allan Hills A81005</v>
      </c>
      <c r="D191" s="266"/>
      <c r="E191" s="266"/>
      <c r="F191" s="266"/>
      <c r="G191" s="98">
        <v>1982</v>
      </c>
      <c r="H191" s="269" t="s">
        <v>41</v>
      </c>
      <c r="I191" s="269"/>
      <c r="J191" s="98">
        <v>31.4</v>
      </c>
      <c r="K191" s="270" t="s">
        <v>42</v>
      </c>
      <c r="L191" s="271"/>
      <c r="M191" s="100">
        <v>5.4</v>
      </c>
      <c r="N191" s="100">
        <v>0.4</v>
      </c>
      <c r="P191" s="125">
        <f t="shared" si="8"/>
        <v>31.4</v>
      </c>
      <c r="Q191" s="54" t="s">
        <v>176</v>
      </c>
      <c r="R191" s="48">
        <v>5.4</v>
      </c>
      <c r="S191" s="49">
        <v>0.18</v>
      </c>
      <c r="T191" s="50">
        <f t="shared" si="7"/>
        <v>0</v>
      </c>
      <c r="U191" s="9"/>
      <c r="V191" s="51">
        <v>31.4</v>
      </c>
      <c r="W191" s="52"/>
      <c r="X191" s="52"/>
      <c r="Y191" s="51"/>
      <c r="Z191" s="51"/>
      <c r="AA191" s="51"/>
      <c r="AB191" s="51"/>
      <c r="AC191" s="51"/>
      <c r="AD191" s="51"/>
      <c r="AE191" s="51"/>
      <c r="AF191" s="51"/>
      <c r="AG191" s="51"/>
      <c r="AH191" s="51"/>
      <c r="AI191" s="51"/>
      <c r="AJ191" s="51"/>
      <c r="AK191" s="51"/>
      <c r="AL191" s="51"/>
      <c r="AM191" s="51"/>
      <c r="AN191" s="51"/>
      <c r="AO191" s="51"/>
      <c r="AP191" s="51"/>
      <c r="AQ191" s="51"/>
      <c r="AR191" s="51"/>
      <c r="AS191" s="51"/>
      <c r="AT191" s="51"/>
      <c r="AU191" s="51"/>
      <c r="AV191" s="51"/>
      <c r="AW191" s="51"/>
      <c r="AX191" s="51"/>
      <c r="AY191" s="51"/>
      <c r="AZ191" s="51"/>
      <c r="BA191" s="51"/>
      <c r="BB191" s="51"/>
      <c r="BC191" s="51"/>
      <c r="BD191" s="51"/>
      <c r="BE191" s="51"/>
      <c r="BF191" s="51"/>
      <c r="BG191" s="51"/>
      <c r="BH191" s="51"/>
      <c r="BI191" s="51"/>
      <c r="BJ191" s="51"/>
      <c r="BK191" s="51"/>
      <c r="BL191" s="51"/>
      <c r="BM191" s="51"/>
      <c r="BN191" s="51"/>
      <c r="BO191" s="51"/>
      <c r="BP191" s="51"/>
      <c r="BQ191" s="51"/>
      <c r="BR191" s="9">
        <f t="shared" si="2"/>
        <v>1</v>
      </c>
      <c r="BS191" s="9"/>
      <c r="BT191" s="53" t="str">
        <f t="shared" si="3"/>
        <v>Allan Hills A81005</v>
      </c>
      <c r="BU191" s="101" t="s">
        <v>230</v>
      </c>
    </row>
    <row r="192" spans="1:73" s="42" customFormat="1" ht="12.75" customHeight="1" x14ac:dyDescent="0.25">
      <c r="A192"/>
      <c r="B192" s="97">
        <f t="shared" si="4"/>
        <v>64</v>
      </c>
      <c r="C192" s="265" t="str">
        <f>HYPERLINK("https://sites.wustl.edu/meteoritesite/items/lm_specimen_1153/",Q192)</f>
        <v>[unnamed] ("specimen 1153")</v>
      </c>
      <c r="D192" s="266"/>
      <c r="E192" s="266"/>
      <c r="F192" s="266"/>
      <c r="G192" s="98" t="s">
        <v>57</v>
      </c>
      <c r="H192" s="269" t="s">
        <v>34</v>
      </c>
      <c r="I192" s="269"/>
      <c r="J192" s="98" t="s">
        <v>40</v>
      </c>
      <c r="K192" s="270" t="s">
        <v>42</v>
      </c>
      <c r="L192" s="271"/>
      <c r="M192" s="100">
        <v>5.2</v>
      </c>
      <c r="N192" s="100" t="s">
        <v>40</v>
      </c>
      <c r="P192" s="125">
        <f t="shared" si="8"/>
        <v>0</v>
      </c>
      <c r="Q192" s="54" t="s">
        <v>242</v>
      </c>
      <c r="R192" s="48">
        <v>5.2</v>
      </c>
      <c r="S192" s="49" t="s">
        <v>40</v>
      </c>
      <c r="T192" s="50"/>
      <c r="U192" s="9"/>
      <c r="V192" s="51"/>
      <c r="W192" s="52"/>
      <c r="X192" s="52"/>
      <c r="Y192" s="51"/>
      <c r="Z192" s="51"/>
      <c r="AA192" s="51"/>
      <c r="AB192" s="51"/>
      <c r="AC192" s="51"/>
      <c r="AD192" s="51"/>
      <c r="AE192" s="51"/>
      <c r="AF192" s="51"/>
      <c r="AG192" s="51"/>
      <c r="AH192" s="51"/>
      <c r="AI192" s="51"/>
      <c r="AJ192" s="51"/>
      <c r="AK192" s="51"/>
      <c r="AL192" s="51"/>
      <c r="AM192" s="51"/>
      <c r="AN192" s="51"/>
      <c r="AO192" s="51"/>
      <c r="AP192" s="51"/>
      <c r="AQ192" s="51"/>
      <c r="AR192" s="51"/>
      <c r="AS192" s="51"/>
      <c r="AT192" s="51"/>
      <c r="AU192" s="51"/>
      <c r="AV192" s="51"/>
      <c r="AW192" s="51"/>
      <c r="AX192" s="51"/>
      <c r="AY192" s="51"/>
      <c r="AZ192" s="51"/>
      <c r="BA192" s="51"/>
      <c r="BB192" s="51"/>
      <c r="BC192" s="51"/>
      <c r="BD192" s="51"/>
      <c r="BE192" s="51"/>
      <c r="BF192" s="51"/>
      <c r="BG192" s="51"/>
      <c r="BH192" s="51"/>
      <c r="BI192" s="51"/>
      <c r="BJ192" s="51"/>
      <c r="BK192" s="51"/>
      <c r="BL192" s="51"/>
      <c r="BM192" s="51"/>
      <c r="BN192" s="51"/>
      <c r="BO192" s="51"/>
      <c r="BP192" s="51"/>
      <c r="BQ192" s="51"/>
      <c r="BR192" s="9">
        <f t="shared" si="2"/>
        <v>0</v>
      </c>
      <c r="BS192" s="9"/>
      <c r="BT192" s="53" t="str">
        <f t="shared" si="3"/>
        <v>[unnamed] ("specimen 1153")</v>
      </c>
      <c r="BU192" s="101" t="s">
        <v>230</v>
      </c>
    </row>
    <row r="193" spans="1:73" s="42" customFormat="1" ht="12.75" customHeight="1" x14ac:dyDescent="0.25">
      <c r="A193"/>
      <c r="B193" s="97">
        <f t="shared" si="4"/>
        <v>65</v>
      </c>
      <c r="C193" s="265" t="str">
        <f>HYPERLINK("https://sites.wustl.edu/meteoritesite/items/lm_nwa_unn_130/",Q193)</f>
        <v>[unnamed 130]</v>
      </c>
      <c r="D193" s="266"/>
      <c r="E193" s="266"/>
      <c r="F193" s="266"/>
      <c r="G193" s="98">
        <v>2017</v>
      </c>
      <c r="H193" s="267" t="s">
        <v>34</v>
      </c>
      <c r="I193" s="268"/>
      <c r="J193" s="106">
        <v>180</v>
      </c>
      <c r="K193" s="212" t="s">
        <v>39</v>
      </c>
      <c r="L193" s="213"/>
      <c r="M193" s="100">
        <v>5.4</v>
      </c>
      <c r="N193" s="100">
        <v>0.3</v>
      </c>
      <c r="P193" s="125">
        <f t="shared" ref="P193:P200" si="9">SUM(V193:BQ193)</f>
        <v>0</v>
      </c>
      <c r="Q193" s="54" t="s">
        <v>248</v>
      </c>
      <c r="R193" s="48">
        <v>5.4</v>
      </c>
      <c r="S193" s="49">
        <v>0.3</v>
      </c>
      <c r="T193" s="50"/>
      <c r="U193" s="9"/>
      <c r="V193" s="51"/>
      <c r="W193" s="51"/>
      <c r="X193" s="51"/>
      <c r="Y193" s="51"/>
      <c r="Z193" s="51"/>
      <c r="AA193" s="51"/>
      <c r="AB193" s="51"/>
      <c r="AC193" s="51"/>
      <c r="AD193" s="51"/>
      <c r="AE193" s="51"/>
      <c r="AF193" s="51"/>
      <c r="AG193" s="51"/>
      <c r="AH193" s="51"/>
      <c r="AI193" s="51"/>
      <c r="AJ193" s="51"/>
      <c r="AK193" s="51"/>
      <c r="AL193" s="51"/>
      <c r="AM193" s="51"/>
      <c r="AN193" s="51"/>
      <c r="AO193" s="51"/>
      <c r="AP193" s="51"/>
      <c r="AQ193" s="51"/>
      <c r="AR193" s="51"/>
      <c r="AS193" s="51"/>
      <c r="AT193" s="51"/>
      <c r="AU193" s="51"/>
      <c r="AV193" s="51"/>
      <c r="AW193" s="51"/>
      <c r="AX193" s="51"/>
      <c r="AY193" s="51"/>
      <c r="AZ193" s="51"/>
      <c r="BA193" s="51"/>
      <c r="BB193" s="51"/>
      <c r="BC193" s="51"/>
      <c r="BD193" s="51"/>
      <c r="BE193" s="51"/>
      <c r="BF193" s="51"/>
      <c r="BG193" s="51"/>
      <c r="BH193" s="51"/>
      <c r="BI193" s="51"/>
      <c r="BJ193" s="51"/>
      <c r="BK193" s="51"/>
      <c r="BL193" s="51"/>
      <c r="BM193" s="51"/>
      <c r="BN193" s="51"/>
      <c r="BO193" s="51"/>
      <c r="BP193" s="51"/>
      <c r="BQ193" s="51"/>
      <c r="BR193" s="9">
        <f t="shared" si="2"/>
        <v>0</v>
      </c>
      <c r="BS193" s="9"/>
      <c r="BT193" s="53" t="str">
        <f t="shared" si="3"/>
        <v>[unnamed 130]</v>
      </c>
      <c r="BU193" s="101"/>
    </row>
    <row r="194" spans="1:73" s="8" customFormat="1" ht="12.75" customHeight="1" x14ac:dyDescent="0.25">
      <c r="A194"/>
      <c r="B194" s="97">
        <f t="shared" si="4"/>
        <v>66</v>
      </c>
      <c r="C194" s="265" t="str">
        <f>HYPERLINK("https://sites.wustl.edu/meteoritesite/items/lm_rf_600/",Q194)</f>
        <v>Ramlat Fasad 600</v>
      </c>
      <c r="D194" s="266"/>
      <c r="E194" s="266"/>
      <c r="F194" s="266"/>
      <c r="G194" s="98">
        <v>2020</v>
      </c>
      <c r="H194" s="267" t="s">
        <v>616</v>
      </c>
      <c r="I194" s="268"/>
      <c r="J194" s="105">
        <v>59.5</v>
      </c>
      <c r="K194" s="286" t="s">
        <v>37</v>
      </c>
      <c r="L194" s="286"/>
      <c r="M194" s="100">
        <v>5.2</v>
      </c>
      <c r="N194" s="102">
        <v>0.56000000000000005</v>
      </c>
      <c r="O194" s="15"/>
      <c r="P194" s="125">
        <f t="shared" ref="P194" si="10">SUM(V194:BQ194)</f>
        <v>59.5</v>
      </c>
      <c r="Q194" s="54" t="s">
        <v>678</v>
      </c>
      <c r="R194" s="48"/>
      <c r="S194" s="49"/>
      <c r="T194" s="50">
        <f t="shared" ref="T194" si="11">J194-P194</f>
        <v>0</v>
      </c>
      <c r="U194" s="9"/>
      <c r="V194" s="51">
        <v>59.5</v>
      </c>
      <c r="W194" s="51"/>
      <c r="X194" s="51"/>
      <c r="Y194" s="52"/>
      <c r="Z194" s="51"/>
      <c r="AA194" s="51"/>
      <c r="AB194" s="51"/>
      <c r="AC194" s="51"/>
      <c r="AD194" s="51"/>
      <c r="AE194" s="51"/>
      <c r="AF194" s="51"/>
      <c r="AG194" s="51"/>
      <c r="AH194" s="51"/>
      <c r="AI194" s="51"/>
      <c r="AJ194" s="51"/>
      <c r="AK194" s="51"/>
      <c r="AL194" s="51"/>
      <c r="AM194" s="51"/>
      <c r="AN194" s="51"/>
      <c r="AO194" s="51"/>
      <c r="AP194" s="51"/>
      <c r="AQ194" s="51"/>
      <c r="AR194" s="51"/>
      <c r="AS194" s="51"/>
      <c r="AT194" s="51"/>
      <c r="AU194" s="51"/>
      <c r="AV194" s="51"/>
      <c r="AW194" s="51"/>
      <c r="AX194" s="51"/>
      <c r="AY194" s="51"/>
      <c r="AZ194" s="51"/>
      <c r="BA194" s="51"/>
      <c r="BB194" s="51"/>
      <c r="BC194" s="51"/>
      <c r="BD194" s="51"/>
      <c r="BE194" s="51"/>
      <c r="BF194" s="51"/>
      <c r="BG194" s="51"/>
      <c r="BH194" s="51"/>
      <c r="BI194" s="51"/>
      <c r="BJ194" s="51"/>
      <c r="BK194" s="51"/>
      <c r="BL194" s="51"/>
      <c r="BM194" s="51"/>
      <c r="BN194" s="51"/>
      <c r="BO194" s="51"/>
      <c r="BP194" s="51"/>
      <c r="BQ194" s="51"/>
      <c r="BR194" s="9">
        <f t="shared" ref="BR194" si="12">COUNT(V194:BQ194)</f>
        <v>1</v>
      </c>
      <c r="BS194" s="9"/>
      <c r="BT194" s="53" t="str">
        <f t="shared" ref="BT194" si="13">Q194</f>
        <v>Ramlat Fasad 600</v>
      </c>
      <c r="BU194" s="25" t="s">
        <v>230</v>
      </c>
    </row>
    <row r="195" spans="1:73" s="42" customFormat="1" ht="12.75" customHeight="1" x14ac:dyDescent="0.25">
      <c r="A195"/>
      <c r="B195" s="97">
        <f t="shared" ref="B195:B226" si="14">B194+1</f>
        <v>67</v>
      </c>
      <c r="C195" s="265" t="str">
        <f>HYPERLINK("https://sites.wustl.edu/meteoritesite/items/lm_nwa_10495/",Q195)</f>
        <v>Northwest Africa 10495/ Sueilila 005</v>
      </c>
      <c r="D195" s="266"/>
      <c r="E195" s="266"/>
      <c r="F195" s="266"/>
      <c r="G195" s="98">
        <v>2015</v>
      </c>
      <c r="H195" s="267" t="s">
        <v>38</v>
      </c>
      <c r="I195" s="268"/>
      <c r="J195" s="105">
        <v>15882</v>
      </c>
      <c r="K195" s="212" t="s">
        <v>39</v>
      </c>
      <c r="L195" s="213"/>
      <c r="M195" s="100">
        <v>5.4</v>
      </c>
      <c r="N195" s="102">
        <v>0.15</v>
      </c>
      <c r="P195" s="125">
        <f t="shared" si="9"/>
        <v>15882</v>
      </c>
      <c r="Q195" s="54" t="s">
        <v>384</v>
      </c>
      <c r="R195" s="48">
        <v>5.4</v>
      </c>
      <c r="S195" s="49">
        <v>0.15</v>
      </c>
      <c r="T195" s="50">
        <f t="shared" ref="T195:T253" si="15">J195-P195</f>
        <v>0</v>
      </c>
      <c r="U195" s="9"/>
      <c r="V195" s="51">
        <v>15600</v>
      </c>
      <c r="W195" s="51">
        <v>282</v>
      </c>
      <c r="X195" s="51"/>
      <c r="Y195" s="51"/>
      <c r="Z195" s="51"/>
      <c r="AA195" s="51"/>
      <c r="AB195" s="51"/>
      <c r="AC195" s="51"/>
      <c r="AD195" s="51"/>
      <c r="AE195" s="51"/>
      <c r="AF195" s="51"/>
      <c r="AG195" s="51"/>
      <c r="AH195" s="51"/>
      <c r="AI195" s="51"/>
      <c r="AJ195" s="51"/>
      <c r="AK195" s="51"/>
      <c r="AL195" s="51"/>
      <c r="AM195" s="51"/>
      <c r="AN195" s="51"/>
      <c r="AO195" s="51"/>
      <c r="AP195" s="51"/>
      <c r="AQ195" s="51"/>
      <c r="AR195" s="51"/>
      <c r="AS195" s="51"/>
      <c r="AT195" s="51"/>
      <c r="AU195" s="51"/>
      <c r="AV195" s="51"/>
      <c r="AW195" s="51"/>
      <c r="AX195" s="51"/>
      <c r="AY195" s="51"/>
      <c r="AZ195" s="51"/>
      <c r="BA195" s="51"/>
      <c r="BB195" s="51"/>
      <c r="BC195" s="51"/>
      <c r="BD195" s="51"/>
      <c r="BE195" s="51"/>
      <c r="BF195" s="51"/>
      <c r="BG195" s="51"/>
      <c r="BH195" s="51"/>
      <c r="BI195" s="51"/>
      <c r="BJ195" s="51"/>
      <c r="BK195" s="51"/>
      <c r="BL195" s="51"/>
      <c r="BM195" s="51"/>
      <c r="BN195" s="51"/>
      <c r="BO195" s="51"/>
      <c r="BP195" s="51"/>
      <c r="BQ195" s="51"/>
      <c r="BR195" s="9">
        <f t="shared" ref="BR195:BR253" si="16">COUNT(V195:BQ195)</f>
        <v>2</v>
      </c>
      <c r="BS195" s="9"/>
      <c r="BT195" s="53" t="str">
        <f t="shared" ref="BT195:BT253" si="17">Q195</f>
        <v>Northwest Africa 10495/ Sueilila 005</v>
      </c>
      <c r="BU195" s="101" t="s">
        <v>230</v>
      </c>
    </row>
    <row r="196" spans="1:73" s="42" customFormat="1" ht="12.75" customHeight="1" x14ac:dyDescent="0.25">
      <c r="A196"/>
      <c r="B196" s="97">
        <f t="shared" si="14"/>
        <v>68</v>
      </c>
      <c r="C196" s="265" t="str">
        <f>HYPERLINK("https://sites.wustl.edu/meteoritesite/items/lm_mil_07006/",Q196)</f>
        <v>Miller Range 07006</v>
      </c>
      <c r="D196" s="266"/>
      <c r="E196" s="266"/>
      <c r="F196" s="266"/>
      <c r="G196" s="98">
        <v>2007</v>
      </c>
      <c r="H196" s="267" t="s">
        <v>396</v>
      </c>
      <c r="I196" s="268"/>
      <c r="J196" s="98">
        <v>1.3680000000000001</v>
      </c>
      <c r="K196" s="270" t="s">
        <v>42</v>
      </c>
      <c r="L196" s="271"/>
      <c r="M196" s="100">
        <v>5.5</v>
      </c>
      <c r="N196" s="102">
        <v>0.18</v>
      </c>
      <c r="P196" s="125">
        <f t="shared" si="9"/>
        <v>1.3680000000000001</v>
      </c>
      <c r="Q196" s="54" t="s">
        <v>166</v>
      </c>
      <c r="R196" s="48">
        <v>5.5</v>
      </c>
      <c r="S196" s="49">
        <v>0.4</v>
      </c>
      <c r="T196" s="50">
        <f t="shared" si="15"/>
        <v>0</v>
      </c>
      <c r="U196" s="9"/>
      <c r="V196" s="51">
        <v>1.3680000000000001</v>
      </c>
      <c r="W196" s="52"/>
      <c r="X196" s="52"/>
      <c r="Y196" s="51"/>
      <c r="Z196" s="51"/>
      <c r="AA196" s="51"/>
      <c r="AB196" s="51"/>
      <c r="AC196" s="51"/>
      <c r="AD196" s="51"/>
      <c r="AE196" s="51"/>
      <c r="AF196" s="51"/>
      <c r="AG196" s="51"/>
      <c r="AH196" s="51"/>
      <c r="AI196" s="51"/>
      <c r="AJ196" s="51"/>
      <c r="AK196" s="51"/>
      <c r="AL196" s="51"/>
      <c r="AM196" s="51"/>
      <c r="AN196" s="51"/>
      <c r="AO196" s="51"/>
      <c r="AP196" s="51"/>
      <c r="AQ196" s="51"/>
      <c r="AR196" s="51"/>
      <c r="AS196" s="51"/>
      <c r="AT196" s="51"/>
      <c r="AU196" s="51"/>
      <c r="AV196" s="51"/>
      <c r="AW196" s="51"/>
      <c r="AX196" s="51"/>
      <c r="AY196" s="51"/>
      <c r="AZ196" s="51"/>
      <c r="BA196" s="51"/>
      <c r="BB196" s="51"/>
      <c r="BC196" s="51"/>
      <c r="BD196" s="51"/>
      <c r="BE196" s="51"/>
      <c r="BF196" s="51"/>
      <c r="BG196" s="51"/>
      <c r="BH196" s="51"/>
      <c r="BI196" s="51"/>
      <c r="BJ196" s="51"/>
      <c r="BK196" s="51"/>
      <c r="BL196" s="51"/>
      <c r="BM196" s="51"/>
      <c r="BN196" s="51"/>
      <c r="BO196" s="51"/>
      <c r="BP196" s="51"/>
      <c r="BQ196" s="51"/>
      <c r="BR196" s="9">
        <f t="shared" si="16"/>
        <v>1</v>
      </c>
      <c r="BS196" s="9"/>
      <c r="BT196" s="53" t="str">
        <f t="shared" si="17"/>
        <v>Miller Range 07006</v>
      </c>
      <c r="BU196" s="101" t="s">
        <v>230</v>
      </c>
    </row>
    <row r="197" spans="1:73" s="42" customFormat="1" ht="12.75" customHeight="1" x14ac:dyDescent="0.25">
      <c r="A197"/>
      <c r="B197" s="97">
        <f t="shared" si="14"/>
        <v>69</v>
      </c>
      <c r="C197" s="265" t="str">
        <f>HYPERLINK("https://sites.wustl.edu/meteoritesite/items/lm_talhat_lihoudi/",Q197)</f>
        <v>Talhat Lihoudi</v>
      </c>
      <c r="D197" s="266"/>
      <c r="E197" s="266"/>
      <c r="F197" s="266"/>
      <c r="G197" s="98">
        <v>2016</v>
      </c>
      <c r="H197" s="267" t="s">
        <v>41</v>
      </c>
      <c r="I197" s="268"/>
      <c r="J197" s="104">
        <v>61.5</v>
      </c>
      <c r="K197" s="212" t="s">
        <v>44</v>
      </c>
      <c r="L197" s="213"/>
      <c r="M197" s="100">
        <v>5.3</v>
      </c>
      <c r="N197" s="100">
        <v>1.1000000000000001</v>
      </c>
      <c r="P197" s="125">
        <f t="shared" si="9"/>
        <v>61.5</v>
      </c>
      <c r="Q197" s="54" t="s">
        <v>229</v>
      </c>
      <c r="R197" s="48">
        <v>5.3</v>
      </c>
      <c r="S197" s="49">
        <v>1.1000000000000001</v>
      </c>
      <c r="T197" s="50">
        <f t="shared" si="15"/>
        <v>0</v>
      </c>
      <c r="U197" s="9"/>
      <c r="V197" s="51">
        <v>61.5</v>
      </c>
      <c r="W197" s="51"/>
      <c r="X197" s="51"/>
      <c r="Y197" s="51"/>
      <c r="Z197" s="51"/>
      <c r="AA197" s="51"/>
      <c r="AB197" s="51"/>
      <c r="AC197" s="51"/>
      <c r="AD197" s="51"/>
      <c r="AE197" s="51"/>
      <c r="AF197" s="51"/>
      <c r="AG197" s="51"/>
      <c r="AH197" s="51"/>
      <c r="AI197" s="51"/>
      <c r="AJ197" s="51"/>
      <c r="AK197" s="51"/>
      <c r="AL197" s="51"/>
      <c r="AM197" s="51"/>
      <c r="AN197" s="51"/>
      <c r="AO197" s="51"/>
      <c r="AP197" s="51"/>
      <c r="AQ197" s="51"/>
      <c r="AR197" s="51"/>
      <c r="AS197" s="51"/>
      <c r="AT197" s="51"/>
      <c r="AU197" s="51"/>
      <c r="AV197" s="51"/>
      <c r="AW197" s="51"/>
      <c r="AX197" s="51"/>
      <c r="AY197" s="51"/>
      <c r="AZ197" s="51"/>
      <c r="BA197" s="51"/>
      <c r="BB197" s="51"/>
      <c r="BC197" s="51"/>
      <c r="BD197" s="51"/>
      <c r="BE197" s="51"/>
      <c r="BF197" s="51"/>
      <c r="BG197" s="51"/>
      <c r="BH197" s="51"/>
      <c r="BI197" s="51"/>
      <c r="BJ197" s="51"/>
      <c r="BK197" s="51"/>
      <c r="BL197" s="51"/>
      <c r="BM197" s="51"/>
      <c r="BN197" s="51"/>
      <c r="BO197" s="51"/>
      <c r="BP197" s="51"/>
      <c r="BQ197" s="51"/>
      <c r="BR197" s="9">
        <f t="shared" si="16"/>
        <v>1</v>
      </c>
      <c r="BS197" s="9"/>
      <c r="BT197" s="53" t="str">
        <f t="shared" si="17"/>
        <v>Talhat Lihoudi</v>
      </c>
      <c r="BU197" s="101" t="s">
        <v>230</v>
      </c>
    </row>
    <row r="198" spans="1:73" s="42" customFormat="1" ht="12.75" customHeight="1" x14ac:dyDescent="0.25">
      <c r="A198"/>
      <c r="B198" s="97">
        <f t="shared" si="14"/>
        <v>70</v>
      </c>
      <c r="C198" s="265" t="str">
        <f>HYPERLINK("https://sites.wustl.edu/meteoritesite/items/lm_jah_348/",Q198)</f>
        <v>Jiddat al Harasis 348</v>
      </c>
      <c r="D198" s="266"/>
      <c r="E198" s="266"/>
      <c r="F198" s="266"/>
      <c r="G198" s="98">
        <v>2006</v>
      </c>
      <c r="H198" s="269" t="s">
        <v>38</v>
      </c>
      <c r="I198" s="269"/>
      <c r="J198" s="104">
        <v>18.399999999999999</v>
      </c>
      <c r="K198" s="272" t="s">
        <v>37</v>
      </c>
      <c r="L198" s="273"/>
      <c r="M198" s="100">
        <v>5.5</v>
      </c>
      <c r="N198" s="100">
        <v>0.3</v>
      </c>
      <c r="P198" s="125">
        <f t="shared" si="9"/>
        <v>18.399999999999999</v>
      </c>
      <c r="Q198" s="54" t="s">
        <v>177</v>
      </c>
      <c r="R198" s="48">
        <v>5.5</v>
      </c>
      <c r="S198" s="49">
        <v>0.3</v>
      </c>
      <c r="T198" s="50">
        <f t="shared" si="15"/>
        <v>0</v>
      </c>
      <c r="U198" s="9"/>
      <c r="V198" s="51">
        <v>18.399999999999999</v>
      </c>
      <c r="W198" s="51"/>
      <c r="X198" s="51"/>
      <c r="Y198" s="51"/>
      <c r="Z198" s="51"/>
      <c r="AA198" s="51"/>
      <c r="AB198" s="51"/>
      <c r="AC198" s="51"/>
      <c r="AD198" s="51"/>
      <c r="AE198" s="51"/>
      <c r="AF198" s="51"/>
      <c r="AG198" s="51"/>
      <c r="AH198" s="51"/>
      <c r="AI198" s="51"/>
      <c r="AJ198" s="51"/>
      <c r="AK198" s="51"/>
      <c r="AL198" s="51"/>
      <c r="AM198" s="51"/>
      <c r="AN198" s="51"/>
      <c r="AO198" s="51"/>
      <c r="AP198" s="51"/>
      <c r="AQ198" s="51"/>
      <c r="AR198" s="51"/>
      <c r="AS198" s="51"/>
      <c r="AT198" s="51"/>
      <c r="AU198" s="51"/>
      <c r="AV198" s="51"/>
      <c r="AW198" s="51"/>
      <c r="AX198" s="51"/>
      <c r="AY198" s="51"/>
      <c r="AZ198" s="51"/>
      <c r="BA198" s="51"/>
      <c r="BB198" s="51"/>
      <c r="BC198" s="51"/>
      <c r="BD198" s="51"/>
      <c r="BE198" s="51"/>
      <c r="BF198" s="51"/>
      <c r="BG198" s="51"/>
      <c r="BH198" s="51"/>
      <c r="BI198" s="51"/>
      <c r="BJ198" s="51"/>
      <c r="BK198" s="51"/>
      <c r="BL198" s="51"/>
      <c r="BM198" s="51"/>
      <c r="BN198" s="51"/>
      <c r="BO198" s="51"/>
      <c r="BP198" s="51"/>
      <c r="BQ198" s="51"/>
      <c r="BR198" s="9">
        <f t="shared" si="16"/>
        <v>1</v>
      </c>
      <c r="BS198" s="9"/>
      <c r="BT198" s="53" t="str">
        <f t="shared" si="17"/>
        <v>Jiddat al Harasis 348</v>
      </c>
      <c r="BU198" s="101" t="s">
        <v>230</v>
      </c>
    </row>
    <row r="199" spans="1:73" s="42" customFormat="1" ht="12.75" customHeight="1" x14ac:dyDescent="0.25">
      <c r="A199"/>
      <c r="B199" s="97">
        <f t="shared" si="14"/>
        <v>71</v>
      </c>
      <c r="C199" s="265" t="str">
        <f>HYPERLINK("https://sites.wustl.edu/meteoritesite/items/lm_dho_1627_1980/",Q199)</f>
        <v>Dhofar 1627/ 1980/ 2101</v>
      </c>
      <c r="D199" s="266"/>
      <c r="E199" s="266"/>
      <c r="F199" s="266"/>
      <c r="G199" s="98">
        <v>2010</v>
      </c>
      <c r="H199" s="269" t="s">
        <v>616</v>
      </c>
      <c r="I199" s="269"/>
      <c r="J199" s="99">
        <v>122.6</v>
      </c>
      <c r="K199" s="272" t="s">
        <v>37</v>
      </c>
      <c r="L199" s="273"/>
      <c r="M199" s="100">
        <v>5.8</v>
      </c>
      <c r="N199" s="100">
        <v>2.6</v>
      </c>
      <c r="P199" s="130">
        <f t="shared" si="9"/>
        <v>122.6</v>
      </c>
      <c r="Q199" s="54" t="s">
        <v>435</v>
      </c>
      <c r="R199" s="48">
        <v>5.8</v>
      </c>
      <c r="S199" s="49">
        <v>2.6</v>
      </c>
      <c r="T199" s="50">
        <f t="shared" si="15"/>
        <v>0</v>
      </c>
      <c r="U199" s="9"/>
      <c r="V199" s="51">
        <v>86.1</v>
      </c>
      <c r="W199" s="51">
        <v>23.5</v>
      </c>
      <c r="X199" s="51">
        <v>13</v>
      </c>
      <c r="Y199" s="51"/>
      <c r="Z199" s="51"/>
      <c r="AA199" s="51"/>
      <c r="AB199" s="51"/>
      <c r="AC199" s="51"/>
      <c r="AD199" s="51"/>
      <c r="AE199" s="51"/>
      <c r="AF199" s="51"/>
      <c r="AG199" s="51"/>
      <c r="AH199" s="51"/>
      <c r="AI199" s="51"/>
      <c r="AJ199" s="51"/>
      <c r="AK199" s="51"/>
      <c r="AL199" s="51"/>
      <c r="AM199" s="51"/>
      <c r="AN199" s="51"/>
      <c r="AO199" s="51"/>
      <c r="AP199" s="51"/>
      <c r="AQ199" s="51"/>
      <c r="AR199" s="51"/>
      <c r="AS199" s="51"/>
      <c r="AT199" s="51"/>
      <c r="AU199" s="51"/>
      <c r="AV199" s="51"/>
      <c r="AW199" s="51"/>
      <c r="AX199" s="51"/>
      <c r="AY199" s="51"/>
      <c r="AZ199" s="51"/>
      <c r="BA199" s="51"/>
      <c r="BB199" s="51"/>
      <c r="BC199" s="51"/>
      <c r="BD199" s="51"/>
      <c r="BE199" s="51"/>
      <c r="BF199" s="51"/>
      <c r="BG199" s="51"/>
      <c r="BH199" s="51"/>
      <c r="BI199" s="51"/>
      <c r="BJ199" s="51"/>
      <c r="BK199" s="51"/>
      <c r="BL199" s="51"/>
      <c r="BM199" s="51"/>
      <c r="BN199" s="51"/>
      <c r="BO199" s="51"/>
      <c r="BP199" s="51"/>
      <c r="BQ199" s="51"/>
      <c r="BR199" s="9">
        <f t="shared" si="16"/>
        <v>3</v>
      </c>
      <c r="BS199" s="9"/>
      <c r="BT199" s="53" t="str">
        <f t="shared" si="17"/>
        <v>Dhofar 1627/ 1980/ 2101</v>
      </c>
      <c r="BU199" s="101" t="s">
        <v>230</v>
      </c>
    </row>
    <row r="200" spans="1:73" s="42" customFormat="1" ht="12.75" customHeight="1" x14ac:dyDescent="0.25">
      <c r="A200"/>
      <c r="B200" s="97">
        <f t="shared" si="14"/>
        <v>72</v>
      </c>
      <c r="C200" s="265" t="str">
        <f>HYPERLINK("https://sites.wustl.edu/meteoritesite/items/lm_dho_1673_clan/",Q200)</f>
        <v>Dhofar 1673/ 1983/ 1984</v>
      </c>
      <c r="D200" s="266"/>
      <c r="E200" s="266"/>
      <c r="F200" s="266"/>
      <c r="G200" s="98">
        <v>2009</v>
      </c>
      <c r="H200" s="269" t="s">
        <v>41</v>
      </c>
      <c r="I200" s="269"/>
      <c r="J200" s="104">
        <v>103.5</v>
      </c>
      <c r="K200" s="272" t="s">
        <v>37</v>
      </c>
      <c r="L200" s="273"/>
      <c r="M200" s="100">
        <v>5.5</v>
      </c>
      <c r="N200" s="100">
        <v>0.4</v>
      </c>
      <c r="P200" s="125">
        <f t="shared" si="9"/>
        <v>103.5</v>
      </c>
      <c r="Q200" s="54" t="s">
        <v>267</v>
      </c>
      <c r="R200" s="48">
        <v>5.5</v>
      </c>
      <c r="S200" s="49">
        <v>0.4</v>
      </c>
      <c r="T200" s="50">
        <f t="shared" si="15"/>
        <v>0</v>
      </c>
      <c r="U200" s="9"/>
      <c r="V200" s="51">
        <v>15.1</v>
      </c>
      <c r="W200" s="51">
        <v>56.3</v>
      </c>
      <c r="X200" s="51">
        <v>32.1</v>
      </c>
      <c r="Y200" s="51"/>
      <c r="Z200" s="51"/>
      <c r="AA200" s="51"/>
      <c r="AB200" s="51"/>
      <c r="AC200" s="51"/>
      <c r="AD200" s="51"/>
      <c r="AE200" s="51"/>
      <c r="AF200" s="51"/>
      <c r="AG200" s="51"/>
      <c r="AH200" s="51"/>
      <c r="AI200" s="51"/>
      <c r="AJ200" s="51"/>
      <c r="AK200" s="51"/>
      <c r="AL200" s="51"/>
      <c r="AM200" s="51"/>
      <c r="AN200" s="51"/>
      <c r="AO200" s="51"/>
      <c r="AP200" s="51"/>
      <c r="AQ200" s="51"/>
      <c r="AR200" s="51"/>
      <c r="AS200" s="51"/>
      <c r="AT200" s="51"/>
      <c r="AU200" s="51"/>
      <c r="AV200" s="51"/>
      <c r="AW200" s="51"/>
      <c r="AX200" s="51"/>
      <c r="AY200" s="51"/>
      <c r="AZ200" s="51"/>
      <c r="BA200" s="51"/>
      <c r="BB200" s="51"/>
      <c r="BC200" s="51"/>
      <c r="BD200" s="51"/>
      <c r="BE200" s="51"/>
      <c r="BF200" s="51"/>
      <c r="BG200" s="51"/>
      <c r="BH200" s="51"/>
      <c r="BI200" s="51"/>
      <c r="BJ200" s="51"/>
      <c r="BK200" s="51"/>
      <c r="BL200" s="51"/>
      <c r="BM200" s="51"/>
      <c r="BN200" s="51"/>
      <c r="BO200" s="51"/>
      <c r="BP200" s="51"/>
      <c r="BQ200" s="51"/>
      <c r="BR200" s="9">
        <f t="shared" si="16"/>
        <v>3</v>
      </c>
      <c r="BS200" s="9"/>
      <c r="BT200" s="53" t="str">
        <f t="shared" si="17"/>
        <v>Dhofar 1673/ 1983/ 1984</v>
      </c>
      <c r="BU200" s="101" t="s">
        <v>230</v>
      </c>
    </row>
    <row r="201" spans="1:73" s="42" customFormat="1" ht="12.75" customHeight="1" x14ac:dyDescent="0.25">
      <c r="A201"/>
      <c r="B201" s="97">
        <f t="shared" si="14"/>
        <v>73</v>
      </c>
      <c r="C201" s="265" t="str">
        <f>HYPERLINK("https://sites.wustl.edu/meteoritesite/items/lm_nwa_11851/",Q201)</f>
        <v>Northwest Africa 11851</v>
      </c>
      <c r="D201" s="266"/>
      <c r="E201" s="266"/>
      <c r="F201" s="266"/>
      <c r="G201" s="98">
        <v>2018</v>
      </c>
      <c r="H201" s="267" t="s">
        <v>724</v>
      </c>
      <c r="I201" s="268"/>
      <c r="J201" s="99">
        <v>227</v>
      </c>
      <c r="K201" s="212" t="s">
        <v>58</v>
      </c>
      <c r="L201" s="213"/>
      <c r="M201" s="100">
        <v>5.8</v>
      </c>
      <c r="N201" s="100">
        <v>1.5</v>
      </c>
      <c r="P201" s="125">
        <f>SUM(V201:BQ201)</f>
        <v>227</v>
      </c>
      <c r="Q201" s="54" t="s">
        <v>284</v>
      </c>
      <c r="R201" s="48">
        <v>5.8</v>
      </c>
      <c r="S201" s="49">
        <v>1.5</v>
      </c>
      <c r="T201" s="50">
        <f t="shared" si="15"/>
        <v>0</v>
      </c>
      <c r="U201" s="9"/>
      <c r="V201" s="51">
        <v>227</v>
      </c>
      <c r="W201" s="51"/>
      <c r="X201" s="51"/>
      <c r="Y201" s="51"/>
      <c r="Z201" s="51"/>
      <c r="AA201" s="51"/>
      <c r="AB201" s="51"/>
      <c r="AC201" s="51"/>
      <c r="AD201" s="51"/>
      <c r="AE201" s="51"/>
      <c r="AF201" s="51"/>
      <c r="AG201" s="51"/>
      <c r="AH201" s="51"/>
      <c r="AI201" s="51"/>
      <c r="AJ201" s="51"/>
      <c r="AK201" s="51"/>
      <c r="AL201" s="51"/>
      <c r="AM201" s="51"/>
      <c r="AN201" s="51"/>
      <c r="AO201" s="51"/>
      <c r="AP201" s="51"/>
      <c r="AQ201" s="51"/>
      <c r="AR201" s="51"/>
      <c r="AS201" s="51"/>
      <c r="AT201" s="51"/>
      <c r="AU201" s="51"/>
      <c r="AV201" s="51"/>
      <c r="AW201" s="51"/>
      <c r="AX201" s="51"/>
      <c r="AY201" s="51"/>
      <c r="AZ201" s="51"/>
      <c r="BA201" s="51"/>
      <c r="BB201" s="51"/>
      <c r="BC201" s="51"/>
      <c r="BD201" s="51"/>
      <c r="BE201" s="51"/>
      <c r="BF201" s="51"/>
      <c r="BG201" s="51"/>
      <c r="BH201" s="51"/>
      <c r="BI201" s="51"/>
      <c r="BJ201" s="51"/>
      <c r="BK201" s="51"/>
      <c r="BL201" s="51"/>
      <c r="BM201" s="51"/>
      <c r="BN201" s="51"/>
      <c r="BO201" s="51"/>
      <c r="BP201" s="51"/>
      <c r="BQ201" s="51"/>
      <c r="BR201" s="9">
        <f t="shared" si="16"/>
        <v>1</v>
      </c>
      <c r="BS201" s="9"/>
      <c r="BT201" s="53" t="str">
        <f t="shared" si="17"/>
        <v>Northwest Africa 11851</v>
      </c>
      <c r="BU201" s="101" t="s">
        <v>230</v>
      </c>
    </row>
    <row r="202" spans="1:73" s="42" customFormat="1" ht="12.75" customHeight="1" x14ac:dyDescent="0.25">
      <c r="A202"/>
      <c r="B202" s="97">
        <f t="shared" si="14"/>
        <v>74</v>
      </c>
      <c r="C202" s="265" t="str">
        <f>HYPERLINK("https://sites.wustl.edu/meteoritesite/items/lm_nwa_10509_clan/",Q202)</f>
        <v>Northwest Africa 10509/ 10798/ 10986/ La'gad 003</v>
      </c>
      <c r="D202" s="266"/>
      <c r="E202" s="266"/>
      <c r="F202" s="266"/>
      <c r="G202" s="98" t="s">
        <v>468</v>
      </c>
      <c r="H202" s="267" t="s">
        <v>396</v>
      </c>
      <c r="I202" s="268"/>
      <c r="J202" s="105">
        <v>28335.8</v>
      </c>
      <c r="K202" s="212" t="s">
        <v>44</v>
      </c>
      <c r="L202" s="213"/>
      <c r="M202" s="100">
        <v>5.8</v>
      </c>
      <c r="N202" s="100">
        <v>0.4</v>
      </c>
      <c r="P202" s="130">
        <f t="shared" ref="P202:P225" si="18">SUM(V202:BQ202)</f>
        <v>28335.8</v>
      </c>
      <c r="Q202" s="54" t="s">
        <v>513</v>
      </c>
      <c r="R202" s="48">
        <v>5.8</v>
      </c>
      <c r="S202" s="49">
        <v>0.4</v>
      </c>
      <c r="T202" s="50">
        <f t="shared" si="15"/>
        <v>0</v>
      </c>
      <c r="U202" s="9"/>
      <c r="V202" s="51">
        <v>660</v>
      </c>
      <c r="W202" s="51">
        <v>318.60000000000002</v>
      </c>
      <c r="X202" s="51">
        <v>108.2</v>
      </c>
      <c r="Y202" s="51">
        <v>27249</v>
      </c>
      <c r="Z202" s="51"/>
      <c r="AA202" s="51"/>
      <c r="AB202" s="51"/>
      <c r="AC202" s="51"/>
      <c r="AD202" s="51"/>
      <c r="AE202" s="51"/>
      <c r="AF202" s="51"/>
      <c r="AG202" s="51"/>
      <c r="AH202" s="51"/>
      <c r="AI202" s="51"/>
      <c r="AJ202" s="51"/>
      <c r="AK202" s="51"/>
      <c r="AL202" s="51"/>
      <c r="AM202" s="51"/>
      <c r="AN202" s="51"/>
      <c r="AO202" s="51"/>
      <c r="AP202" s="51"/>
      <c r="AQ202" s="51"/>
      <c r="AR202" s="51"/>
      <c r="AS202" s="51"/>
      <c r="AT202" s="51"/>
      <c r="AU202" s="51"/>
      <c r="AV202" s="51"/>
      <c r="AW202" s="51"/>
      <c r="AX202" s="51"/>
      <c r="AY202" s="51"/>
      <c r="AZ202" s="51"/>
      <c r="BA202" s="51"/>
      <c r="BB202" s="51"/>
      <c r="BC202" s="51"/>
      <c r="BD202" s="51"/>
      <c r="BE202" s="51"/>
      <c r="BF202" s="51"/>
      <c r="BG202" s="51"/>
      <c r="BH202" s="51"/>
      <c r="BI202" s="51"/>
      <c r="BJ202" s="51"/>
      <c r="BK202" s="51"/>
      <c r="BL202" s="51"/>
      <c r="BM202" s="51"/>
      <c r="BN202" s="51"/>
      <c r="BO202" s="51"/>
      <c r="BP202" s="51"/>
      <c r="BQ202" s="51"/>
      <c r="BR202" s="9">
        <f t="shared" si="16"/>
        <v>4</v>
      </c>
      <c r="BS202" s="9"/>
      <c r="BT202" s="53" t="str">
        <f t="shared" si="17"/>
        <v>Northwest Africa 10509/ 10798/ 10986/ La'gad 003</v>
      </c>
      <c r="BU202" s="101" t="s">
        <v>230</v>
      </c>
    </row>
    <row r="203" spans="1:73" s="42" customFormat="1" ht="12.75" customHeight="1" x14ac:dyDescent="0.25">
      <c r="A203"/>
      <c r="B203" s="97">
        <f t="shared" si="14"/>
        <v>75</v>
      </c>
      <c r="C203" s="265" t="str">
        <f>HYPERLINK("https://sites.wustl.edu/meteoritesite/items/lm_dho_1436_1443/",Q203)</f>
        <v>Dhofar 1436/ 1443</v>
      </c>
      <c r="D203" s="266"/>
      <c r="E203" s="266"/>
      <c r="F203" s="266"/>
      <c r="G203" s="98" t="s">
        <v>60</v>
      </c>
      <c r="H203" s="269" t="s">
        <v>616</v>
      </c>
      <c r="I203" s="269"/>
      <c r="J203" s="104">
        <v>60.9</v>
      </c>
      <c r="K203" s="272" t="s">
        <v>37</v>
      </c>
      <c r="L203" s="273"/>
      <c r="M203" s="100">
        <v>5.6</v>
      </c>
      <c r="N203" s="100">
        <v>0.4</v>
      </c>
      <c r="P203" s="125">
        <f t="shared" si="18"/>
        <v>60.900000000000006</v>
      </c>
      <c r="Q203" s="54" t="s">
        <v>268</v>
      </c>
      <c r="R203" s="48">
        <v>5.6</v>
      </c>
      <c r="S203" s="49">
        <v>0.4</v>
      </c>
      <c r="T203" s="50">
        <f t="shared" si="15"/>
        <v>0</v>
      </c>
      <c r="U203" s="9"/>
      <c r="V203" s="51">
        <v>24.2</v>
      </c>
      <c r="W203" s="51">
        <v>36.700000000000003</v>
      </c>
      <c r="X203" s="51"/>
      <c r="Y203" s="51"/>
      <c r="Z203" s="51"/>
      <c r="AA203" s="51"/>
      <c r="AB203" s="51"/>
      <c r="AC203" s="51"/>
      <c r="AD203" s="51"/>
      <c r="AE203" s="51"/>
      <c r="AF203" s="51"/>
      <c r="AG203" s="51"/>
      <c r="AH203" s="51"/>
      <c r="AI203" s="51"/>
      <c r="AJ203" s="51"/>
      <c r="AK203" s="51"/>
      <c r="AL203" s="51"/>
      <c r="AM203" s="51"/>
      <c r="AN203" s="51"/>
      <c r="AO203" s="51"/>
      <c r="AP203" s="51"/>
      <c r="AQ203" s="51"/>
      <c r="AR203" s="51"/>
      <c r="AS203" s="51"/>
      <c r="AT203" s="51"/>
      <c r="AU203" s="51"/>
      <c r="AV203" s="51"/>
      <c r="AW203" s="51"/>
      <c r="AX203" s="51"/>
      <c r="AY203" s="51"/>
      <c r="AZ203" s="51"/>
      <c r="BA203" s="51"/>
      <c r="BB203" s="51"/>
      <c r="BC203" s="51"/>
      <c r="BD203" s="51"/>
      <c r="BE203" s="51"/>
      <c r="BF203" s="51"/>
      <c r="BG203" s="51"/>
      <c r="BH203" s="51"/>
      <c r="BI203" s="51"/>
      <c r="BJ203" s="51"/>
      <c r="BK203" s="51"/>
      <c r="BL203" s="51"/>
      <c r="BM203" s="51"/>
      <c r="BN203" s="51"/>
      <c r="BO203" s="51"/>
      <c r="BP203" s="51"/>
      <c r="BQ203" s="51"/>
      <c r="BR203" s="9">
        <f t="shared" si="16"/>
        <v>2</v>
      </c>
      <c r="BS203" s="9"/>
      <c r="BT203" s="53" t="str">
        <f t="shared" si="17"/>
        <v>Dhofar 1436/ 1443</v>
      </c>
      <c r="BU203" s="101" t="s">
        <v>230</v>
      </c>
    </row>
    <row r="204" spans="1:73" s="42" customFormat="1" ht="12.75" customHeight="1" x14ac:dyDescent="0.25">
      <c r="A204"/>
      <c r="B204" s="97">
        <f t="shared" si="14"/>
        <v>76</v>
      </c>
      <c r="C204" s="265" t="str">
        <f>HYPERLINK("https://sites.wustl.edu/meteoritesite/items/lm-dho_1769/",Q204)</f>
        <v>Dhofar 1769</v>
      </c>
      <c r="D204" s="266"/>
      <c r="E204" s="266"/>
      <c r="F204" s="266"/>
      <c r="G204" s="98">
        <v>2012</v>
      </c>
      <c r="H204" s="269" t="s">
        <v>41</v>
      </c>
      <c r="I204" s="269"/>
      <c r="J204" s="104">
        <v>125.4</v>
      </c>
      <c r="K204" s="272" t="s">
        <v>37</v>
      </c>
      <c r="L204" s="273"/>
      <c r="M204" s="100">
        <v>6</v>
      </c>
      <c r="N204" s="100">
        <v>4.0999999999999996</v>
      </c>
      <c r="P204" s="125">
        <f t="shared" si="18"/>
        <v>125.4</v>
      </c>
      <c r="Q204" s="54" t="s">
        <v>149</v>
      </c>
      <c r="R204" s="48">
        <v>6</v>
      </c>
      <c r="S204" s="49">
        <v>4.0999999999999996</v>
      </c>
      <c r="T204" s="50">
        <f t="shared" si="15"/>
        <v>0</v>
      </c>
      <c r="U204" s="9"/>
      <c r="V204" s="51">
        <v>125.4</v>
      </c>
      <c r="W204" s="51"/>
      <c r="X204" s="51"/>
      <c r="Y204" s="51"/>
      <c r="Z204" s="51"/>
      <c r="AA204" s="51"/>
      <c r="AB204" s="51"/>
      <c r="AC204" s="51"/>
      <c r="AD204" s="51"/>
      <c r="AE204" s="51"/>
      <c r="AF204" s="51"/>
      <c r="AG204" s="51"/>
      <c r="AH204" s="51"/>
      <c r="AI204" s="51"/>
      <c r="AJ204" s="51"/>
      <c r="AK204" s="51"/>
      <c r="AL204" s="51"/>
      <c r="AM204" s="51"/>
      <c r="AN204" s="51"/>
      <c r="AO204" s="51"/>
      <c r="AP204" s="51"/>
      <c r="AQ204" s="51"/>
      <c r="AR204" s="51"/>
      <c r="AS204" s="51"/>
      <c r="AT204" s="51"/>
      <c r="AU204" s="51"/>
      <c r="AV204" s="51"/>
      <c r="AW204" s="51"/>
      <c r="AX204" s="51"/>
      <c r="AY204" s="51"/>
      <c r="AZ204" s="51"/>
      <c r="BA204" s="51"/>
      <c r="BB204" s="51"/>
      <c r="BC204" s="51"/>
      <c r="BD204" s="51"/>
      <c r="BE204" s="51"/>
      <c r="BF204" s="51"/>
      <c r="BG204" s="51"/>
      <c r="BH204" s="51"/>
      <c r="BI204" s="51"/>
      <c r="BJ204" s="51"/>
      <c r="BK204" s="51"/>
      <c r="BL204" s="51"/>
      <c r="BM204" s="51"/>
      <c r="BN204" s="51"/>
      <c r="BO204" s="51"/>
      <c r="BP204" s="51"/>
      <c r="BQ204" s="51"/>
      <c r="BR204" s="9">
        <f t="shared" si="16"/>
        <v>1</v>
      </c>
      <c r="BS204" s="9"/>
      <c r="BT204" s="53" t="str">
        <f t="shared" si="17"/>
        <v>Dhofar 1769</v>
      </c>
      <c r="BU204" s="101" t="s">
        <v>230</v>
      </c>
    </row>
    <row r="205" spans="1:73" s="42" customFormat="1" ht="12.75" customHeight="1" x14ac:dyDescent="0.25">
      <c r="A205"/>
      <c r="B205" s="97">
        <f t="shared" si="14"/>
        <v>77</v>
      </c>
      <c r="C205" s="265" t="str">
        <f>HYPERLINK("https://sites.wustl.edu/meteoritesite/items/lm_nwa_3163_clan/",Q205)</f>
        <v>Northwest Africa 3163/ 4483/ 4881/ 6275</v>
      </c>
      <c r="D205" s="266"/>
      <c r="E205" s="266"/>
      <c r="F205" s="266"/>
      <c r="G205" s="98">
        <v>2005</v>
      </c>
      <c r="H205" s="267" t="s">
        <v>46</v>
      </c>
      <c r="I205" s="268"/>
      <c r="J205" s="99">
        <v>2449.3000000000002</v>
      </c>
      <c r="K205" s="212" t="s">
        <v>61</v>
      </c>
      <c r="L205" s="213"/>
      <c r="M205" s="100">
        <v>5.4</v>
      </c>
      <c r="N205" s="102">
        <v>0.11</v>
      </c>
      <c r="P205" s="125">
        <f t="shared" si="18"/>
        <v>2449.3000000000002</v>
      </c>
      <c r="Q205" s="54" t="s">
        <v>270</v>
      </c>
      <c r="R205" s="48">
        <v>5.4</v>
      </c>
      <c r="S205" s="49">
        <v>0.11</v>
      </c>
      <c r="T205" s="50">
        <f t="shared" si="15"/>
        <v>0</v>
      </c>
      <c r="U205" s="9"/>
      <c r="V205" s="51">
        <v>1634</v>
      </c>
      <c r="W205" s="51">
        <v>208</v>
      </c>
      <c r="X205" s="51">
        <v>606</v>
      </c>
      <c r="Y205" s="51">
        <v>1.3</v>
      </c>
      <c r="Z205" s="51"/>
      <c r="AA205" s="51"/>
      <c r="AB205" s="51"/>
      <c r="AC205" s="51"/>
      <c r="AD205" s="51"/>
      <c r="AE205" s="51"/>
      <c r="AF205" s="51"/>
      <c r="AG205" s="51"/>
      <c r="AH205" s="51"/>
      <c r="AI205" s="51"/>
      <c r="AJ205" s="51"/>
      <c r="AK205" s="51"/>
      <c r="AL205" s="51"/>
      <c r="AM205" s="51"/>
      <c r="AN205" s="51"/>
      <c r="AO205" s="51"/>
      <c r="AP205" s="51"/>
      <c r="AQ205" s="51"/>
      <c r="AR205" s="51"/>
      <c r="AS205" s="51"/>
      <c r="AT205" s="51"/>
      <c r="AU205" s="51"/>
      <c r="AV205" s="51"/>
      <c r="AW205" s="51"/>
      <c r="AX205" s="51"/>
      <c r="AY205" s="51"/>
      <c r="AZ205" s="51"/>
      <c r="BA205" s="51"/>
      <c r="BB205" s="51"/>
      <c r="BC205" s="51"/>
      <c r="BD205" s="51"/>
      <c r="BE205" s="51"/>
      <c r="BF205" s="51"/>
      <c r="BG205" s="51"/>
      <c r="BH205" s="51"/>
      <c r="BI205" s="51"/>
      <c r="BJ205" s="51"/>
      <c r="BK205" s="51"/>
      <c r="BL205" s="51"/>
      <c r="BM205" s="51"/>
      <c r="BN205" s="51"/>
      <c r="BO205" s="51"/>
      <c r="BP205" s="51"/>
      <c r="BQ205" s="51"/>
      <c r="BR205" s="9">
        <f t="shared" si="16"/>
        <v>4</v>
      </c>
      <c r="BS205" s="9"/>
      <c r="BT205" s="53" t="str">
        <f t="shared" si="17"/>
        <v>Northwest Africa 3163/ 4483/ 4881/ 6275</v>
      </c>
      <c r="BU205" s="101" t="s">
        <v>230</v>
      </c>
    </row>
    <row r="206" spans="1:73" s="42" customFormat="1" ht="12.75" customHeight="1" x14ac:dyDescent="0.25">
      <c r="A206"/>
      <c r="B206" s="97">
        <f t="shared" si="14"/>
        <v>78</v>
      </c>
      <c r="C206" s="265" t="str">
        <f>HYPERLINK("https://sites.wustl.edu/meteoritesite/items/lm_nwa_10626/",Q206)</f>
        <v>Northwest Africa 10626</v>
      </c>
      <c r="D206" s="266"/>
      <c r="E206" s="266"/>
      <c r="F206" s="266"/>
      <c r="G206" s="98">
        <v>2015</v>
      </c>
      <c r="H206" s="267" t="s">
        <v>38</v>
      </c>
      <c r="I206" s="268"/>
      <c r="J206" s="99">
        <v>1849</v>
      </c>
      <c r="K206" s="212" t="s">
        <v>39</v>
      </c>
      <c r="L206" s="213"/>
      <c r="M206" s="100">
        <v>5.8</v>
      </c>
      <c r="N206" s="100">
        <v>0.3</v>
      </c>
      <c r="P206" s="125">
        <f t="shared" si="18"/>
        <v>1849</v>
      </c>
      <c r="Q206" s="54" t="s">
        <v>241</v>
      </c>
      <c r="R206" s="48">
        <v>5.8</v>
      </c>
      <c r="S206" s="49">
        <v>0.3</v>
      </c>
      <c r="T206" s="50">
        <f t="shared" si="15"/>
        <v>0</v>
      </c>
      <c r="U206" s="9"/>
      <c r="V206" s="51">
        <v>1849</v>
      </c>
      <c r="W206" s="51"/>
      <c r="X206" s="51"/>
      <c r="Y206" s="51"/>
      <c r="Z206" s="51"/>
      <c r="AA206" s="51"/>
      <c r="AB206" s="51"/>
      <c r="AC206" s="51"/>
      <c r="AD206" s="51"/>
      <c r="AE206" s="51"/>
      <c r="AF206" s="51"/>
      <c r="AG206" s="51"/>
      <c r="AH206" s="51"/>
      <c r="AI206" s="51"/>
      <c r="AJ206" s="51"/>
      <c r="AK206" s="51"/>
      <c r="AL206" s="51"/>
      <c r="AM206" s="51"/>
      <c r="AN206" s="51"/>
      <c r="AO206" s="51"/>
      <c r="AP206" s="51"/>
      <c r="AQ206" s="51"/>
      <c r="AR206" s="51"/>
      <c r="AS206" s="51"/>
      <c r="AT206" s="51"/>
      <c r="AU206" s="51"/>
      <c r="AV206" s="51"/>
      <c r="AW206" s="51"/>
      <c r="AX206" s="51"/>
      <c r="AY206" s="51"/>
      <c r="AZ206" s="51"/>
      <c r="BA206" s="51"/>
      <c r="BB206" s="51"/>
      <c r="BC206" s="51"/>
      <c r="BD206" s="51"/>
      <c r="BE206" s="51"/>
      <c r="BF206" s="51"/>
      <c r="BG206" s="51"/>
      <c r="BH206" s="51"/>
      <c r="BI206" s="51"/>
      <c r="BJ206" s="51"/>
      <c r="BK206" s="51"/>
      <c r="BL206" s="51"/>
      <c r="BM206" s="51"/>
      <c r="BN206" s="51"/>
      <c r="BO206" s="51"/>
      <c r="BP206" s="51"/>
      <c r="BQ206" s="51"/>
      <c r="BR206" s="9">
        <f t="shared" si="16"/>
        <v>1</v>
      </c>
      <c r="BS206" s="9"/>
      <c r="BT206" s="53" t="str">
        <f t="shared" si="17"/>
        <v>Northwest Africa 10626</v>
      </c>
      <c r="BU206" s="101" t="s">
        <v>230</v>
      </c>
    </row>
    <row r="207" spans="1:73" s="42" customFormat="1" ht="12.75" customHeight="1" x14ac:dyDescent="0.25">
      <c r="A207"/>
      <c r="B207" s="97">
        <f t="shared" si="14"/>
        <v>79</v>
      </c>
      <c r="C207" s="265" t="str">
        <f>HYPERLINK("https://sites.wustl.edu/meteoritesite/items/lm_nwa_unn_133/",Q207)</f>
        <v>[unnamed 133]</v>
      </c>
      <c r="D207" s="266"/>
      <c r="E207" s="266"/>
      <c r="F207" s="266"/>
      <c r="G207" s="98">
        <v>2017</v>
      </c>
      <c r="H207" s="267" t="s">
        <v>34</v>
      </c>
      <c r="I207" s="268"/>
      <c r="J207" s="104" t="s">
        <v>40</v>
      </c>
      <c r="K207" s="212" t="s">
        <v>39</v>
      </c>
      <c r="L207" s="213"/>
      <c r="M207" s="100">
        <v>5.6</v>
      </c>
      <c r="N207" s="100">
        <v>1</v>
      </c>
      <c r="P207" s="125">
        <f t="shared" si="18"/>
        <v>0</v>
      </c>
      <c r="Q207" s="54" t="s">
        <v>223</v>
      </c>
      <c r="R207" s="48">
        <v>5.6</v>
      </c>
      <c r="S207" s="49">
        <v>1</v>
      </c>
      <c r="T207" s="50"/>
      <c r="U207" s="9"/>
      <c r="V207" s="51"/>
      <c r="W207" s="51"/>
      <c r="X207" s="51"/>
      <c r="Y207" s="51"/>
      <c r="Z207" s="51"/>
      <c r="AA207" s="51"/>
      <c r="AB207" s="51"/>
      <c r="AC207" s="51"/>
      <c r="AD207" s="51"/>
      <c r="AE207" s="51"/>
      <c r="AF207" s="51"/>
      <c r="AG207" s="51"/>
      <c r="AH207" s="51"/>
      <c r="AI207" s="51"/>
      <c r="AJ207" s="51"/>
      <c r="AK207" s="51"/>
      <c r="AL207" s="51"/>
      <c r="AM207" s="51"/>
      <c r="AN207" s="51"/>
      <c r="AO207" s="51"/>
      <c r="AP207" s="51"/>
      <c r="AQ207" s="51"/>
      <c r="AR207" s="51"/>
      <c r="AS207" s="51"/>
      <c r="AT207" s="51"/>
      <c r="AU207" s="51"/>
      <c r="AV207" s="51"/>
      <c r="AW207" s="51"/>
      <c r="AX207" s="51"/>
      <c r="AY207" s="51"/>
      <c r="AZ207" s="51"/>
      <c r="BA207" s="51"/>
      <c r="BB207" s="51"/>
      <c r="BC207" s="51"/>
      <c r="BD207" s="51"/>
      <c r="BE207" s="51"/>
      <c r="BF207" s="51"/>
      <c r="BG207" s="51"/>
      <c r="BH207" s="51"/>
      <c r="BI207" s="51"/>
      <c r="BJ207" s="51"/>
      <c r="BK207" s="51"/>
      <c r="BL207" s="51"/>
      <c r="BM207" s="51"/>
      <c r="BN207" s="51"/>
      <c r="BO207" s="51"/>
      <c r="BP207" s="51"/>
      <c r="BQ207" s="51"/>
      <c r="BR207" s="9">
        <f t="shared" si="16"/>
        <v>0</v>
      </c>
      <c r="BS207" s="9"/>
      <c r="BT207" s="53" t="str">
        <f t="shared" si="17"/>
        <v>[unnamed 133]</v>
      </c>
      <c r="BU207" s="101" t="s">
        <v>230</v>
      </c>
    </row>
    <row r="208" spans="1:73" s="42" customFormat="1" ht="12.75" customHeight="1" x14ac:dyDescent="0.25">
      <c r="A208"/>
      <c r="B208" s="97">
        <f t="shared" si="14"/>
        <v>80</v>
      </c>
      <c r="C208" s="265" t="str">
        <f>HYPERLINK("https://sites.wustl.edu/meteoritesite/items/lm_nwa_06888/",Q208)</f>
        <v>Northwest Africa 6888</v>
      </c>
      <c r="D208" s="266"/>
      <c r="E208" s="266"/>
      <c r="F208" s="266"/>
      <c r="G208" s="98">
        <v>2011</v>
      </c>
      <c r="H208" s="269" t="s">
        <v>41</v>
      </c>
      <c r="I208" s="269"/>
      <c r="J208" s="99">
        <v>208</v>
      </c>
      <c r="K208" s="212" t="s">
        <v>39</v>
      </c>
      <c r="L208" s="213"/>
      <c r="M208" s="100">
        <v>5.7</v>
      </c>
      <c r="N208" s="100">
        <v>0.7</v>
      </c>
      <c r="P208" s="125">
        <f t="shared" si="18"/>
        <v>208</v>
      </c>
      <c r="Q208" s="54" t="s">
        <v>207</v>
      </c>
      <c r="R208" s="48">
        <v>5.7</v>
      </c>
      <c r="S208" s="49">
        <v>0.7</v>
      </c>
      <c r="T208" s="50">
        <f t="shared" si="15"/>
        <v>0</v>
      </c>
      <c r="U208" s="9"/>
      <c r="V208" s="51">
        <v>208</v>
      </c>
      <c r="W208" s="51"/>
      <c r="X208" s="51"/>
      <c r="Y208" s="51"/>
      <c r="Z208" s="51"/>
      <c r="AA208" s="51"/>
      <c r="AB208" s="51"/>
      <c r="AC208" s="51"/>
      <c r="AD208" s="51"/>
      <c r="AE208" s="51"/>
      <c r="AF208" s="51"/>
      <c r="AG208" s="51"/>
      <c r="AH208" s="51"/>
      <c r="AI208" s="51"/>
      <c r="AJ208" s="51"/>
      <c r="AK208" s="51"/>
      <c r="AL208" s="51"/>
      <c r="AM208" s="51"/>
      <c r="AN208" s="51"/>
      <c r="AO208" s="51"/>
      <c r="AP208" s="51"/>
      <c r="AQ208" s="51"/>
      <c r="AR208" s="51"/>
      <c r="AS208" s="51"/>
      <c r="AT208" s="51"/>
      <c r="AU208" s="51"/>
      <c r="AV208" s="51"/>
      <c r="AW208" s="51"/>
      <c r="AX208" s="51"/>
      <c r="AY208" s="51"/>
      <c r="AZ208" s="51"/>
      <c r="BA208" s="51"/>
      <c r="BB208" s="51"/>
      <c r="BC208" s="51"/>
      <c r="BD208" s="51"/>
      <c r="BE208" s="51"/>
      <c r="BF208" s="51"/>
      <c r="BG208" s="51"/>
      <c r="BH208" s="51"/>
      <c r="BI208" s="51"/>
      <c r="BJ208" s="51"/>
      <c r="BK208" s="51"/>
      <c r="BL208" s="51"/>
      <c r="BM208" s="51"/>
      <c r="BN208" s="51"/>
      <c r="BO208" s="51"/>
      <c r="BP208" s="51"/>
      <c r="BQ208" s="51"/>
      <c r="BR208" s="9">
        <f t="shared" si="16"/>
        <v>1</v>
      </c>
      <c r="BS208" s="9"/>
      <c r="BT208" s="53" t="str">
        <f t="shared" si="17"/>
        <v>Northwest Africa 6888</v>
      </c>
      <c r="BU208" s="101" t="s">
        <v>230</v>
      </c>
    </row>
    <row r="209" spans="1:73" s="42" customFormat="1" ht="12.75" customHeight="1" x14ac:dyDescent="0.25">
      <c r="A209"/>
      <c r="B209" s="97">
        <f t="shared" si="14"/>
        <v>81</v>
      </c>
      <c r="C209" s="265" t="str">
        <f>HYPERLINK("https://sites.wustl.edu/meteoritesite/items/lm_yamato_791197/",Q209)</f>
        <v>Yamato 791197</v>
      </c>
      <c r="D209" s="266"/>
      <c r="E209" s="266"/>
      <c r="F209" s="266"/>
      <c r="G209" s="98">
        <v>1979</v>
      </c>
      <c r="H209" s="269" t="s">
        <v>41</v>
      </c>
      <c r="I209" s="269"/>
      <c r="J209" s="98">
        <v>52.4</v>
      </c>
      <c r="K209" s="270" t="s">
        <v>42</v>
      </c>
      <c r="L209" s="271"/>
      <c r="M209" s="100">
        <v>5.9</v>
      </c>
      <c r="N209" s="100">
        <v>0.3</v>
      </c>
      <c r="P209" s="125">
        <f t="shared" si="18"/>
        <v>52.4</v>
      </c>
      <c r="Q209" s="54" t="s">
        <v>162</v>
      </c>
      <c r="R209" s="48">
        <v>5.9</v>
      </c>
      <c r="S209" s="49">
        <v>0.3</v>
      </c>
      <c r="T209" s="50">
        <f t="shared" si="15"/>
        <v>0</v>
      </c>
      <c r="U209" s="9"/>
      <c r="V209" s="51">
        <v>52.4</v>
      </c>
      <c r="W209" s="52"/>
      <c r="X209" s="52"/>
      <c r="Y209" s="51"/>
      <c r="Z209" s="51"/>
      <c r="AA209" s="51"/>
      <c r="AB209" s="51"/>
      <c r="AC209" s="51"/>
      <c r="AD209" s="51"/>
      <c r="AE209" s="51"/>
      <c r="AF209" s="51"/>
      <c r="AG209" s="51"/>
      <c r="AH209" s="51"/>
      <c r="AI209" s="51"/>
      <c r="AJ209" s="51"/>
      <c r="AK209" s="51"/>
      <c r="AL209" s="51"/>
      <c r="AM209" s="51"/>
      <c r="AN209" s="51"/>
      <c r="AO209" s="51"/>
      <c r="AP209" s="51"/>
      <c r="AQ209" s="51"/>
      <c r="AR209" s="51"/>
      <c r="AS209" s="51"/>
      <c r="AT209" s="51"/>
      <c r="AU209" s="51"/>
      <c r="AV209" s="51"/>
      <c r="AW209" s="51"/>
      <c r="AX209" s="51"/>
      <c r="AY209" s="51"/>
      <c r="AZ209" s="51"/>
      <c r="BA209" s="51"/>
      <c r="BB209" s="51"/>
      <c r="BC209" s="51"/>
      <c r="BD209" s="51"/>
      <c r="BE209" s="51"/>
      <c r="BF209" s="51"/>
      <c r="BG209" s="51"/>
      <c r="BH209" s="51"/>
      <c r="BI209" s="51"/>
      <c r="BJ209" s="51"/>
      <c r="BK209" s="51"/>
      <c r="BL209" s="51"/>
      <c r="BM209" s="51"/>
      <c r="BN209" s="51"/>
      <c r="BO209" s="51"/>
      <c r="BP209" s="51"/>
      <c r="BQ209" s="51"/>
      <c r="BR209" s="9">
        <f t="shared" si="16"/>
        <v>1</v>
      </c>
      <c r="BS209" s="9"/>
      <c r="BT209" s="53" t="str">
        <f t="shared" si="17"/>
        <v>Yamato 791197</v>
      </c>
      <c r="BU209" s="101" t="s">
        <v>230</v>
      </c>
    </row>
    <row r="210" spans="1:73" s="42" customFormat="1" ht="12.75" customHeight="1" x14ac:dyDescent="0.25">
      <c r="A210"/>
      <c r="B210" s="97">
        <f t="shared" si="14"/>
        <v>82</v>
      </c>
      <c r="C210" s="265" t="str">
        <f>HYPERLINK("https://sites.wustl.edu/meteoritesite/items/lm_nwa_08455_clan/",Q210)</f>
        <v>Northwest Africa 8455/ 8607/ 8609/ 8651/ 8668/ 8727/ 8783/ 10130/ 10228/ 10621/ 10953/ La'gad/ [unnamed 58]/ [unnamed 59]/ [unnamed 95]</v>
      </c>
      <c r="D210" s="266"/>
      <c r="E210" s="266"/>
      <c r="F210" s="266"/>
      <c r="G210" s="98" t="s">
        <v>63</v>
      </c>
      <c r="H210" s="267" t="s">
        <v>38</v>
      </c>
      <c r="I210" s="268"/>
      <c r="J210" s="99">
        <v>6973.24</v>
      </c>
      <c r="K210" s="212" t="s">
        <v>39</v>
      </c>
      <c r="L210" s="213"/>
      <c r="M210" s="100">
        <v>6.2</v>
      </c>
      <c r="N210" s="100">
        <v>2.6</v>
      </c>
      <c r="P210" s="125">
        <f t="shared" si="18"/>
        <v>6973.24</v>
      </c>
      <c r="Q210" s="54" t="s">
        <v>272</v>
      </c>
      <c r="R210" s="48">
        <v>6.2</v>
      </c>
      <c r="S210" s="49">
        <v>2.6</v>
      </c>
      <c r="T210" s="50">
        <f t="shared" si="15"/>
        <v>0</v>
      </c>
      <c r="U210" s="9"/>
      <c r="V210" s="51">
        <v>2814</v>
      </c>
      <c r="W210" s="51">
        <v>261</v>
      </c>
      <c r="X210" s="51">
        <v>45</v>
      </c>
      <c r="Y210" s="51">
        <v>598</v>
      </c>
      <c r="Z210" s="51">
        <v>166.3</v>
      </c>
      <c r="AA210" s="51">
        <v>2436.3000000000002</v>
      </c>
      <c r="AB210" s="51">
        <v>27.5</v>
      </c>
      <c r="AC210" s="51">
        <v>191</v>
      </c>
      <c r="AD210" s="51">
        <v>19.399999999999999</v>
      </c>
      <c r="AE210" s="51">
        <v>22</v>
      </c>
      <c r="AF210" s="51"/>
      <c r="AG210" s="51">
        <v>55</v>
      </c>
      <c r="AH210" s="51">
        <v>337.74</v>
      </c>
      <c r="AI210" s="51"/>
      <c r="AJ210" s="51"/>
      <c r="AK210" s="51"/>
      <c r="AL210" s="51"/>
      <c r="AM210" s="51"/>
      <c r="AN210" s="51"/>
      <c r="AO210" s="51"/>
      <c r="AP210" s="51"/>
      <c r="AQ210" s="51"/>
      <c r="AR210" s="51"/>
      <c r="AS210" s="51"/>
      <c r="AT210" s="51"/>
      <c r="AU210" s="51"/>
      <c r="AV210" s="51"/>
      <c r="AW210" s="51"/>
      <c r="AX210" s="51"/>
      <c r="AY210" s="51"/>
      <c r="AZ210" s="51"/>
      <c r="BA210" s="51"/>
      <c r="BB210" s="51"/>
      <c r="BC210" s="51"/>
      <c r="BD210" s="51"/>
      <c r="BE210" s="51"/>
      <c r="BF210" s="51"/>
      <c r="BG210" s="51"/>
      <c r="BH210" s="51"/>
      <c r="BI210" s="51"/>
      <c r="BJ210" s="51"/>
      <c r="BK210" s="51"/>
      <c r="BL210" s="51"/>
      <c r="BM210" s="51"/>
      <c r="BN210" s="51"/>
      <c r="BO210" s="51"/>
      <c r="BP210" s="51"/>
      <c r="BQ210" s="51"/>
      <c r="BR210" s="9">
        <f t="shared" si="16"/>
        <v>12</v>
      </c>
      <c r="BS210" s="9"/>
      <c r="BT210" s="53" t="str">
        <f t="shared" si="17"/>
        <v>Northwest Africa 8455/ 8607/ 8609/ 8651/ 8668/ 8727/ 8783/ 10130/ 10228/ 10621/ 10953/ La'gad/ [unnamed 58]/ [unnamed 59]/ [unnamed 95]</v>
      </c>
      <c r="BU210" s="101" t="s">
        <v>230</v>
      </c>
    </row>
    <row r="211" spans="1:73" s="42" customFormat="1" ht="12.75" customHeight="1" x14ac:dyDescent="0.25">
      <c r="A211"/>
      <c r="B211" s="97">
        <f t="shared" si="14"/>
        <v>83</v>
      </c>
      <c r="C211" s="265" t="str">
        <f>HYPERLINK("https://sites.wustl.edu/meteoritesite/items/lm_nwa_11243/",Q211)</f>
        <v>Northwest Africa 11243/ [unnamed 111]</v>
      </c>
      <c r="D211" s="266"/>
      <c r="E211" s="266"/>
      <c r="F211" s="266"/>
      <c r="G211" s="98">
        <v>2016</v>
      </c>
      <c r="H211" s="267" t="s">
        <v>396</v>
      </c>
      <c r="I211" s="268"/>
      <c r="J211" s="99">
        <v>80</v>
      </c>
      <c r="K211" s="212" t="s">
        <v>39</v>
      </c>
      <c r="L211" s="213"/>
      <c r="M211" s="100">
        <v>5.7</v>
      </c>
      <c r="N211" s="100">
        <v>1.1000000000000001</v>
      </c>
      <c r="P211" s="125">
        <f t="shared" si="18"/>
        <v>80</v>
      </c>
      <c r="Q211" s="54" t="s">
        <v>269</v>
      </c>
      <c r="R211" s="48">
        <v>5.7</v>
      </c>
      <c r="S211" s="49">
        <v>1.1000000000000001</v>
      </c>
      <c r="T211" s="50">
        <f t="shared" si="15"/>
        <v>0</v>
      </c>
      <c r="U211" s="9"/>
      <c r="V211" s="51">
        <v>80</v>
      </c>
      <c r="W211" s="51"/>
      <c r="X211" s="51"/>
      <c r="Y211" s="51"/>
      <c r="Z211" s="51"/>
      <c r="AA211" s="51"/>
      <c r="AB211" s="51"/>
      <c r="AC211" s="51"/>
      <c r="AD211" s="51"/>
      <c r="AE211" s="51"/>
      <c r="AF211" s="51"/>
      <c r="AG211" s="51"/>
      <c r="AH211" s="51"/>
      <c r="AI211" s="51"/>
      <c r="AJ211" s="51"/>
      <c r="AK211" s="51"/>
      <c r="AL211" s="51"/>
      <c r="AM211" s="51"/>
      <c r="AN211" s="51"/>
      <c r="AO211" s="51"/>
      <c r="AP211" s="51"/>
      <c r="AQ211" s="51"/>
      <c r="AR211" s="51"/>
      <c r="AS211" s="51"/>
      <c r="AT211" s="51"/>
      <c r="AU211" s="51"/>
      <c r="AV211" s="51"/>
      <c r="AW211" s="51"/>
      <c r="AX211" s="51"/>
      <c r="AY211" s="51"/>
      <c r="AZ211" s="51"/>
      <c r="BA211" s="51"/>
      <c r="BB211" s="51"/>
      <c r="BC211" s="51"/>
      <c r="BD211" s="51"/>
      <c r="BE211" s="51"/>
      <c r="BF211" s="51"/>
      <c r="BG211" s="51"/>
      <c r="BH211" s="51"/>
      <c r="BI211" s="51"/>
      <c r="BJ211" s="51"/>
      <c r="BK211" s="51"/>
      <c r="BL211" s="51"/>
      <c r="BM211" s="51"/>
      <c r="BN211" s="51"/>
      <c r="BO211" s="51"/>
      <c r="BP211" s="51"/>
      <c r="BQ211" s="51"/>
      <c r="BR211" s="9">
        <f t="shared" si="16"/>
        <v>1</v>
      </c>
      <c r="BS211" s="9"/>
      <c r="BT211" s="53" t="str">
        <f t="shared" si="17"/>
        <v>Northwest Africa 11243/ [unnamed 111]</v>
      </c>
      <c r="BU211" s="101" t="s">
        <v>230</v>
      </c>
    </row>
    <row r="212" spans="1:73" s="42" customFormat="1" ht="12.75" customHeight="1" x14ac:dyDescent="0.25">
      <c r="A212"/>
      <c r="B212" s="97">
        <f t="shared" si="14"/>
        <v>84</v>
      </c>
      <c r="C212" s="265" t="str">
        <f>HYPERLINK("https://sites.wustl.edu/meteoritesite/items/lm_nwa_05744_clan/",Q212)</f>
        <v>Northwest Africa 5744/ 8599/ 8687/ 10140/ 10178/ 10318/ 10401/ 11252/ 12997?/ 14088?/ [unnamed 55]/ [unnamed 60]/ [unnamed 68]</v>
      </c>
      <c r="D212" s="266"/>
      <c r="E212" s="266"/>
      <c r="F212" s="266"/>
      <c r="G212" s="98" t="s">
        <v>222</v>
      </c>
      <c r="H212" s="267" t="s">
        <v>46</v>
      </c>
      <c r="I212" s="268"/>
      <c r="J212" s="99">
        <v>2584.2000000000003</v>
      </c>
      <c r="K212" s="212" t="s">
        <v>65</v>
      </c>
      <c r="L212" s="213"/>
      <c r="M212" s="100">
        <v>5.7</v>
      </c>
      <c r="N212" s="100">
        <v>0.1</v>
      </c>
      <c r="P212" s="130">
        <f t="shared" si="18"/>
        <v>2584.2000000000003</v>
      </c>
      <c r="Q212" s="54" t="s">
        <v>509</v>
      </c>
      <c r="R212" s="48">
        <v>5.7</v>
      </c>
      <c r="S212" s="49">
        <v>0.1</v>
      </c>
      <c r="T212" s="50">
        <f t="shared" si="15"/>
        <v>0</v>
      </c>
      <c r="U212" s="9"/>
      <c r="V212" s="51">
        <v>170</v>
      </c>
      <c r="W212" s="51">
        <v>36.5</v>
      </c>
      <c r="X212" s="51">
        <v>562.5</v>
      </c>
      <c r="Y212" s="51">
        <v>68</v>
      </c>
      <c r="Z212" s="51">
        <v>1279.3</v>
      </c>
      <c r="AA212" s="51">
        <v>31</v>
      </c>
      <c r="AB212" s="51">
        <v>354</v>
      </c>
      <c r="AC212" s="51">
        <v>22.9</v>
      </c>
      <c r="AD212" s="51">
        <v>60</v>
      </c>
      <c r="AE212" s="51"/>
      <c r="AF212" s="51"/>
      <c r="AG212" s="51"/>
      <c r="AH212" s="51"/>
      <c r="AI212" s="51"/>
      <c r="AJ212" s="51"/>
      <c r="AK212" s="51"/>
      <c r="AL212" s="51"/>
      <c r="AM212" s="51"/>
      <c r="AN212" s="51"/>
      <c r="AO212" s="51"/>
      <c r="AP212" s="51"/>
      <c r="AQ212" s="51"/>
      <c r="AR212" s="51"/>
      <c r="AS212" s="51"/>
      <c r="AT212" s="51"/>
      <c r="AU212" s="51"/>
      <c r="AV212" s="51"/>
      <c r="AW212" s="51"/>
      <c r="AX212" s="51"/>
      <c r="AY212" s="51"/>
      <c r="AZ212" s="51"/>
      <c r="BA212" s="51"/>
      <c r="BB212" s="51"/>
      <c r="BC212" s="51"/>
      <c r="BD212" s="51"/>
      <c r="BE212" s="51"/>
      <c r="BF212" s="51"/>
      <c r="BG212" s="51"/>
      <c r="BH212" s="51"/>
      <c r="BI212" s="51"/>
      <c r="BJ212" s="51"/>
      <c r="BK212" s="51"/>
      <c r="BL212" s="51"/>
      <c r="BM212" s="51"/>
      <c r="BN212" s="51"/>
      <c r="BO212" s="51"/>
      <c r="BP212" s="51"/>
      <c r="BQ212" s="51"/>
      <c r="BR212" s="9">
        <f t="shared" si="16"/>
        <v>9</v>
      </c>
      <c r="BS212" s="9"/>
      <c r="BT212" s="53" t="str">
        <f t="shared" si="17"/>
        <v>Northwest Africa 5744/ 8599/ 8687/ 10140/ 10178/ 10318/ 10401/ 11252/ 12997?/ 14088?/ [unnamed 55]/ [unnamed 60]/ [unnamed 68]</v>
      </c>
      <c r="BU212" s="101" t="s">
        <v>230</v>
      </c>
    </row>
    <row r="213" spans="1:73" s="42" customFormat="1" ht="12.75" customHeight="1" x14ac:dyDescent="0.25">
      <c r="A213"/>
      <c r="B213" s="97">
        <f t="shared" si="14"/>
        <v>85</v>
      </c>
      <c r="C213" s="265" t="str">
        <f>HYPERLINK("https://sites.wustl.edu/meteoritesite/items/lm_tichiya/",Q213)</f>
        <v>Tichiya</v>
      </c>
      <c r="D213" s="266"/>
      <c r="E213" s="266"/>
      <c r="F213" s="266"/>
      <c r="G213" s="98">
        <v>2016</v>
      </c>
      <c r="H213" s="267" t="s">
        <v>38</v>
      </c>
      <c r="I213" s="268"/>
      <c r="J213" s="99">
        <v>9354</v>
      </c>
      <c r="K213" s="212" t="s">
        <v>44</v>
      </c>
      <c r="L213" s="213"/>
      <c r="M213" s="100">
        <v>6.1</v>
      </c>
      <c r="N213" s="100">
        <v>1.1000000000000001</v>
      </c>
      <c r="P213" s="125">
        <f t="shared" si="18"/>
        <v>9354</v>
      </c>
      <c r="Q213" s="54" t="s">
        <v>219</v>
      </c>
      <c r="R213" s="48">
        <v>6.1</v>
      </c>
      <c r="S213" s="49">
        <v>1.1000000000000001</v>
      </c>
      <c r="T213" s="50">
        <f t="shared" si="15"/>
        <v>0</v>
      </c>
      <c r="U213" s="9"/>
      <c r="V213" s="51">
        <v>9354</v>
      </c>
      <c r="W213" s="51"/>
      <c r="X213" s="51"/>
      <c r="Y213" s="51"/>
      <c r="Z213" s="51"/>
      <c r="AA213" s="51"/>
      <c r="AB213" s="51"/>
      <c r="AC213" s="51"/>
      <c r="AD213" s="51"/>
      <c r="AE213" s="51"/>
      <c r="AF213" s="51"/>
      <c r="AG213" s="51"/>
      <c r="AH213" s="51"/>
      <c r="AI213" s="51"/>
      <c r="AJ213" s="51"/>
      <c r="AK213" s="51"/>
      <c r="AL213" s="51"/>
      <c r="AM213" s="51"/>
      <c r="AN213" s="51"/>
      <c r="AO213" s="51"/>
      <c r="AP213" s="51"/>
      <c r="AQ213" s="51"/>
      <c r="AR213" s="51"/>
      <c r="AS213" s="51"/>
      <c r="AT213" s="51"/>
      <c r="AU213" s="51"/>
      <c r="AV213" s="51"/>
      <c r="AW213" s="51"/>
      <c r="AX213" s="51"/>
      <c r="AY213" s="51"/>
      <c r="AZ213" s="51"/>
      <c r="BA213" s="51"/>
      <c r="BB213" s="51"/>
      <c r="BC213" s="51"/>
      <c r="BD213" s="51"/>
      <c r="BE213" s="51"/>
      <c r="BF213" s="51"/>
      <c r="BG213" s="51"/>
      <c r="BH213" s="51"/>
      <c r="BI213" s="51"/>
      <c r="BJ213" s="51"/>
      <c r="BK213" s="51"/>
      <c r="BL213" s="51"/>
      <c r="BM213" s="51"/>
      <c r="BN213" s="51"/>
      <c r="BO213" s="51"/>
      <c r="BP213" s="51"/>
      <c r="BQ213" s="51"/>
      <c r="BR213" s="9">
        <f t="shared" si="16"/>
        <v>1</v>
      </c>
      <c r="BS213" s="9"/>
      <c r="BT213" s="53" t="str">
        <f t="shared" si="17"/>
        <v>Tichiya</v>
      </c>
      <c r="BU213" s="101" t="s">
        <v>230</v>
      </c>
    </row>
    <row r="214" spans="1:73" s="42" customFormat="1" ht="12.75" customHeight="1" x14ac:dyDescent="0.25">
      <c r="A214"/>
      <c r="B214" s="97">
        <f t="shared" si="14"/>
        <v>86</v>
      </c>
      <c r="C214" s="265" t="str">
        <f>HYPERLINK("https://sites.wustl.edu/meteoritesite/items/lm_dhofar_1528/",Q214)</f>
        <v>Dhofar 1528</v>
      </c>
      <c r="D214" s="266"/>
      <c r="E214" s="266"/>
      <c r="F214" s="266"/>
      <c r="G214" s="98">
        <v>2009</v>
      </c>
      <c r="H214" s="269" t="s">
        <v>189</v>
      </c>
      <c r="I214" s="269"/>
      <c r="J214" s="104">
        <v>213.2</v>
      </c>
      <c r="K214" s="272" t="s">
        <v>37</v>
      </c>
      <c r="L214" s="273"/>
      <c r="M214" s="100">
        <v>6</v>
      </c>
      <c r="N214" s="100">
        <v>1.4</v>
      </c>
      <c r="P214" s="125">
        <f t="shared" si="18"/>
        <v>213.2</v>
      </c>
      <c r="Q214" s="54" t="s">
        <v>150</v>
      </c>
      <c r="R214" s="48">
        <v>6</v>
      </c>
      <c r="S214" s="49">
        <v>1.4</v>
      </c>
      <c r="T214" s="50">
        <f t="shared" si="15"/>
        <v>0</v>
      </c>
      <c r="U214" s="9"/>
      <c r="V214" s="51">
        <v>213.2</v>
      </c>
      <c r="W214" s="51"/>
      <c r="X214" s="51"/>
      <c r="Y214" s="51"/>
      <c r="Z214" s="51"/>
      <c r="AA214" s="51"/>
      <c r="AB214" s="51"/>
      <c r="AC214" s="51"/>
      <c r="AD214" s="51"/>
      <c r="AE214" s="51"/>
      <c r="AF214" s="51"/>
      <c r="AG214" s="51"/>
      <c r="AH214" s="51"/>
      <c r="AI214" s="51"/>
      <c r="AJ214" s="51"/>
      <c r="AK214" s="51"/>
      <c r="AL214" s="51"/>
      <c r="AM214" s="51"/>
      <c r="AN214" s="51"/>
      <c r="AO214" s="51"/>
      <c r="AP214" s="51"/>
      <c r="AQ214" s="51"/>
      <c r="AR214" s="51"/>
      <c r="AS214" s="51"/>
      <c r="AT214" s="51"/>
      <c r="AU214" s="51"/>
      <c r="AV214" s="51"/>
      <c r="AW214" s="51"/>
      <c r="AX214" s="51"/>
      <c r="AY214" s="51"/>
      <c r="AZ214" s="51"/>
      <c r="BA214" s="51"/>
      <c r="BB214" s="51"/>
      <c r="BC214" s="51"/>
      <c r="BD214" s="51"/>
      <c r="BE214" s="51"/>
      <c r="BF214" s="51"/>
      <c r="BG214" s="51"/>
      <c r="BH214" s="51"/>
      <c r="BI214" s="51"/>
      <c r="BJ214" s="51"/>
      <c r="BK214" s="51"/>
      <c r="BL214" s="51"/>
      <c r="BM214" s="51"/>
      <c r="BN214" s="51"/>
      <c r="BO214" s="51"/>
      <c r="BP214" s="51"/>
      <c r="BQ214" s="51"/>
      <c r="BR214" s="9">
        <f t="shared" si="16"/>
        <v>1</v>
      </c>
      <c r="BS214" s="9"/>
      <c r="BT214" s="53" t="str">
        <f t="shared" si="17"/>
        <v>Dhofar 1528</v>
      </c>
      <c r="BU214" s="101" t="s">
        <v>230</v>
      </c>
    </row>
    <row r="215" spans="1:73" s="42" customFormat="1" ht="12.75" customHeight="1" x14ac:dyDescent="0.25">
      <c r="A215"/>
      <c r="B215" s="97">
        <f t="shared" si="14"/>
        <v>87</v>
      </c>
      <c r="C215" s="265" t="str">
        <f>HYPERLINK("https://sites.wustl.edu/meteoritesite/items/lm_nwa_08055/",Q215)</f>
        <v>Northwest Africa 8055</v>
      </c>
      <c r="D215" s="266"/>
      <c r="E215" s="266"/>
      <c r="F215" s="266"/>
      <c r="G215" s="98">
        <v>2013</v>
      </c>
      <c r="H215" s="267" t="s">
        <v>38</v>
      </c>
      <c r="I215" s="268"/>
      <c r="J215" s="99">
        <v>98</v>
      </c>
      <c r="K215" s="212" t="s">
        <v>35</v>
      </c>
      <c r="L215" s="213"/>
      <c r="M215" s="100">
        <v>6.4</v>
      </c>
      <c r="N215" s="100">
        <v>0.2</v>
      </c>
      <c r="P215" s="125">
        <f t="shared" si="18"/>
        <v>98</v>
      </c>
      <c r="Q215" s="54" t="s">
        <v>135</v>
      </c>
      <c r="R215" s="48">
        <v>6.4</v>
      </c>
      <c r="S215" s="49">
        <v>0.2</v>
      </c>
      <c r="T215" s="50">
        <f t="shared" si="15"/>
        <v>0</v>
      </c>
      <c r="U215" s="9"/>
      <c r="V215" s="51">
        <v>98</v>
      </c>
      <c r="W215" s="51"/>
      <c r="X215" s="51"/>
      <c r="Y215" s="51"/>
      <c r="Z215" s="51"/>
      <c r="AA215" s="51"/>
      <c r="AB215" s="51"/>
      <c r="AC215" s="51"/>
      <c r="AD215" s="51"/>
      <c r="AE215" s="51"/>
      <c r="AF215" s="51"/>
      <c r="AG215" s="51"/>
      <c r="AH215" s="51"/>
      <c r="AI215" s="51"/>
      <c r="AJ215" s="51"/>
      <c r="AK215" s="51"/>
      <c r="AL215" s="51"/>
      <c r="AM215" s="51"/>
      <c r="AN215" s="51"/>
      <c r="AO215" s="51"/>
      <c r="AP215" s="51"/>
      <c r="AQ215" s="51"/>
      <c r="AR215" s="51"/>
      <c r="AS215" s="51"/>
      <c r="AT215" s="51"/>
      <c r="AU215" s="51"/>
      <c r="AV215" s="51"/>
      <c r="AW215" s="51"/>
      <c r="AX215" s="51"/>
      <c r="AY215" s="51"/>
      <c r="AZ215" s="51"/>
      <c r="BA215" s="51"/>
      <c r="BB215" s="51"/>
      <c r="BC215" s="51"/>
      <c r="BD215" s="51"/>
      <c r="BE215" s="51"/>
      <c r="BF215" s="51"/>
      <c r="BG215" s="51"/>
      <c r="BH215" s="51"/>
      <c r="BI215" s="51"/>
      <c r="BJ215" s="51"/>
      <c r="BK215" s="51"/>
      <c r="BL215" s="51"/>
      <c r="BM215" s="51"/>
      <c r="BN215" s="51"/>
      <c r="BO215" s="51"/>
      <c r="BP215" s="51"/>
      <c r="BQ215" s="51"/>
      <c r="BR215" s="9">
        <f t="shared" si="16"/>
        <v>1</v>
      </c>
      <c r="BS215" s="9"/>
      <c r="BT215" s="53" t="str">
        <f t="shared" si="17"/>
        <v>Northwest Africa 8055</v>
      </c>
      <c r="BU215" s="101" t="s">
        <v>230</v>
      </c>
    </row>
    <row r="216" spans="1:73" s="42" customFormat="1" ht="12.75" customHeight="1" x14ac:dyDescent="0.25">
      <c r="A216"/>
      <c r="B216" s="97">
        <f t="shared" si="14"/>
        <v>88</v>
      </c>
      <c r="C216" s="265" t="str">
        <f>HYPERLINK("https://sites.wustl.edu/meteoritesite/items/lm_shisr_161/",Q216)</f>
        <v>Shişr 161</v>
      </c>
      <c r="D216" s="266"/>
      <c r="E216" s="266"/>
      <c r="F216" s="266"/>
      <c r="G216" s="98">
        <v>2008</v>
      </c>
      <c r="H216" s="269" t="s">
        <v>41</v>
      </c>
      <c r="I216" s="269"/>
      <c r="J216" s="104">
        <v>57.2</v>
      </c>
      <c r="K216" s="272" t="s">
        <v>37</v>
      </c>
      <c r="L216" s="273"/>
      <c r="M216" s="100">
        <v>5.9</v>
      </c>
      <c r="N216" s="102">
        <v>0.16</v>
      </c>
      <c r="P216" s="125">
        <f t="shared" si="18"/>
        <v>57.2</v>
      </c>
      <c r="Q216" s="54" t="s">
        <v>158</v>
      </c>
      <c r="R216" s="48">
        <v>5.9</v>
      </c>
      <c r="S216" s="49">
        <v>0.16</v>
      </c>
      <c r="T216" s="50">
        <f t="shared" si="15"/>
        <v>0</v>
      </c>
      <c r="U216" s="9"/>
      <c r="V216" s="51">
        <v>57.2</v>
      </c>
      <c r="W216" s="51"/>
      <c r="X216" s="51"/>
      <c r="Y216" s="51"/>
      <c r="Z216" s="51"/>
      <c r="AA216" s="51"/>
      <c r="AB216" s="51"/>
      <c r="AC216" s="51"/>
      <c r="AD216" s="51"/>
      <c r="AE216" s="51"/>
      <c r="AF216" s="51"/>
      <c r="AG216" s="51"/>
      <c r="AH216" s="51"/>
      <c r="AI216" s="51"/>
      <c r="AJ216" s="51"/>
      <c r="AK216" s="51"/>
      <c r="AL216" s="51"/>
      <c r="AM216" s="51"/>
      <c r="AN216" s="51"/>
      <c r="AO216" s="51"/>
      <c r="AP216" s="51"/>
      <c r="AQ216" s="51"/>
      <c r="AR216" s="51"/>
      <c r="AS216" s="51"/>
      <c r="AT216" s="51"/>
      <c r="AU216" s="51"/>
      <c r="AV216" s="51"/>
      <c r="AW216" s="51"/>
      <c r="AX216" s="51"/>
      <c r="AY216" s="51"/>
      <c r="AZ216" s="51"/>
      <c r="BA216" s="51"/>
      <c r="BB216" s="51"/>
      <c r="BC216" s="51"/>
      <c r="BD216" s="51"/>
      <c r="BE216" s="51"/>
      <c r="BF216" s="51"/>
      <c r="BG216" s="51"/>
      <c r="BH216" s="51"/>
      <c r="BI216" s="51"/>
      <c r="BJ216" s="51"/>
      <c r="BK216" s="51"/>
      <c r="BL216" s="51"/>
      <c r="BM216" s="51"/>
      <c r="BN216" s="51"/>
      <c r="BO216" s="51"/>
      <c r="BP216" s="51"/>
      <c r="BQ216" s="51"/>
      <c r="BR216" s="9">
        <f t="shared" si="16"/>
        <v>1</v>
      </c>
      <c r="BS216" s="9"/>
      <c r="BT216" s="53" t="str">
        <f t="shared" si="17"/>
        <v>Shişr 161</v>
      </c>
      <c r="BU216" s="101" t="s">
        <v>230</v>
      </c>
    </row>
    <row r="217" spans="1:73" s="42" customFormat="1" ht="12.75" customHeight="1" x14ac:dyDescent="0.25">
      <c r="A217"/>
      <c r="B217" s="97">
        <f t="shared" si="14"/>
        <v>89</v>
      </c>
      <c r="C217" s="265" t="str">
        <f>HYPERLINK("https://sites.wustl.edu/meteoritesite/items/lm_nwa_11127/",Q217)</f>
        <v>Northwest Africa 11127</v>
      </c>
      <c r="D217" s="266"/>
      <c r="E217" s="266"/>
      <c r="F217" s="266"/>
      <c r="G217" s="98">
        <v>2016</v>
      </c>
      <c r="H217" s="267" t="s">
        <v>396</v>
      </c>
      <c r="I217" s="268"/>
      <c r="J217" s="104">
        <v>474.6</v>
      </c>
      <c r="K217" s="212" t="s">
        <v>39</v>
      </c>
      <c r="L217" s="213"/>
      <c r="M217" s="100">
        <v>6.1</v>
      </c>
      <c r="N217" s="100">
        <v>0.9</v>
      </c>
      <c r="P217" s="125">
        <f t="shared" si="18"/>
        <v>474.6</v>
      </c>
      <c r="Q217" s="54" t="s">
        <v>216</v>
      </c>
      <c r="R217" s="48">
        <v>6.1</v>
      </c>
      <c r="S217" s="49">
        <v>0.9</v>
      </c>
      <c r="T217" s="50">
        <f t="shared" si="15"/>
        <v>0</v>
      </c>
      <c r="U217" s="9"/>
      <c r="V217" s="51">
        <v>474.6</v>
      </c>
      <c r="W217" s="51"/>
      <c r="X217" s="51"/>
      <c r="Y217" s="51"/>
      <c r="Z217" s="51"/>
      <c r="AA217" s="51"/>
      <c r="AB217" s="51"/>
      <c r="AC217" s="51"/>
      <c r="AD217" s="51"/>
      <c r="AE217" s="51"/>
      <c r="AF217" s="51"/>
      <c r="AG217" s="51"/>
      <c r="AH217" s="51"/>
      <c r="AI217" s="51"/>
      <c r="AJ217" s="51"/>
      <c r="AK217" s="51"/>
      <c r="AL217" s="51"/>
      <c r="AM217" s="51"/>
      <c r="AN217" s="51"/>
      <c r="AO217" s="51"/>
      <c r="AP217" s="51"/>
      <c r="AQ217" s="51"/>
      <c r="AR217" s="51"/>
      <c r="AS217" s="51"/>
      <c r="AT217" s="51"/>
      <c r="AU217" s="51"/>
      <c r="AV217" s="51"/>
      <c r="AW217" s="51"/>
      <c r="AX217" s="51"/>
      <c r="AY217" s="51"/>
      <c r="AZ217" s="51"/>
      <c r="BA217" s="51"/>
      <c r="BB217" s="51"/>
      <c r="BC217" s="51"/>
      <c r="BD217" s="51"/>
      <c r="BE217" s="51"/>
      <c r="BF217" s="51"/>
      <c r="BG217" s="51"/>
      <c r="BH217" s="51"/>
      <c r="BI217" s="51"/>
      <c r="BJ217" s="51"/>
      <c r="BK217" s="51"/>
      <c r="BL217" s="51"/>
      <c r="BM217" s="51"/>
      <c r="BN217" s="51"/>
      <c r="BO217" s="51"/>
      <c r="BP217" s="51"/>
      <c r="BQ217" s="51"/>
      <c r="BR217" s="9">
        <f t="shared" si="16"/>
        <v>1</v>
      </c>
      <c r="BS217" s="9"/>
      <c r="BT217" s="53" t="str">
        <f t="shared" si="17"/>
        <v>Northwest Africa 11127</v>
      </c>
      <c r="BU217" s="101" t="s">
        <v>230</v>
      </c>
    </row>
    <row r="218" spans="1:73" s="42" customFormat="1" ht="12.75" customHeight="1" x14ac:dyDescent="0.25">
      <c r="A218"/>
      <c r="B218" s="97">
        <f t="shared" si="14"/>
        <v>90</v>
      </c>
      <c r="C218" s="265" t="str">
        <f>HYPERLINK("https://sites.wustl.edu/meteoritesite/items/lm_rabt-sbayta_008/",Q218)</f>
        <v>Rabt Sbayta 008</v>
      </c>
      <c r="D218" s="266"/>
      <c r="E218" s="266"/>
      <c r="F218" s="266"/>
      <c r="G218" s="98">
        <v>2016</v>
      </c>
      <c r="H218" s="267" t="s">
        <v>38</v>
      </c>
      <c r="I218" s="268"/>
      <c r="J218" s="99">
        <v>229</v>
      </c>
      <c r="K218" s="212" t="s">
        <v>44</v>
      </c>
      <c r="L218" s="213"/>
      <c r="M218" s="100">
        <v>6.5</v>
      </c>
      <c r="N218" s="100">
        <v>0.2</v>
      </c>
      <c r="P218" s="125">
        <f t="shared" si="18"/>
        <v>229</v>
      </c>
      <c r="Q218" s="54" t="s">
        <v>227</v>
      </c>
      <c r="R218" s="48">
        <v>6.5</v>
      </c>
      <c r="S218" s="49">
        <v>0.2</v>
      </c>
      <c r="T218" s="50">
        <f t="shared" si="15"/>
        <v>0</v>
      </c>
      <c r="U218" s="9"/>
      <c r="V218" s="51">
        <v>229</v>
      </c>
      <c r="W218" s="51"/>
      <c r="X218" s="51"/>
      <c r="Y218" s="51"/>
      <c r="Z218" s="51"/>
      <c r="AA218" s="51"/>
      <c r="AB218" s="51"/>
      <c r="AC218" s="51"/>
      <c r="AD218" s="51"/>
      <c r="AE218" s="51"/>
      <c r="AF218" s="51"/>
      <c r="AG218" s="51"/>
      <c r="AH218" s="51"/>
      <c r="AI218" s="51"/>
      <c r="AJ218" s="51"/>
      <c r="AK218" s="51"/>
      <c r="AL218" s="51"/>
      <c r="AM218" s="51"/>
      <c r="AN218" s="51"/>
      <c r="AO218" s="51"/>
      <c r="AP218" s="51"/>
      <c r="AQ218" s="51"/>
      <c r="AR218" s="51"/>
      <c r="AS218" s="51"/>
      <c r="AT218" s="51"/>
      <c r="AU218" s="51"/>
      <c r="AV218" s="51"/>
      <c r="AW218" s="51"/>
      <c r="AX218" s="51"/>
      <c r="AY218" s="51"/>
      <c r="AZ218" s="51"/>
      <c r="BA218" s="51"/>
      <c r="BB218" s="51"/>
      <c r="BC218" s="51"/>
      <c r="BD218" s="51"/>
      <c r="BE218" s="51"/>
      <c r="BF218" s="51"/>
      <c r="BG218" s="51"/>
      <c r="BH218" s="51"/>
      <c r="BI218" s="51"/>
      <c r="BJ218" s="51"/>
      <c r="BK218" s="51"/>
      <c r="BL218" s="51"/>
      <c r="BM218" s="51"/>
      <c r="BN218" s="51"/>
      <c r="BO218" s="51"/>
      <c r="BP218" s="51"/>
      <c r="BQ218" s="51"/>
      <c r="BR218" s="9">
        <f t="shared" si="16"/>
        <v>1</v>
      </c>
      <c r="BS218" s="9"/>
      <c r="BT218" s="53" t="str">
        <f t="shared" si="17"/>
        <v>Rabt Sbayta 008</v>
      </c>
      <c r="BU218" s="101" t="s">
        <v>230</v>
      </c>
    </row>
    <row r="219" spans="1:73" s="42" customFormat="1" ht="12.75" customHeight="1" x14ac:dyDescent="0.25">
      <c r="A219"/>
      <c r="B219" s="97">
        <f t="shared" si="14"/>
        <v>91</v>
      </c>
      <c r="C219" s="265" t="str">
        <f>HYPERLINK("https://sites.wustl.edu/meteoritesite/items/lm_nwa_07274/",Q219)</f>
        <v>Northwest Africa 7274</v>
      </c>
      <c r="D219" s="266"/>
      <c r="E219" s="266"/>
      <c r="F219" s="266"/>
      <c r="G219" s="98">
        <v>2012</v>
      </c>
      <c r="H219" s="267" t="s">
        <v>38</v>
      </c>
      <c r="I219" s="268"/>
      <c r="J219" s="104">
        <v>372.6</v>
      </c>
      <c r="K219" s="212" t="s">
        <v>35</v>
      </c>
      <c r="L219" s="213"/>
      <c r="M219" s="100">
        <v>6.1</v>
      </c>
      <c r="N219" s="100">
        <v>1.9</v>
      </c>
      <c r="P219" s="125">
        <f t="shared" si="18"/>
        <v>372.6</v>
      </c>
      <c r="Q219" s="54" t="s">
        <v>134</v>
      </c>
      <c r="R219" s="48">
        <v>6.1</v>
      </c>
      <c r="S219" s="49">
        <v>1.9</v>
      </c>
      <c r="T219" s="50">
        <f t="shared" si="15"/>
        <v>0</v>
      </c>
      <c r="U219" s="9"/>
      <c r="V219" s="51">
        <v>372.6</v>
      </c>
      <c r="W219" s="51"/>
      <c r="X219" s="51"/>
      <c r="Y219" s="51"/>
      <c r="Z219" s="51"/>
      <c r="AA219" s="51"/>
      <c r="AB219" s="51"/>
      <c r="AC219" s="51"/>
      <c r="AD219" s="51"/>
      <c r="AE219" s="51"/>
      <c r="AF219" s="51"/>
      <c r="AG219" s="51"/>
      <c r="AH219" s="51"/>
      <c r="AI219" s="51"/>
      <c r="AJ219" s="51"/>
      <c r="AK219" s="51"/>
      <c r="AL219" s="51"/>
      <c r="AM219" s="51"/>
      <c r="AN219" s="51"/>
      <c r="AO219" s="51"/>
      <c r="AP219" s="51"/>
      <c r="AQ219" s="51"/>
      <c r="AR219" s="51"/>
      <c r="AS219" s="51"/>
      <c r="AT219" s="51"/>
      <c r="AU219" s="51"/>
      <c r="AV219" s="51"/>
      <c r="AW219" s="51"/>
      <c r="AX219" s="51"/>
      <c r="AY219" s="51"/>
      <c r="AZ219" s="51"/>
      <c r="BA219" s="51"/>
      <c r="BB219" s="51"/>
      <c r="BC219" s="51"/>
      <c r="BD219" s="51"/>
      <c r="BE219" s="51"/>
      <c r="BF219" s="51"/>
      <c r="BG219" s="51"/>
      <c r="BH219" s="51"/>
      <c r="BI219" s="51"/>
      <c r="BJ219" s="51"/>
      <c r="BK219" s="51"/>
      <c r="BL219" s="51"/>
      <c r="BM219" s="51"/>
      <c r="BN219" s="51"/>
      <c r="BO219" s="51"/>
      <c r="BP219" s="51"/>
      <c r="BQ219" s="51"/>
      <c r="BR219" s="9">
        <f t="shared" si="16"/>
        <v>1</v>
      </c>
      <c r="BS219" s="9"/>
      <c r="BT219" s="53" t="str">
        <f t="shared" si="17"/>
        <v>Northwest Africa 7274</v>
      </c>
      <c r="BU219" s="101" t="s">
        <v>230</v>
      </c>
    </row>
    <row r="220" spans="1:73" s="42" customFormat="1" ht="12.75" customHeight="1" x14ac:dyDescent="0.25">
      <c r="A220"/>
      <c r="B220" s="97">
        <f t="shared" si="14"/>
        <v>92</v>
      </c>
      <c r="C220" s="265" t="str">
        <f>HYPERLINK("https://sites.wustl.edu/meteoritesite/items/lm_nwa_12604/",Q220)</f>
        <v>Northwest Africa 12604</v>
      </c>
      <c r="D220" s="266"/>
      <c r="E220" s="266"/>
      <c r="F220" s="266"/>
      <c r="G220" s="98">
        <v>2017</v>
      </c>
      <c r="H220" s="269" t="s">
        <v>41</v>
      </c>
      <c r="I220" s="269"/>
      <c r="J220" s="99">
        <v>631</v>
      </c>
      <c r="K220" s="212" t="s">
        <v>39</v>
      </c>
      <c r="L220" s="213"/>
      <c r="M220" s="100">
        <v>6</v>
      </c>
      <c r="N220" s="100">
        <v>1.3</v>
      </c>
      <c r="P220" s="125">
        <f t="shared" si="18"/>
        <v>631</v>
      </c>
      <c r="Q220" s="54" t="s">
        <v>346</v>
      </c>
      <c r="R220" s="48">
        <v>6</v>
      </c>
      <c r="S220" s="49">
        <v>1.3</v>
      </c>
      <c r="T220" s="50">
        <f t="shared" si="15"/>
        <v>0</v>
      </c>
      <c r="U220" s="9"/>
      <c r="V220" s="51">
        <v>631</v>
      </c>
      <c r="W220" s="51"/>
      <c r="X220" s="51"/>
      <c r="Y220" s="51"/>
      <c r="Z220" s="51"/>
      <c r="AA220" s="51"/>
      <c r="AB220" s="51"/>
      <c r="AC220" s="51"/>
      <c r="AD220" s="51"/>
      <c r="AE220" s="51"/>
      <c r="AF220" s="51"/>
      <c r="AG220" s="51"/>
      <c r="AH220" s="51"/>
      <c r="AI220" s="51"/>
      <c r="AJ220" s="51"/>
      <c r="AK220" s="51"/>
      <c r="AL220" s="51"/>
      <c r="AM220" s="51"/>
      <c r="AN220" s="51"/>
      <c r="AO220" s="51"/>
      <c r="AP220" s="51"/>
      <c r="AQ220" s="51"/>
      <c r="AR220" s="51"/>
      <c r="AS220" s="51"/>
      <c r="AT220" s="51"/>
      <c r="AU220" s="51"/>
      <c r="AV220" s="51"/>
      <c r="AW220" s="51"/>
      <c r="AX220" s="51"/>
      <c r="AY220" s="51"/>
      <c r="AZ220" s="51"/>
      <c r="BA220" s="51"/>
      <c r="BB220" s="51"/>
      <c r="BC220" s="51"/>
      <c r="BD220" s="51"/>
      <c r="BE220" s="51"/>
      <c r="BF220" s="51"/>
      <c r="BG220" s="51"/>
      <c r="BH220" s="51"/>
      <c r="BI220" s="51"/>
      <c r="BJ220" s="51"/>
      <c r="BK220" s="51"/>
      <c r="BL220" s="51"/>
      <c r="BM220" s="51"/>
      <c r="BN220" s="51"/>
      <c r="BO220" s="51"/>
      <c r="BP220" s="51"/>
      <c r="BQ220" s="51"/>
      <c r="BR220" s="9">
        <f t="shared" si="16"/>
        <v>1</v>
      </c>
      <c r="BS220" s="9"/>
      <c r="BT220" s="53" t="str">
        <f t="shared" si="17"/>
        <v>Northwest Africa 12604</v>
      </c>
      <c r="BU220" s="101" t="s">
        <v>230</v>
      </c>
    </row>
    <row r="221" spans="1:73" s="42" customFormat="1" ht="12.75" customHeight="1" x14ac:dyDescent="0.25">
      <c r="A221"/>
      <c r="B221" s="97">
        <f t="shared" si="14"/>
        <v>93</v>
      </c>
      <c r="C221" s="265" t="str">
        <f>HYPERLINK("https://sites.wustl.edu/meteoritesite/items/lm_dhofar_1527/",Q221)</f>
        <v>Dhofar 1527/ [unnamed 96]</v>
      </c>
      <c r="D221" s="266"/>
      <c r="E221" s="266"/>
      <c r="F221" s="266"/>
      <c r="G221" s="98">
        <v>2009</v>
      </c>
      <c r="H221" s="269" t="s">
        <v>616</v>
      </c>
      <c r="I221" s="269"/>
      <c r="J221" s="104">
        <v>42.6</v>
      </c>
      <c r="K221" s="272" t="s">
        <v>37</v>
      </c>
      <c r="L221" s="273"/>
      <c r="M221" s="100">
        <v>8</v>
      </c>
      <c r="N221" s="100">
        <v>0.5</v>
      </c>
      <c r="P221" s="125">
        <f t="shared" si="18"/>
        <v>42.6</v>
      </c>
      <c r="Q221" s="54" t="s">
        <v>271</v>
      </c>
      <c r="R221" s="48">
        <v>8</v>
      </c>
      <c r="S221" s="49">
        <v>0.5</v>
      </c>
      <c r="T221" s="50">
        <f t="shared" si="15"/>
        <v>0</v>
      </c>
      <c r="U221" s="9"/>
      <c r="V221" s="51">
        <v>42.6</v>
      </c>
      <c r="W221" s="51"/>
      <c r="X221" s="51"/>
      <c r="Y221" s="51"/>
      <c r="Z221" s="51"/>
      <c r="AA221" s="51"/>
      <c r="AB221" s="51"/>
      <c r="AC221" s="51"/>
      <c r="AD221" s="51"/>
      <c r="AE221" s="51"/>
      <c r="AF221" s="51"/>
      <c r="AG221" s="51"/>
      <c r="AH221" s="51"/>
      <c r="AI221" s="51"/>
      <c r="AJ221" s="51"/>
      <c r="AK221" s="51"/>
      <c r="AL221" s="51"/>
      <c r="AM221" s="51"/>
      <c r="AN221" s="51"/>
      <c r="AO221" s="51"/>
      <c r="AP221" s="51"/>
      <c r="AQ221" s="51"/>
      <c r="AR221" s="51"/>
      <c r="AS221" s="51"/>
      <c r="AT221" s="51"/>
      <c r="AU221" s="51"/>
      <c r="AV221" s="51"/>
      <c r="AW221" s="51"/>
      <c r="AX221" s="51"/>
      <c r="AY221" s="51"/>
      <c r="AZ221" s="51"/>
      <c r="BA221" s="51"/>
      <c r="BB221" s="51"/>
      <c r="BC221" s="51"/>
      <c r="BD221" s="51"/>
      <c r="BE221" s="51"/>
      <c r="BF221" s="51"/>
      <c r="BG221" s="51"/>
      <c r="BH221" s="51"/>
      <c r="BI221" s="51"/>
      <c r="BJ221" s="51"/>
      <c r="BK221" s="51"/>
      <c r="BL221" s="51"/>
      <c r="BM221" s="51"/>
      <c r="BN221" s="51"/>
      <c r="BO221" s="51"/>
      <c r="BP221" s="51"/>
      <c r="BQ221" s="51"/>
      <c r="BR221" s="9">
        <f t="shared" si="16"/>
        <v>1</v>
      </c>
      <c r="BS221" s="9"/>
      <c r="BT221" s="53" t="str">
        <f t="shared" si="17"/>
        <v>Dhofar 1527/ [unnamed 96]</v>
      </c>
      <c r="BU221" s="101" t="s">
        <v>230</v>
      </c>
    </row>
    <row r="222" spans="1:73" s="42" customFormat="1" ht="12.75" customHeight="1" x14ac:dyDescent="0.25">
      <c r="A222"/>
      <c r="B222" s="97">
        <f t="shared" si="14"/>
        <v>94</v>
      </c>
      <c r="C222" s="265" t="str">
        <f>HYPERLINK("https://sites.wustl.edu/meteoritesite/items/lm_pca_02007/",Q222)</f>
        <v>Pecora Escarpment 02007</v>
      </c>
      <c r="D222" s="266"/>
      <c r="E222" s="266"/>
      <c r="F222" s="266"/>
      <c r="G222" s="98">
        <v>2003</v>
      </c>
      <c r="H222" s="269" t="s">
        <v>41</v>
      </c>
      <c r="I222" s="269"/>
      <c r="J222" s="98">
        <v>22.372</v>
      </c>
      <c r="K222" s="270" t="s">
        <v>42</v>
      </c>
      <c r="L222" s="271"/>
      <c r="M222" s="100">
        <v>6.3</v>
      </c>
      <c r="N222" s="100">
        <v>0.4</v>
      </c>
      <c r="P222" s="125">
        <f t="shared" si="18"/>
        <v>22.372</v>
      </c>
      <c r="Q222" s="54" t="s">
        <v>178</v>
      </c>
      <c r="R222" s="48">
        <v>6.3</v>
      </c>
      <c r="S222" s="49">
        <v>0.4</v>
      </c>
      <c r="T222" s="50">
        <f t="shared" si="15"/>
        <v>0</v>
      </c>
      <c r="U222" s="9"/>
      <c r="V222" s="51">
        <v>22.372</v>
      </c>
      <c r="W222" s="52"/>
      <c r="X222" s="52"/>
      <c r="Y222" s="51"/>
      <c r="Z222" s="51"/>
      <c r="AA222" s="51"/>
      <c r="AB222" s="51"/>
      <c r="AC222" s="51"/>
      <c r="AD222" s="51"/>
      <c r="AE222" s="51"/>
      <c r="AF222" s="51"/>
      <c r="AG222" s="51"/>
      <c r="AH222" s="51"/>
      <c r="AI222" s="51"/>
      <c r="AJ222" s="51"/>
      <c r="AK222" s="51"/>
      <c r="AL222" s="51"/>
      <c r="AM222" s="51"/>
      <c r="AN222" s="51"/>
      <c r="AO222" s="51"/>
      <c r="AP222" s="51"/>
      <c r="AQ222" s="51"/>
      <c r="AR222" s="51"/>
      <c r="AS222" s="51"/>
      <c r="AT222" s="51"/>
      <c r="AU222" s="51"/>
      <c r="AV222" s="51"/>
      <c r="AW222" s="51"/>
      <c r="AX222" s="51"/>
      <c r="AY222" s="51"/>
      <c r="AZ222" s="51"/>
      <c r="BA222" s="51"/>
      <c r="BB222" s="51"/>
      <c r="BC222" s="51"/>
      <c r="BD222" s="51"/>
      <c r="BE222" s="51"/>
      <c r="BF222" s="51"/>
      <c r="BG222" s="51"/>
      <c r="BH222" s="51"/>
      <c r="BI222" s="51"/>
      <c r="BJ222" s="51"/>
      <c r="BK222" s="51"/>
      <c r="BL222" s="51"/>
      <c r="BM222" s="51"/>
      <c r="BN222" s="51"/>
      <c r="BO222" s="51"/>
      <c r="BP222" s="51"/>
      <c r="BQ222" s="51"/>
      <c r="BR222" s="9">
        <f t="shared" si="16"/>
        <v>1</v>
      </c>
      <c r="BS222" s="9"/>
      <c r="BT222" s="53" t="str">
        <f t="shared" si="17"/>
        <v>Pecora Escarpment 02007</v>
      </c>
      <c r="BU222" s="101" t="s">
        <v>230</v>
      </c>
    </row>
    <row r="223" spans="1:73" s="42" customFormat="1" ht="12.75" customHeight="1" x14ac:dyDescent="0.25">
      <c r="A223"/>
      <c r="B223" s="97">
        <f t="shared" si="14"/>
        <v>95</v>
      </c>
      <c r="C223" s="265" t="str">
        <f>HYPERLINK("https://sites.wustl.edu/meteoritesite/items/lm_nwa_08010/",Q223)</f>
        <v>Northwest Africa 8010</v>
      </c>
      <c r="D223" s="266"/>
      <c r="E223" s="266"/>
      <c r="F223" s="266"/>
      <c r="G223" s="98">
        <v>2013</v>
      </c>
      <c r="H223" s="267" t="s">
        <v>396</v>
      </c>
      <c r="I223" s="268"/>
      <c r="J223" s="99">
        <v>58</v>
      </c>
      <c r="K223" s="212" t="s">
        <v>35</v>
      </c>
      <c r="L223" s="213"/>
      <c r="M223" s="100">
        <v>5.8</v>
      </c>
      <c r="N223" s="100">
        <v>2.2000000000000002</v>
      </c>
      <c r="P223" s="125">
        <f t="shared" si="18"/>
        <v>58</v>
      </c>
      <c r="Q223" s="54" t="s">
        <v>213</v>
      </c>
      <c r="R223" s="48">
        <v>5.8</v>
      </c>
      <c r="S223" s="49">
        <v>2.2000000000000002</v>
      </c>
      <c r="T223" s="50">
        <f t="shared" si="15"/>
        <v>0</v>
      </c>
      <c r="U223" s="9"/>
      <c r="V223" s="51">
        <v>58</v>
      </c>
      <c r="W223" s="51"/>
      <c r="X223" s="51"/>
      <c r="Y223" s="51"/>
      <c r="Z223" s="51"/>
      <c r="AA223" s="51"/>
      <c r="AB223" s="51"/>
      <c r="AC223" s="51"/>
      <c r="AD223" s="51"/>
      <c r="AE223" s="51"/>
      <c r="AF223" s="51"/>
      <c r="AG223" s="51"/>
      <c r="AH223" s="51"/>
      <c r="AI223" s="51"/>
      <c r="AJ223" s="51"/>
      <c r="AK223" s="51"/>
      <c r="AL223" s="51"/>
      <c r="AM223" s="51"/>
      <c r="AN223" s="51"/>
      <c r="AO223" s="51"/>
      <c r="AP223" s="51"/>
      <c r="AQ223" s="51"/>
      <c r="AR223" s="51"/>
      <c r="AS223" s="51"/>
      <c r="AT223" s="51"/>
      <c r="AU223" s="51"/>
      <c r="AV223" s="51"/>
      <c r="AW223" s="51"/>
      <c r="AX223" s="51"/>
      <c r="AY223" s="51"/>
      <c r="AZ223" s="51"/>
      <c r="BA223" s="51"/>
      <c r="BB223" s="51"/>
      <c r="BC223" s="51"/>
      <c r="BD223" s="51"/>
      <c r="BE223" s="51"/>
      <c r="BF223" s="51"/>
      <c r="BG223" s="51"/>
      <c r="BH223" s="51"/>
      <c r="BI223" s="51"/>
      <c r="BJ223" s="51"/>
      <c r="BK223" s="51"/>
      <c r="BL223" s="51"/>
      <c r="BM223" s="51"/>
      <c r="BN223" s="51"/>
      <c r="BO223" s="51"/>
      <c r="BP223" s="51"/>
      <c r="BQ223" s="51"/>
      <c r="BR223" s="9">
        <f t="shared" si="16"/>
        <v>1</v>
      </c>
      <c r="BS223" s="9"/>
      <c r="BT223" s="53" t="str">
        <f t="shared" si="17"/>
        <v>Northwest Africa 8010</v>
      </c>
      <c r="BU223" s="101" t="s">
        <v>230</v>
      </c>
    </row>
    <row r="224" spans="1:73" s="42" customFormat="1" ht="12.75" customHeight="1" x14ac:dyDescent="0.25">
      <c r="A224"/>
      <c r="B224" s="97">
        <f t="shared" si="14"/>
        <v>96</v>
      </c>
      <c r="C224" s="265" t="str">
        <f>HYPERLINK("https://sites.wustl.edu/meteoritesite/items/lm_nwa_10973/",Q224)</f>
        <v>Northwest Africa 10973</v>
      </c>
      <c r="D224" s="266"/>
      <c r="E224" s="266"/>
      <c r="F224" s="266"/>
      <c r="G224" s="98">
        <v>2016</v>
      </c>
      <c r="H224" s="267" t="s">
        <v>396</v>
      </c>
      <c r="I224" s="268"/>
      <c r="J224" s="99">
        <v>25</v>
      </c>
      <c r="K224" s="212" t="s">
        <v>39</v>
      </c>
      <c r="L224" s="213"/>
      <c r="M224" s="100">
        <v>6.1</v>
      </c>
      <c r="N224" s="100">
        <v>2.2000000000000002</v>
      </c>
      <c r="P224" s="125">
        <f t="shared" si="18"/>
        <v>25</v>
      </c>
      <c r="Q224" s="54" t="s">
        <v>212</v>
      </c>
      <c r="R224" s="48">
        <v>6.1</v>
      </c>
      <c r="S224" s="49">
        <v>2.2000000000000002</v>
      </c>
      <c r="T224" s="50">
        <f t="shared" si="15"/>
        <v>0</v>
      </c>
      <c r="U224" s="9"/>
      <c r="V224" s="51">
        <v>25</v>
      </c>
      <c r="W224" s="51"/>
      <c r="X224" s="51"/>
      <c r="Y224" s="51"/>
      <c r="Z224" s="51"/>
      <c r="AA224" s="51"/>
      <c r="AB224" s="51"/>
      <c r="AC224" s="51"/>
      <c r="AD224" s="51"/>
      <c r="AE224" s="51"/>
      <c r="AF224" s="51"/>
      <c r="AG224" s="51"/>
      <c r="AH224" s="51"/>
      <c r="AI224" s="51"/>
      <c r="AJ224" s="51"/>
      <c r="AK224" s="51"/>
      <c r="AL224" s="51"/>
      <c r="AM224" s="51"/>
      <c r="AN224" s="51"/>
      <c r="AO224" s="51"/>
      <c r="AP224" s="51"/>
      <c r="AQ224" s="51"/>
      <c r="AR224" s="51"/>
      <c r="AS224" s="51"/>
      <c r="AT224" s="51"/>
      <c r="AU224" s="51"/>
      <c r="AV224" s="51"/>
      <c r="AW224" s="51"/>
      <c r="AX224" s="51"/>
      <c r="AY224" s="51"/>
      <c r="AZ224" s="51"/>
      <c r="BA224" s="51"/>
      <c r="BB224" s="51"/>
      <c r="BC224" s="51"/>
      <c r="BD224" s="51"/>
      <c r="BE224" s="51"/>
      <c r="BF224" s="51"/>
      <c r="BG224" s="51"/>
      <c r="BH224" s="51"/>
      <c r="BI224" s="51"/>
      <c r="BJ224" s="51"/>
      <c r="BK224" s="51"/>
      <c r="BL224" s="51"/>
      <c r="BM224" s="51"/>
      <c r="BN224" s="51"/>
      <c r="BO224" s="51"/>
      <c r="BP224" s="51"/>
      <c r="BQ224" s="51"/>
      <c r="BR224" s="9">
        <f t="shared" si="16"/>
        <v>1</v>
      </c>
      <c r="BS224" s="9"/>
      <c r="BT224" s="53" t="str">
        <f t="shared" si="17"/>
        <v>Northwest Africa 10973</v>
      </c>
      <c r="BU224" s="101" t="s">
        <v>230</v>
      </c>
    </row>
    <row r="225" spans="1:73" s="42" customFormat="1" ht="12.75" customHeight="1" x14ac:dyDescent="0.25">
      <c r="A225"/>
      <c r="B225" s="97">
        <f t="shared" si="14"/>
        <v>97</v>
      </c>
      <c r="C225" s="265" t="str">
        <f>HYPERLINK("https://sites.wustl.edu/meteoritesite/items/lm_nwa_08701/",Q225)</f>
        <v>Northwest Africa 8701/ [unnamed 64]</v>
      </c>
      <c r="D225" s="266"/>
      <c r="E225" s="266"/>
      <c r="F225" s="266"/>
      <c r="G225" s="98">
        <v>2014</v>
      </c>
      <c r="H225" s="267" t="s">
        <v>38</v>
      </c>
      <c r="I225" s="268"/>
      <c r="J225" s="99">
        <v>72</v>
      </c>
      <c r="K225" s="212" t="s">
        <v>58</v>
      </c>
      <c r="L225" s="213"/>
      <c r="M225" s="100">
        <v>6.6</v>
      </c>
      <c r="N225" s="100">
        <v>3.2</v>
      </c>
      <c r="P225" s="125">
        <f t="shared" si="18"/>
        <v>72</v>
      </c>
      <c r="Q225" s="54" t="s">
        <v>273</v>
      </c>
      <c r="R225" s="48">
        <v>6.6</v>
      </c>
      <c r="S225" s="49">
        <v>3.2</v>
      </c>
      <c r="T225" s="50">
        <f t="shared" si="15"/>
        <v>0</v>
      </c>
      <c r="U225" s="9"/>
      <c r="V225" s="51">
        <v>72</v>
      </c>
      <c r="W225" s="51"/>
      <c r="X225" s="51"/>
      <c r="Y225" s="51"/>
      <c r="Z225" s="51"/>
      <c r="AA225" s="51"/>
      <c r="AB225" s="51"/>
      <c r="AC225" s="51"/>
      <c r="AD225" s="51"/>
      <c r="AE225" s="51"/>
      <c r="AF225" s="51"/>
      <c r="AG225" s="51"/>
      <c r="AH225" s="51"/>
      <c r="AI225" s="51"/>
      <c r="AJ225" s="51"/>
      <c r="AK225" s="51"/>
      <c r="AL225" s="51"/>
      <c r="AM225" s="51"/>
      <c r="AN225" s="51"/>
      <c r="AO225" s="51"/>
      <c r="AP225" s="51"/>
      <c r="AQ225" s="51"/>
      <c r="AR225" s="51"/>
      <c r="AS225" s="51"/>
      <c r="AT225" s="51"/>
      <c r="AU225" s="51"/>
      <c r="AV225" s="51"/>
      <c r="AW225" s="51"/>
      <c r="AX225" s="51"/>
      <c r="AY225" s="51"/>
      <c r="AZ225" s="51"/>
      <c r="BA225" s="51"/>
      <c r="BB225" s="51"/>
      <c r="BC225" s="51"/>
      <c r="BD225" s="51"/>
      <c r="BE225" s="51"/>
      <c r="BF225" s="51"/>
      <c r="BG225" s="51"/>
      <c r="BH225" s="51"/>
      <c r="BI225" s="51"/>
      <c r="BJ225" s="51"/>
      <c r="BK225" s="51"/>
      <c r="BL225" s="51"/>
      <c r="BM225" s="51"/>
      <c r="BN225" s="51"/>
      <c r="BO225" s="51"/>
      <c r="BP225" s="51"/>
      <c r="BQ225" s="51"/>
      <c r="BR225" s="9">
        <f t="shared" si="16"/>
        <v>1</v>
      </c>
      <c r="BS225" s="9"/>
      <c r="BT225" s="53" t="str">
        <f t="shared" si="17"/>
        <v>Northwest Africa 8701/ [unnamed 64]</v>
      </c>
      <c r="BU225" s="101" t="s">
        <v>230</v>
      </c>
    </row>
    <row r="226" spans="1:73" s="42" customFormat="1" ht="12.75" customHeight="1" x14ac:dyDescent="0.25">
      <c r="A226"/>
      <c r="B226" s="97">
        <f t="shared" si="14"/>
        <v>98</v>
      </c>
      <c r="C226" s="265" t="str">
        <f>HYPERLINK("https://sites.wustl.edu/meteoritesite/items/lm_nwa_04819/",Q226)</f>
        <v>Northwest Africa 4819</v>
      </c>
      <c r="D226" s="266"/>
      <c r="E226" s="266"/>
      <c r="F226" s="266"/>
      <c r="G226" s="98">
        <v>2007</v>
      </c>
      <c r="H226" s="267" t="s">
        <v>41</v>
      </c>
      <c r="I226" s="268"/>
      <c r="J226" s="99">
        <v>234</v>
      </c>
      <c r="K226" s="212" t="s">
        <v>35</v>
      </c>
      <c r="L226" s="213"/>
      <c r="M226" s="100">
        <v>7</v>
      </c>
      <c r="N226" s="100">
        <v>1.5</v>
      </c>
      <c r="P226" s="125">
        <f>SUM(V226:BQ226)</f>
        <v>234</v>
      </c>
      <c r="Q226" s="54" t="s">
        <v>136</v>
      </c>
      <c r="R226" s="48">
        <v>7</v>
      </c>
      <c r="S226" s="49">
        <v>1.5</v>
      </c>
      <c r="T226" s="50">
        <f t="shared" si="15"/>
        <v>0</v>
      </c>
      <c r="U226" s="9"/>
      <c r="V226" s="51">
        <v>234</v>
      </c>
      <c r="W226" s="51"/>
      <c r="X226" s="51"/>
      <c r="Y226" s="51"/>
      <c r="Z226" s="51"/>
      <c r="AA226" s="51"/>
      <c r="AB226" s="51"/>
      <c r="AC226" s="51"/>
      <c r="AD226" s="51"/>
      <c r="AE226" s="51"/>
      <c r="AF226" s="51"/>
      <c r="AG226" s="51"/>
      <c r="AH226" s="51"/>
      <c r="AI226" s="51"/>
      <c r="AJ226" s="51"/>
      <c r="AK226" s="51"/>
      <c r="AL226" s="51"/>
      <c r="AM226" s="51"/>
      <c r="AN226" s="51"/>
      <c r="AO226" s="51"/>
      <c r="AP226" s="51"/>
      <c r="AQ226" s="51"/>
      <c r="AR226" s="51"/>
      <c r="AS226" s="51"/>
      <c r="AT226" s="51"/>
      <c r="AU226" s="51"/>
      <c r="AV226" s="51"/>
      <c r="AW226" s="51"/>
      <c r="AX226" s="51"/>
      <c r="AY226" s="51"/>
      <c r="AZ226" s="51"/>
      <c r="BA226" s="51"/>
      <c r="BB226" s="51"/>
      <c r="BC226" s="51"/>
      <c r="BD226" s="51"/>
      <c r="BE226" s="51"/>
      <c r="BF226" s="51"/>
      <c r="BG226" s="51"/>
      <c r="BH226" s="51"/>
      <c r="BI226" s="51"/>
      <c r="BJ226" s="51"/>
      <c r="BK226" s="51"/>
      <c r="BL226" s="51"/>
      <c r="BM226" s="51"/>
      <c r="BN226" s="51"/>
      <c r="BO226" s="51"/>
      <c r="BP226" s="51"/>
      <c r="BQ226" s="51"/>
      <c r="BR226" s="9">
        <f t="shared" si="16"/>
        <v>1</v>
      </c>
      <c r="BS226" s="9"/>
      <c r="BT226" s="53" t="str">
        <f t="shared" si="17"/>
        <v>Northwest Africa 4819</v>
      </c>
      <c r="BU226" s="101" t="s">
        <v>230</v>
      </c>
    </row>
    <row r="227" spans="1:73" s="1" customFormat="1" ht="12.75" customHeight="1" x14ac:dyDescent="0.25">
      <c r="A227"/>
      <c r="B227" s="263" t="s">
        <v>512</v>
      </c>
      <c r="C227" s="264"/>
      <c r="D227" s="264"/>
      <c r="E227" s="264"/>
      <c r="F227" s="264"/>
      <c r="G227" s="264"/>
      <c r="H227" s="264"/>
      <c r="I227" s="264"/>
      <c r="J227" s="264"/>
      <c r="K227" s="264"/>
      <c r="L227" s="264"/>
      <c r="M227" s="264"/>
      <c r="N227" s="264"/>
      <c r="O227" s="15"/>
      <c r="P227" s="127"/>
      <c r="Q227" s="15"/>
      <c r="R227" s="15"/>
      <c r="S227" s="15"/>
      <c r="T227" s="50"/>
      <c r="U227" s="9"/>
      <c r="W227" s="42"/>
      <c r="X227" s="42"/>
      <c r="Y227" s="42"/>
      <c r="Z227" s="42"/>
      <c r="AA227" s="42"/>
      <c r="AB227" s="42"/>
      <c r="AC227" s="42"/>
      <c r="AD227" s="42"/>
      <c r="AE227" s="42"/>
      <c r="AF227" s="42"/>
      <c r="AG227" s="42"/>
      <c r="AH227" s="42"/>
      <c r="AI227" s="42"/>
      <c r="AJ227" s="42"/>
      <c r="AK227" s="42"/>
      <c r="AL227" s="42"/>
      <c r="AM227" s="42"/>
      <c r="AN227" s="42"/>
      <c r="AO227" s="42"/>
      <c r="AP227" s="42"/>
      <c r="AQ227" s="42"/>
      <c r="AR227" s="42"/>
      <c r="AS227" s="42"/>
      <c r="AT227" s="42"/>
      <c r="AU227" s="42"/>
      <c r="AV227" s="42"/>
      <c r="AW227" s="42"/>
      <c r="AX227" s="42"/>
      <c r="AY227" s="42"/>
      <c r="AZ227" s="42"/>
      <c r="BA227" s="42"/>
      <c r="BB227" s="42"/>
      <c r="BC227" s="42"/>
      <c r="BD227" s="42"/>
      <c r="BE227" s="42"/>
      <c r="BF227" s="42"/>
      <c r="BG227" s="42"/>
      <c r="BH227" s="42"/>
      <c r="BI227" s="42"/>
      <c r="BJ227" s="42"/>
      <c r="BK227" s="42"/>
      <c r="BL227" s="42"/>
      <c r="BM227" s="42"/>
      <c r="BN227" s="42"/>
      <c r="BO227" s="42"/>
      <c r="BP227" s="42"/>
      <c r="BQ227" s="42"/>
      <c r="BR227" s="9"/>
      <c r="BS227" s="42"/>
      <c r="BT227" s="53"/>
      <c r="BU227" s="25"/>
    </row>
    <row r="228" spans="1:73" s="42" customFormat="1" ht="12.75" customHeight="1" x14ac:dyDescent="0.25">
      <c r="A228"/>
      <c r="B228" s="97"/>
      <c r="C228" s="265" t="str">
        <f>HYPERLINK("https://sites.wustl.edu/meteoritesite/items/lm_nwa_11472/",Q228)</f>
        <v>Northwest Africa 11472</v>
      </c>
      <c r="D228" s="266"/>
      <c r="E228" s="266"/>
      <c r="F228" s="266"/>
      <c r="G228" s="98">
        <v>2017</v>
      </c>
      <c r="H228" s="267" t="s">
        <v>38</v>
      </c>
      <c r="I228" s="268"/>
      <c r="J228" s="99">
        <v>840</v>
      </c>
      <c r="K228" s="212" t="s">
        <v>39</v>
      </c>
      <c r="L228" s="213"/>
      <c r="M228" s="100" t="s">
        <v>40</v>
      </c>
      <c r="N228" s="100" t="s">
        <v>40</v>
      </c>
      <c r="P228" s="125">
        <f t="shared" ref="P228:P253" si="19">SUM(V228:BQ228)</f>
        <v>840</v>
      </c>
      <c r="Q228" s="54" t="s">
        <v>233</v>
      </c>
      <c r="R228" s="48"/>
      <c r="S228" s="49"/>
      <c r="T228" s="50">
        <f t="shared" si="15"/>
        <v>0</v>
      </c>
      <c r="U228" s="9"/>
      <c r="V228" s="51">
        <v>840</v>
      </c>
      <c r="W228" s="51"/>
      <c r="X228" s="51"/>
      <c r="Y228" s="51"/>
      <c r="Z228" s="51"/>
      <c r="AA228" s="51"/>
      <c r="AB228" s="51"/>
      <c r="AC228" s="51"/>
      <c r="AD228" s="51"/>
      <c r="AE228" s="51"/>
      <c r="AF228" s="51"/>
      <c r="AG228" s="51"/>
      <c r="AH228" s="51"/>
      <c r="AI228" s="51"/>
      <c r="AJ228" s="51"/>
      <c r="AK228" s="51"/>
      <c r="AL228" s="51"/>
      <c r="AM228" s="51"/>
      <c r="AN228" s="51"/>
      <c r="AO228" s="51"/>
      <c r="AP228" s="51"/>
      <c r="AQ228" s="51"/>
      <c r="AR228" s="51"/>
      <c r="AS228" s="51"/>
      <c r="AT228" s="51"/>
      <c r="AU228" s="51"/>
      <c r="AV228" s="51"/>
      <c r="AW228" s="51"/>
      <c r="AX228" s="51"/>
      <c r="AY228" s="51"/>
      <c r="AZ228" s="51"/>
      <c r="BA228" s="51"/>
      <c r="BB228" s="51"/>
      <c r="BC228" s="51"/>
      <c r="BD228" s="51"/>
      <c r="BE228" s="51"/>
      <c r="BF228" s="51"/>
      <c r="BG228" s="51"/>
      <c r="BH228" s="51"/>
      <c r="BI228" s="51"/>
      <c r="BJ228" s="51"/>
      <c r="BK228" s="51"/>
      <c r="BL228" s="51"/>
      <c r="BM228" s="51"/>
      <c r="BN228" s="51"/>
      <c r="BO228" s="51"/>
      <c r="BP228" s="51"/>
      <c r="BQ228" s="51"/>
      <c r="BR228" s="9">
        <f t="shared" si="16"/>
        <v>1</v>
      </c>
      <c r="BS228" s="9"/>
      <c r="BT228" s="53" t="str">
        <f t="shared" si="17"/>
        <v>Northwest Africa 11472</v>
      </c>
      <c r="BU228" s="101"/>
    </row>
    <row r="229" spans="1:73" s="42" customFormat="1" ht="12.75" customHeight="1" x14ac:dyDescent="0.25">
      <c r="A229"/>
      <c r="B229" s="97"/>
      <c r="C229" s="265" t="str">
        <f>HYPERLINK("https://sites.wustl.edu/meteoritesite/items/lm_nwa_11474/",Q229)</f>
        <v>Northwest Africa 11474</v>
      </c>
      <c r="D229" s="266"/>
      <c r="E229" s="266"/>
      <c r="F229" s="266"/>
      <c r="G229" s="98">
        <v>2017</v>
      </c>
      <c r="H229" s="267" t="s">
        <v>38</v>
      </c>
      <c r="I229" s="268"/>
      <c r="J229" s="99">
        <v>586</v>
      </c>
      <c r="K229" s="212" t="s">
        <v>39</v>
      </c>
      <c r="L229" s="213"/>
      <c r="M229" s="100" t="s">
        <v>385</v>
      </c>
      <c r="N229" s="100" t="s">
        <v>40</v>
      </c>
      <c r="P229" s="125">
        <f t="shared" si="19"/>
        <v>586</v>
      </c>
      <c r="Q229" s="54" t="s">
        <v>326</v>
      </c>
      <c r="R229" s="48"/>
      <c r="S229" s="49"/>
      <c r="T229" s="50">
        <f t="shared" si="15"/>
        <v>0</v>
      </c>
      <c r="U229" s="9"/>
      <c r="V229" s="51">
        <v>586</v>
      </c>
      <c r="W229" s="51"/>
      <c r="X229" s="51"/>
      <c r="Y229" s="51"/>
      <c r="Z229" s="51"/>
      <c r="AA229" s="51"/>
      <c r="AB229" s="51"/>
      <c r="AC229" s="51"/>
      <c r="AD229" s="51"/>
      <c r="AE229" s="51"/>
      <c r="AF229" s="51"/>
      <c r="AG229" s="51"/>
      <c r="AH229" s="51"/>
      <c r="AI229" s="51"/>
      <c r="AJ229" s="51"/>
      <c r="AK229" s="51"/>
      <c r="AL229" s="51"/>
      <c r="AM229" s="51"/>
      <c r="AN229" s="51"/>
      <c r="AO229" s="51"/>
      <c r="AP229" s="51"/>
      <c r="AQ229" s="51"/>
      <c r="AR229" s="51"/>
      <c r="AS229" s="51"/>
      <c r="AT229" s="51"/>
      <c r="AU229" s="51"/>
      <c r="AV229" s="51"/>
      <c r="AW229" s="51"/>
      <c r="AX229" s="51"/>
      <c r="AY229" s="51"/>
      <c r="AZ229" s="51"/>
      <c r="BA229" s="51"/>
      <c r="BB229" s="51"/>
      <c r="BC229" s="51"/>
      <c r="BD229" s="51"/>
      <c r="BE229" s="51"/>
      <c r="BF229" s="51"/>
      <c r="BG229" s="51"/>
      <c r="BH229" s="51"/>
      <c r="BI229" s="51"/>
      <c r="BJ229" s="51"/>
      <c r="BK229" s="51"/>
      <c r="BL229" s="51"/>
      <c r="BM229" s="51"/>
      <c r="BN229" s="51"/>
      <c r="BO229" s="51"/>
      <c r="BP229" s="51"/>
      <c r="BQ229" s="51"/>
      <c r="BR229" s="9">
        <f t="shared" si="16"/>
        <v>1</v>
      </c>
      <c r="BS229" s="9"/>
      <c r="BT229" s="53" t="str">
        <f t="shared" si="17"/>
        <v>Northwest Africa 11474</v>
      </c>
      <c r="BU229" s="101"/>
    </row>
    <row r="230" spans="1:73" s="42" customFormat="1" ht="12.75" customHeight="1" x14ac:dyDescent="0.25">
      <c r="A230"/>
      <c r="B230" s="97"/>
      <c r="C230" s="265" t="str">
        <f>HYPERLINK("https://sites.wustl.edu/meteoritesite/items/lm_nwa_11801/",Q230)</f>
        <v>Northwest Africa 11801</v>
      </c>
      <c r="D230" s="266"/>
      <c r="E230" s="266"/>
      <c r="F230" s="266"/>
      <c r="G230" s="98">
        <v>2016</v>
      </c>
      <c r="H230" s="267" t="s">
        <v>38</v>
      </c>
      <c r="I230" s="268"/>
      <c r="J230" s="103">
        <v>67.05</v>
      </c>
      <c r="K230" s="212" t="s">
        <v>66</v>
      </c>
      <c r="L230" s="213"/>
      <c r="M230" s="100" t="s">
        <v>40</v>
      </c>
      <c r="N230" s="100" t="s">
        <v>40</v>
      </c>
      <c r="P230" s="125">
        <f t="shared" si="19"/>
        <v>67.05</v>
      </c>
      <c r="Q230" s="54" t="s">
        <v>283</v>
      </c>
      <c r="R230" s="48"/>
      <c r="S230" s="49"/>
      <c r="T230" s="50">
        <f t="shared" si="15"/>
        <v>0</v>
      </c>
      <c r="U230" s="9"/>
      <c r="V230" s="51">
        <v>67.05</v>
      </c>
      <c r="W230" s="51"/>
      <c r="X230" s="51"/>
      <c r="Y230" s="51"/>
      <c r="Z230" s="51"/>
      <c r="AA230" s="51"/>
      <c r="AB230" s="51"/>
      <c r="AC230" s="51"/>
      <c r="AD230" s="51"/>
      <c r="AE230" s="51"/>
      <c r="AF230" s="51"/>
      <c r="AG230" s="51"/>
      <c r="AH230" s="51"/>
      <c r="AI230" s="51"/>
      <c r="AJ230" s="51"/>
      <c r="AK230" s="51"/>
      <c r="AL230" s="51"/>
      <c r="AM230" s="51"/>
      <c r="AN230" s="51"/>
      <c r="AO230" s="51"/>
      <c r="AP230" s="51"/>
      <c r="AQ230" s="51"/>
      <c r="AR230" s="51"/>
      <c r="AS230" s="51"/>
      <c r="AT230" s="51"/>
      <c r="AU230" s="51"/>
      <c r="AV230" s="51"/>
      <c r="AW230" s="51"/>
      <c r="AX230" s="51"/>
      <c r="AY230" s="51"/>
      <c r="AZ230" s="51"/>
      <c r="BA230" s="51"/>
      <c r="BB230" s="51"/>
      <c r="BC230" s="51"/>
      <c r="BD230" s="51"/>
      <c r="BE230" s="51"/>
      <c r="BF230" s="51"/>
      <c r="BG230" s="51"/>
      <c r="BH230" s="51"/>
      <c r="BI230" s="51"/>
      <c r="BJ230" s="51"/>
      <c r="BK230" s="51"/>
      <c r="BL230" s="51"/>
      <c r="BM230" s="51"/>
      <c r="BN230" s="51"/>
      <c r="BO230" s="51"/>
      <c r="BP230" s="51"/>
      <c r="BQ230" s="51"/>
      <c r="BR230" s="9">
        <f t="shared" si="16"/>
        <v>1</v>
      </c>
      <c r="BS230" s="9"/>
      <c r="BT230" s="53" t="str">
        <f t="shared" si="17"/>
        <v>Northwest Africa 11801</v>
      </c>
      <c r="BU230" s="101"/>
    </row>
    <row r="231" spans="1:73" s="42" customFormat="1" ht="12.75" customHeight="1" x14ac:dyDescent="0.25">
      <c r="A231"/>
      <c r="B231" s="97"/>
      <c r="C231" s="265" t="str">
        <f>HYPERLINK("https://sites.wustl.edu/meteoritesite/items/lm_nwa_11828/",Q231)</f>
        <v>Northwest Africa 11828</v>
      </c>
      <c r="D231" s="266"/>
      <c r="E231" s="266"/>
      <c r="F231" s="266"/>
      <c r="G231" s="98">
        <v>2017</v>
      </c>
      <c r="H231" s="267" t="s">
        <v>38</v>
      </c>
      <c r="I231" s="268"/>
      <c r="J231" s="99">
        <v>5340</v>
      </c>
      <c r="K231" s="212" t="s">
        <v>39</v>
      </c>
      <c r="L231" s="213"/>
      <c r="M231" s="100" t="s">
        <v>40</v>
      </c>
      <c r="N231" s="100" t="s">
        <v>40</v>
      </c>
      <c r="P231" s="125">
        <f t="shared" si="19"/>
        <v>5340</v>
      </c>
      <c r="Q231" s="54" t="s">
        <v>329</v>
      </c>
      <c r="R231" s="48"/>
      <c r="S231" s="49"/>
      <c r="T231" s="50">
        <f t="shared" si="15"/>
        <v>0</v>
      </c>
      <c r="U231" s="9"/>
      <c r="V231" s="51">
        <v>5340</v>
      </c>
      <c r="W231" s="51"/>
      <c r="X231" s="51"/>
      <c r="Y231" s="51"/>
      <c r="Z231" s="51"/>
      <c r="AA231" s="51"/>
      <c r="AB231" s="51"/>
      <c r="AC231" s="51"/>
      <c r="AD231" s="51"/>
      <c r="AE231" s="51"/>
      <c r="AF231" s="51"/>
      <c r="AG231" s="51"/>
      <c r="AH231" s="51"/>
      <c r="AI231" s="51"/>
      <c r="AJ231" s="51"/>
      <c r="AK231" s="51"/>
      <c r="AL231" s="51"/>
      <c r="AM231" s="51"/>
      <c r="AN231" s="51"/>
      <c r="AO231" s="51"/>
      <c r="AP231" s="51"/>
      <c r="AQ231" s="51"/>
      <c r="AR231" s="51"/>
      <c r="AS231" s="51"/>
      <c r="AT231" s="51"/>
      <c r="AU231" s="51"/>
      <c r="AV231" s="51"/>
      <c r="AW231" s="51"/>
      <c r="AX231" s="51"/>
      <c r="AY231" s="51"/>
      <c r="AZ231" s="51"/>
      <c r="BA231" s="51"/>
      <c r="BB231" s="51"/>
      <c r="BC231" s="51"/>
      <c r="BD231" s="51"/>
      <c r="BE231" s="51"/>
      <c r="BF231" s="51"/>
      <c r="BG231" s="51"/>
      <c r="BH231" s="51"/>
      <c r="BI231" s="51"/>
      <c r="BJ231" s="51"/>
      <c r="BK231" s="51"/>
      <c r="BL231" s="51"/>
      <c r="BM231" s="51"/>
      <c r="BN231" s="51"/>
      <c r="BO231" s="51"/>
      <c r="BP231" s="51"/>
      <c r="BQ231" s="51"/>
      <c r="BR231" s="9">
        <f t="shared" si="16"/>
        <v>1</v>
      </c>
      <c r="BS231" s="9"/>
      <c r="BT231" s="53" t="str">
        <f t="shared" si="17"/>
        <v>Northwest Africa 11828</v>
      </c>
      <c r="BU231" s="101"/>
    </row>
    <row r="232" spans="1:73" s="42" customFormat="1" ht="12.75" customHeight="1" x14ac:dyDescent="0.25">
      <c r="A232"/>
      <c r="B232" s="97"/>
      <c r="C232" s="265" t="str">
        <f>HYPERLINK("https://sites.wustl.edu/meteoritesite/items/lm_nwa_11871/",Q232)</f>
        <v>Northwest Africa 11871</v>
      </c>
      <c r="D232" s="266"/>
      <c r="E232" s="266"/>
      <c r="F232" s="266"/>
      <c r="G232" s="98">
        <v>2018</v>
      </c>
      <c r="H232" s="267" t="s">
        <v>38</v>
      </c>
      <c r="I232" s="268"/>
      <c r="J232" s="104">
        <v>21.9</v>
      </c>
      <c r="K232" s="212" t="s">
        <v>66</v>
      </c>
      <c r="L232" s="213"/>
      <c r="M232" s="100" t="s">
        <v>40</v>
      </c>
      <c r="N232" s="100" t="s">
        <v>40</v>
      </c>
      <c r="P232" s="125">
        <f t="shared" si="19"/>
        <v>21.9</v>
      </c>
      <c r="Q232" s="54" t="s">
        <v>330</v>
      </c>
      <c r="R232" s="48"/>
      <c r="S232" s="49"/>
      <c r="T232" s="50">
        <f t="shared" si="15"/>
        <v>0</v>
      </c>
      <c r="U232" s="9"/>
      <c r="V232" s="51">
        <v>21.9</v>
      </c>
      <c r="W232" s="51"/>
      <c r="X232" s="51"/>
      <c r="Y232" s="51"/>
      <c r="Z232" s="51"/>
      <c r="AA232" s="51"/>
      <c r="AB232" s="51"/>
      <c r="AC232" s="51"/>
      <c r="AD232" s="51"/>
      <c r="AE232" s="51"/>
      <c r="AF232" s="51"/>
      <c r="AG232" s="51"/>
      <c r="AH232" s="51"/>
      <c r="AI232" s="51"/>
      <c r="AJ232" s="51"/>
      <c r="AK232" s="51"/>
      <c r="AL232" s="51"/>
      <c r="AM232" s="51"/>
      <c r="AN232" s="51"/>
      <c r="AO232" s="51"/>
      <c r="AP232" s="51"/>
      <c r="AQ232" s="51"/>
      <c r="AR232" s="51"/>
      <c r="AS232" s="51"/>
      <c r="AT232" s="51"/>
      <c r="AU232" s="51"/>
      <c r="AV232" s="51"/>
      <c r="AW232" s="51"/>
      <c r="AX232" s="51"/>
      <c r="AY232" s="51"/>
      <c r="AZ232" s="51"/>
      <c r="BA232" s="51"/>
      <c r="BB232" s="51"/>
      <c r="BC232" s="51"/>
      <c r="BD232" s="51"/>
      <c r="BE232" s="51"/>
      <c r="BF232" s="51"/>
      <c r="BG232" s="51"/>
      <c r="BH232" s="51"/>
      <c r="BI232" s="51"/>
      <c r="BJ232" s="51"/>
      <c r="BK232" s="51"/>
      <c r="BL232" s="51"/>
      <c r="BM232" s="51"/>
      <c r="BN232" s="51"/>
      <c r="BO232" s="51"/>
      <c r="BP232" s="51"/>
      <c r="BQ232" s="51"/>
      <c r="BR232" s="9">
        <f t="shared" si="16"/>
        <v>1</v>
      </c>
      <c r="BS232" s="9"/>
      <c r="BT232" s="53" t="str">
        <f t="shared" si="17"/>
        <v>Northwest Africa 11871</v>
      </c>
      <c r="BU232" s="101"/>
    </row>
    <row r="233" spans="1:73" s="42" customFormat="1" ht="12.75" customHeight="1" x14ac:dyDescent="0.25">
      <c r="A233"/>
      <c r="B233" s="97"/>
      <c r="C233" s="265" t="str">
        <f>HYPERLINK("https://sites.wustl.edu/meteoritesite/items/lm_nwa_12216/",Q233)</f>
        <v>Northwest Africa 12216</v>
      </c>
      <c r="D233" s="266"/>
      <c r="E233" s="266"/>
      <c r="F233" s="266"/>
      <c r="G233" s="98">
        <v>2018</v>
      </c>
      <c r="H233" s="267" t="s">
        <v>41</v>
      </c>
      <c r="I233" s="268"/>
      <c r="J233" s="104">
        <v>34.4</v>
      </c>
      <c r="K233" s="212" t="s">
        <v>66</v>
      </c>
      <c r="L233" s="213"/>
      <c r="M233" s="100" t="s">
        <v>40</v>
      </c>
      <c r="N233" s="100" t="s">
        <v>40</v>
      </c>
      <c r="P233" s="125">
        <f t="shared" si="19"/>
        <v>34.4</v>
      </c>
      <c r="Q233" s="54" t="s">
        <v>335</v>
      </c>
      <c r="R233" s="48"/>
      <c r="S233" s="49"/>
      <c r="T233" s="50">
        <f t="shared" si="15"/>
        <v>0</v>
      </c>
      <c r="U233" s="9"/>
      <c r="V233" s="51">
        <v>34.4</v>
      </c>
      <c r="W233" s="51"/>
      <c r="X233" s="51"/>
      <c r="Y233" s="51"/>
      <c r="Z233" s="51"/>
      <c r="AA233" s="51"/>
      <c r="AB233" s="51"/>
      <c r="AC233" s="51"/>
      <c r="AD233" s="51"/>
      <c r="AE233" s="51"/>
      <c r="AF233" s="51"/>
      <c r="AG233" s="51"/>
      <c r="AH233" s="51"/>
      <c r="AI233" s="51"/>
      <c r="AJ233" s="51"/>
      <c r="AK233" s="51"/>
      <c r="AL233" s="51"/>
      <c r="AM233" s="51"/>
      <c r="AN233" s="51"/>
      <c r="AO233" s="51"/>
      <c r="AP233" s="51"/>
      <c r="AQ233" s="51"/>
      <c r="AR233" s="51"/>
      <c r="AS233" s="51"/>
      <c r="AT233" s="51"/>
      <c r="AU233" s="51"/>
      <c r="AV233" s="51"/>
      <c r="AW233" s="51"/>
      <c r="AX233" s="51"/>
      <c r="AY233" s="51"/>
      <c r="AZ233" s="51"/>
      <c r="BA233" s="51"/>
      <c r="BB233" s="51"/>
      <c r="BC233" s="51"/>
      <c r="BD233" s="51"/>
      <c r="BE233" s="51"/>
      <c r="BF233" s="51"/>
      <c r="BG233" s="51"/>
      <c r="BH233" s="51"/>
      <c r="BI233" s="51"/>
      <c r="BJ233" s="51"/>
      <c r="BK233" s="51"/>
      <c r="BL233" s="51"/>
      <c r="BM233" s="51"/>
      <c r="BN233" s="51"/>
      <c r="BO233" s="51"/>
      <c r="BP233" s="51"/>
      <c r="BQ233" s="51"/>
      <c r="BR233" s="9">
        <f t="shared" si="16"/>
        <v>1</v>
      </c>
      <c r="BS233" s="9"/>
      <c r="BT233" s="53" t="str">
        <f t="shared" si="17"/>
        <v>Northwest Africa 12216</v>
      </c>
      <c r="BU233" s="101"/>
    </row>
    <row r="234" spans="1:73" s="42" customFormat="1" ht="12.75" customHeight="1" x14ac:dyDescent="0.25">
      <c r="A234"/>
      <c r="B234" s="97"/>
      <c r="C234" s="265" t="str">
        <f>HYPERLINK("https://sites.wustl.edu/meteoritesite/items/lm_nwa_12270/",Q234)</f>
        <v>Northwest Africa 12270</v>
      </c>
      <c r="D234" s="266"/>
      <c r="E234" s="266"/>
      <c r="F234" s="266"/>
      <c r="G234" s="98">
        <v>2018</v>
      </c>
      <c r="H234" s="267" t="s">
        <v>38</v>
      </c>
      <c r="I234" s="268"/>
      <c r="J234" s="99">
        <v>1300</v>
      </c>
      <c r="K234" s="212" t="s">
        <v>51</v>
      </c>
      <c r="L234" s="213"/>
      <c r="M234" s="100" t="s">
        <v>236</v>
      </c>
      <c r="N234" s="100" t="s">
        <v>40</v>
      </c>
      <c r="P234" s="125">
        <f t="shared" si="19"/>
        <v>1300</v>
      </c>
      <c r="Q234" s="54" t="s">
        <v>321</v>
      </c>
      <c r="R234" s="48"/>
      <c r="S234" s="49"/>
      <c r="T234" s="50">
        <f t="shared" si="15"/>
        <v>0</v>
      </c>
      <c r="U234" s="9"/>
      <c r="V234" s="51">
        <v>1300</v>
      </c>
      <c r="W234" s="51"/>
      <c r="X234" s="51"/>
      <c r="Y234" s="51"/>
      <c r="Z234" s="51"/>
      <c r="AA234" s="51"/>
      <c r="AB234" s="51"/>
      <c r="AC234" s="51"/>
      <c r="AD234" s="51"/>
      <c r="AE234" s="51"/>
      <c r="AF234" s="51"/>
      <c r="AG234" s="51"/>
      <c r="AH234" s="51"/>
      <c r="AI234" s="51"/>
      <c r="AJ234" s="51"/>
      <c r="AK234" s="51"/>
      <c r="AL234" s="51"/>
      <c r="AM234" s="51"/>
      <c r="AN234" s="51"/>
      <c r="AO234" s="51"/>
      <c r="AP234" s="51"/>
      <c r="AQ234" s="51"/>
      <c r="AR234" s="51"/>
      <c r="AS234" s="51"/>
      <c r="AT234" s="51"/>
      <c r="AU234" s="51"/>
      <c r="AV234" s="51"/>
      <c r="AW234" s="51"/>
      <c r="AX234" s="51"/>
      <c r="AY234" s="51"/>
      <c r="AZ234" s="51"/>
      <c r="BA234" s="51"/>
      <c r="BB234" s="51"/>
      <c r="BC234" s="51"/>
      <c r="BD234" s="51"/>
      <c r="BE234" s="51"/>
      <c r="BF234" s="51"/>
      <c r="BG234" s="51"/>
      <c r="BH234" s="51"/>
      <c r="BI234" s="51"/>
      <c r="BJ234" s="51"/>
      <c r="BK234" s="51"/>
      <c r="BL234" s="51"/>
      <c r="BM234" s="51"/>
      <c r="BN234" s="51"/>
      <c r="BO234" s="51"/>
      <c r="BP234" s="51"/>
      <c r="BQ234" s="51"/>
      <c r="BR234" s="9">
        <f t="shared" si="16"/>
        <v>1</v>
      </c>
      <c r="BS234" s="9"/>
      <c r="BT234" s="53" t="str">
        <f t="shared" si="17"/>
        <v>Northwest Africa 12270</v>
      </c>
      <c r="BU234" s="101"/>
    </row>
    <row r="235" spans="1:73" s="42" customFormat="1" ht="12.75" customHeight="1" x14ac:dyDescent="0.25">
      <c r="A235"/>
      <c r="B235" s="97"/>
      <c r="C235" s="265" t="str">
        <f>HYPERLINK("https://sites.wustl.edu/meteoritesite/items/lm_nwa_12428/",Q235)</f>
        <v>Northwest Africa 12428</v>
      </c>
      <c r="D235" s="266"/>
      <c r="E235" s="266"/>
      <c r="F235" s="266"/>
      <c r="G235" s="98">
        <v>2017</v>
      </c>
      <c r="H235" s="267" t="s">
        <v>38</v>
      </c>
      <c r="I235" s="268"/>
      <c r="J235" s="99">
        <v>2070</v>
      </c>
      <c r="K235" s="212" t="s">
        <v>39</v>
      </c>
      <c r="L235" s="213"/>
      <c r="M235" s="100" t="s">
        <v>236</v>
      </c>
      <c r="N235" s="100" t="s">
        <v>40</v>
      </c>
      <c r="P235" s="125">
        <f t="shared" si="19"/>
        <v>2070</v>
      </c>
      <c r="Q235" s="54" t="s">
        <v>340</v>
      </c>
      <c r="R235" s="48"/>
      <c r="S235" s="49"/>
      <c r="T235" s="50">
        <f t="shared" si="15"/>
        <v>0</v>
      </c>
      <c r="U235" s="9"/>
      <c r="V235" s="51">
        <v>2070</v>
      </c>
      <c r="W235" s="51"/>
      <c r="X235" s="51"/>
      <c r="Y235" s="51"/>
      <c r="Z235" s="51"/>
      <c r="AA235" s="51"/>
      <c r="AB235" s="51"/>
      <c r="AC235" s="51"/>
      <c r="AD235" s="51"/>
      <c r="AE235" s="51"/>
      <c r="AF235" s="51"/>
      <c r="AG235" s="51"/>
      <c r="AH235" s="51"/>
      <c r="AI235" s="51"/>
      <c r="AJ235" s="51"/>
      <c r="AK235" s="51"/>
      <c r="AL235" s="51"/>
      <c r="AM235" s="51"/>
      <c r="AN235" s="51"/>
      <c r="AO235" s="51"/>
      <c r="AP235" s="51"/>
      <c r="AQ235" s="51"/>
      <c r="AR235" s="51"/>
      <c r="AS235" s="51"/>
      <c r="AT235" s="51"/>
      <c r="AU235" s="51"/>
      <c r="AV235" s="51"/>
      <c r="AW235" s="51"/>
      <c r="AX235" s="51"/>
      <c r="AY235" s="51"/>
      <c r="AZ235" s="51"/>
      <c r="BA235" s="51"/>
      <c r="BB235" s="51"/>
      <c r="BC235" s="51"/>
      <c r="BD235" s="51"/>
      <c r="BE235" s="51"/>
      <c r="BF235" s="51"/>
      <c r="BG235" s="51"/>
      <c r="BH235" s="51"/>
      <c r="BI235" s="51"/>
      <c r="BJ235" s="51"/>
      <c r="BK235" s="51"/>
      <c r="BL235" s="51"/>
      <c r="BM235" s="51"/>
      <c r="BN235" s="51"/>
      <c r="BO235" s="51"/>
      <c r="BP235" s="51"/>
      <c r="BQ235" s="51"/>
      <c r="BR235" s="9">
        <f t="shared" si="16"/>
        <v>1</v>
      </c>
      <c r="BS235" s="9"/>
      <c r="BT235" s="53" t="str">
        <f t="shared" si="17"/>
        <v>Northwest Africa 12428</v>
      </c>
      <c r="BU235" s="101"/>
    </row>
    <row r="236" spans="1:73" s="42" customFormat="1" ht="12.75" customHeight="1" x14ac:dyDescent="0.25">
      <c r="A236"/>
      <c r="B236" s="97"/>
      <c r="C236" s="265" t="str">
        <f>HYPERLINK("https://sites.wustl.edu/meteoritesite/items/lm_nwa_12592/",Q236)</f>
        <v>Northwest Africa 12592/ 12593</v>
      </c>
      <c r="D236" s="266"/>
      <c r="E236" s="266"/>
      <c r="F236" s="266"/>
      <c r="G236" s="98">
        <v>2017</v>
      </c>
      <c r="H236" s="267" t="s">
        <v>41</v>
      </c>
      <c r="I236" s="268"/>
      <c r="J236" s="99">
        <v>1752.8</v>
      </c>
      <c r="K236" s="212" t="s">
        <v>410</v>
      </c>
      <c r="L236" s="213"/>
      <c r="M236" s="100" t="s">
        <v>236</v>
      </c>
      <c r="N236" s="100" t="s">
        <v>40</v>
      </c>
      <c r="P236" s="125">
        <f t="shared" si="19"/>
        <v>1752.8</v>
      </c>
      <c r="Q236" s="54" t="s">
        <v>409</v>
      </c>
      <c r="R236" s="48"/>
      <c r="S236" s="49"/>
      <c r="T236" s="50">
        <f t="shared" si="15"/>
        <v>0</v>
      </c>
      <c r="U236" s="9"/>
      <c r="V236" s="51">
        <v>1420</v>
      </c>
      <c r="W236" s="51">
        <v>332.8</v>
      </c>
      <c r="X236" s="51"/>
      <c r="Y236" s="51"/>
      <c r="Z236" s="51"/>
      <c r="AA236" s="51"/>
      <c r="AB236" s="51"/>
      <c r="AC236" s="51"/>
      <c r="AD236" s="51"/>
      <c r="AE236" s="51"/>
      <c r="AF236" s="51"/>
      <c r="AG236" s="51"/>
      <c r="AH236" s="51"/>
      <c r="AI236" s="51"/>
      <c r="AJ236" s="51"/>
      <c r="AK236" s="51"/>
      <c r="AL236" s="51"/>
      <c r="AM236" s="51"/>
      <c r="AN236" s="51"/>
      <c r="AO236" s="51"/>
      <c r="AP236" s="51"/>
      <c r="AQ236" s="51"/>
      <c r="AR236" s="51"/>
      <c r="AS236" s="51"/>
      <c r="AT236" s="51"/>
      <c r="AU236" s="51"/>
      <c r="AV236" s="51"/>
      <c r="AW236" s="51"/>
      <c r="AX236" s="51"/>
      <c r="AY236" s="51"/>
      <c r="AZ236" s="51"/>
      <c r="BA236" s="51"/>
      <c r="BB236" s="51"/>
      <c r="BC236" s="51"/>
      <c r="BD236" s="51"/>
      <c r="BE236" s="51"/>
      <c r="BF236" s="51"/>
      <c r="BG236" s="51"/>
      <c r="BH236" s="51"/>
      <c r="BI236" s="51"/>
      <c r="BJ236" s="51"/>
      <c r="BK236" s="51"/>
      <c r="BL236" s="51"/>
      <c r="BM236" s="51"/>
      <c r="BN236" s="51"/>
      <c r="BO236" s="51"/>
      <c r="BP236" s="51"/>
      <c r="BQ236" s="51"/>
      <c r="BR236" s="9">
        <f t="shared" si="16"/>
        <v>2</v>
      </c>
      <c r="BS236" s="9"/>
      <c r="BT236" s="53" t="str">
        <f t="shared" si="17"/>
        <v>Northwest Africa 12592/ 12593</v>
      </c>
      <c r="BU236" s="101"/>
    </row>
    <row r="237" spans="1:73" s="42" customFormat="1" ht="12.75" customHeight="1" x14ac:dyDescent="0.25">
      <c r="A237"/>
      <c r="B237" s="97"/>
      <c r="C237" s="265" t="str">
        <f>HYPERLINK("https://sites.wustl.edu/meteoritesite/items/lm_nwa_12870/",Q237)</f>
        <v>Northwest Africa 12870</v>
      </c>
      <c r="D237" s="266"/>
      <c r="E237" s="266"/>
      <c r="F237" s="266"/>
      <c r="G237" s="98">
        <v>2019</v>
      </c>
      <c r="H237" s="267" t="s">
        <v>38</v>
      </c>
      <c r="I237" s="268"/>
      <c r="J237" s="104">
        <v>150.80000000000001</v>
      </c>
      <c r="K237" s="212" t="s">
        <v>379</v>
      </c>
      <c r="L237" s="213"/>
      <c r="M237" s="100" t="s">
        <v>40</v>
      </c>
      <c r="N237" s="100" t="s">
        <v>40</v>
      </c>
      <c r="P237" s="125">
        <f t="shared" si="19"/>
        <v>150.80000000000001</v>
      </c>
      <c r="Q237" s="54" t="s">
        <v>366</v>
      </c>
      <c r="R237" s="48"/>
      <c r="S237" s="49"/>
      <c r="T237" s="50">
        <f t="shared" si="15"/>
        <v>0</v>
      </c>
      <c r="U237" s="9"/>
      <c r="V237" s="51">
        <v>150.80000000000001</v>
      </c>
      <c r="W237" s="51"/>
      <c r="X237" s="51"/>
      <c r="Y237" s="51"/>
      <c r="Z237" s="51"/>
      <c r="AA237" s="51"/>
      <c r="AB237" s="51"/>
      <c r="AC237" s="51"/>
      <c r="AD237" s="51"/>
      <c r="AE237" s="51"/>
      <c r="AF237" s="51"/>
      <c r="AG237" s="51"/>
      <c r="AH237" s="51"/>
      <c r="AI237" s="51"/>
      <c r="AJ237" s="51"/>
      <c r="AK237" s="51"/>
      <c r="AL237" s="51"/>
      <c r="AM237" s="51"/>
      <c r="AN237" s="51"/>
      <c r="AO237" s="51"/>
      <c r="AP237" s="51"/>
      <c r="AQ237" s="51"/>
      <c r="AR237" s="51"/>
      <c r="AS237" s="51"/>
      <c r="AT237" s="51"/>
      <c r="AU237" s="51"/>
      <c r="AV237" s="51"/>
      <c r="AW237" s="51"/>
      <c r="AX237" s="51"/>
      <c r="AY237" s="51"/>
      <c r="AZ237" s="51"/>
      <c r="BA237" s="51"/>
      <c r="BB237" s="51"/>
      <c r="BC237" s="51"/>
      <c r="BD237" s="51"/>
      <c r="BE237" s="51"/>
      <c r="BF237" s="51"/>
      <c r="BG237" s="51"/>
      <c r="BH237" s="51"/>
      <c r="BI237" s="51"/>
      <c r="BJ237" s="51"/>
      <c r="BK237" s="51"/>
      <c r="BL237" s="51"/>
      <c r="BM237" s="51"/>
      <c r="BN237" s="51"/>
      <c r="BO237" s="51"/>
      <c r="BP237" s="51"/>
      <c r="BQ237" s="51"/>
      <c r="BR237" s="9">
        <f t="shared" si="16"/>
        <v>1</v>
      </c>
      <c r="BS237" s="9"/>
      <c r="BT237" s="53" t="str">
        <f t="shared" si="17"/>
        <v>Northwest Africa 12870</v>
      </c>
      <c r="BU237" s="101"/>
    </row>
    <row r="238" spans="1:73" s="42" customFormat="1" ht="12.75" customHeight="1" x14ac:dyDescent="0.25">
      <c r="A238"/>
      <c r="B238" s="97"/>
      <c r="C238" s="265" t="str">
        <f>HYPERLINK("https://sites.wustl.edu/meteoritesite/items/lm_nwa_12980/",Q238)</f>
        <v>Northwest Africa 12980</v>
      </c>
      <c r="D238" s="266"/>
      <c r="E238" s="266"/>
      <c r="F238" s="266"/>
      <c r="G238" s="98">
        <v>2018</v>
      </c>
      <c r="H238" s="267" t="s">
        <v>616</v>
      </c>
      <c r="I238" s="268"/>
      <c r="J238" s="99">
        <v>1300</v>
      </c>
      <c r="K238" s="212" t="s">
        <v>51</v>
      </c>
      <c r="L238" s="213"/>
      <c r="M238" s="100" t="s">
        <v>40</v>
      </c>
      <c r="N238" s="100" t="s">
        <v>40</v>
      </c>
      <c r="P238" s="125">
        <f t="shared" si="19"/>
        <v>1300</v>
      </c>
      <c r="Q238" s="54" t="s">
        <v>392</v>
      </c>
      <c r="R238" s="48"/>
      <c r="S238" s="49"/>
      <c r="T238" s="50">
        <f t="shared" si="15"/>
        <v>0</v>
      </c>
      <c r="U238" s="9"/>
      <c r="V238" s="51">
        <v>1300</v>
      </c>
      <c r="W238" s="51"/>
      <c r="X238" s="51"/>
      <c r="Y238" s="51"/>
      <c r="Z238" s="51"/>
      <c r="AA238" s="51"/>
      <c r="AB238" s="51"/>
      <c r="AC238" s="51"/>
      <c r="AD238" s="51"/>
      <c r="AE238" s="51"/>
      <c r="AF238" s="51"/>
      <c r="AG238" s="51"/>
      <c r="AH238" s="51"/>
      <c r="AI238" s="51"/>
      <c r="AJ238" s="51"/>
      <c r="AK238" s="51"/>
      <c r="AL238" s="51"/>
      <c r="AM238" s="51"/>
      <c r="AN238" s="51"/>
      <c r="AO238" s="51"/>
      <c r="AP238" s="51"/>
      <c r="AQ238" s="51"/>
      <c r="AR238" s="51"/>
      <c r="AS238" s="51"/>
      <c r="AT238" s="51"/>
      <c r="AU238" s="51"/>
      <c r="AV238" s="51"/>
      <c r="AW238" s="51"/>
      <c r="AX238" s="51"/>
      <c r="AY238" s="51"/>
      <c r="AZ238" s="51"/>
      <c r="BA238" s="51"/>
      <c r="BB238" s="51"/>
      <c r="BC238" s="51"/>
      <c r="BD238" s="51"/>
      <c r="BE238" s="51"/>
      <c r="BF238" s="51"/>
      <c r="BG238" s="51"/>
      <c r="BH238" s="51"/>
      <c r="BI238" s="51"/>
      <c r="BJ238" s="51"/>
      <c r="BK238" s="51"/>
      <c r="BL238" s="51"/>
      <c r="BM238" s="51"/>
      <c r="BN238" s="51"/>
      <c r="BO238" s="51"/>
      <c r="BP238" s="51"/>
      <c r="BQ238" s="51"/>
      <c r="BR238" s="9">
        <f t="shared" si="16"/>
        <v>1</v>
      </c>
      <c r="BS238" s="9"/>
      <c r="BT238" s="53" t="str">
        <f t="shared" si="17"/>
        <v>Northwest Africa 12980</v>
      </c>
      <c r="BU238" s="101"/>
    </row>
    <row r="239" spans="1:73" s="42" customFormat="1" ht="12.75" customHeight="1" x14ac:dyDescent="0.25">
      <c r="A239"/>
      <c r="B239" s="97"/>
      <c r="C239" s="265" t="str">
        <f>HYPERLINK("https://sites.wustl.edu/meteoritesite/items/lm_nwa_12985/",Q239)</f>
        <v>Northwest Africa 12985</v>
      </c>
      <c r="D239" s="266"/>
      <c r="E239" s="266"/>
      <c r="F239" s="266"/>
      <c r="G239" s="98">
        <v>2016</v>
      </c>
      <c r="H239" s="267" t="s">
        <v>38</v>
      </c>
      <c r="I239" s="268"/>
      <c r="J239" s="99">
        <v>33</v>
      </c>
      <c r="K239" s="212" t="s">
        <v>66</v>
      </c>
      <c r="L239" s="213"/>
      <c r="M239" s="100" t="s">
        <v>40</v>
      </c>
      <c r="N239" s="100" t="s">
        <v>40</v>
      </c>
      <c r="P239" s="125">
        <f t="shared" si="19"/>
        <v>33</v>
      </c>
      <c r="Q239" s="54" t="s">
        <v>393</v>
      </c>
      <c r="R239" s="48"/>
      <c r="S239" s="49"/>
      <c r="T239" s="50">
        <f t="shared" si="15"/>
        <v>0</v>
      </c>
      <c r="U239" s="9"/>
      <c r="V239" s="51">
        <v>33</v>
      </c>
      <c r="W239" s="51"/>
      <c r="X239" s="51"/>
      <c r="Y239" s="51"/>
      <c r="Z239" s="51"/>
      <c r="AA239" s="51"/>
      <c r="AB239" s="51"/>
      <c r="AC239" s="51"/>
      <c r="AD239" s="51"/>
      <c r="AE239" s="51"/>
      <c r="AF239" s="51"/>
      <c r="AG239" s="51"/>
      <c r="AH239" s="51"/>
      <c r="AI239" s="51"/>
      <c r="AJ239" s="51"/>
      <c r="AK239" s="51"/>
      <c r="AL239" s="51"/>
      <c r="AM239" s="51"/>
      <c r="AN239" s="51"/>
      <c r="AO239" s="51"/>
      <c r="AP239" s="51"/>
      <c r="AQ239" s="51"/>
      <c r="AR239" s="51"/>
      <c r="AS239" s="51"/>
      <c r="AT239" s="51"/>
      <c r="AU239" s="51"/>
      <c r="AV239" s="51"/>
      <c r="AW239" s="51"/>
      <c r="AX239" s="51"/>
      <c r="AY239" s="51"/>
      <c r="AZ239" s="51"/>
      <c r="BA239" s="51"/>
      <c r="BB239" s="51"/>
      <c r="BC239" s="51"/>
      <c r="BD239" s="51"/>
      <c r="BE239" s="51"/>
      <c r="BF239" s="51"/>
      <c r="BG239" s="51"/>
      <c r="BH239" s="51"/>
      <c r="BI239" s="51"/>
      <c r="BJ239" s="51"/>
      <c r="BK239" s="51"/>
      <c r="BL239" s="51"/>
      <c r="BM239" s="51"/>
      <c r="BN239" s="51"/>
      <c r="BO239" s="51"/>
      <c r="BP239" s="51"/>
      <c r="BQ239" s="51"/>
      <c r="BR239" s="9">
        <f t="shared" si="16"/>
        <v>1</v>
      </c>
      <c r="BS239" s="9"/>
      <c r="BT239" s="53" t="str">
        <f t="shared" si="17"/>
        <v>Northwest Africa 12985</v>
      </c>
      <c r="BU239" s="101"/>
    </row>
    <row r="240" spans="1:73" s="42" customFormat="1" ht="12.75" customHeight="1" x14ac:dyDescent="0.25">
      <c r="A240"/>
      <c r="B240" s="97"/>
      <c r="C240" s="265" t="str">
        <f>HYPERLINK("https://sites.wustl.edu/meteoritesite/items/lm_nwa_13138/",Q240)</f>
        <v>Northwest Africa 13138</v>
      </c>
      <c r="D240" s="266"/>
      <c r="E240" s="266"/>
      <c r="F240" s="266"/>
      <c r="G240" s="98">
        <v>2019</v>
      </c>
      <c r="H240" s="267" t="s">
        <v>396</v>
      </c>
      <c r="I240" s="268"/>
      <c r="J240" s="104">
        <v>16.7</v>
      </c>
      <c r="K240" s="212" t="s">
        <v>66</v>
      </c>
      <c r="L240" s="213"/>
      <c r="M240" s="100" t="s">
        <v>40</v>
      </c>
      <c r="N240" s="100" t="s">
        <v>40</v>
      </c>
      <c r="P240" s="125">
        <f t="shared" si="19"/>
        <v>16.7</v>
      </c>
      <c r="Q240" s="54" t="s">
        <v>395</v>
      </c>
      <c r="R240" s="48"/>
      <c r="S240" s="49"/>
      <c r="T240" s="50">
        <f t="shared" si="15"/>
        <v>0</v>
      </c>
      <c r="U240" s="9"/>
      <c r="V240" s="51">
        <v>16.7</v>
      </c>
      <c r="W240" s="51"/>
      <c r="X240" s="51"/>
      <c r="Y240" s="51"/>
      <c r="Z240" s="51"/>
      <c r="AA240" s="51"/>
      <c r="AB240" s="51"/>
      <c r="AC240" s="51"/>
      <c r="AD240" s="51"/>
      <c r="AE240" s="51"/>
      <c r="AF240" s="51"/>
      <c r="AG240" s="51"/>
      <c r="AH240" s="51"/>
      <c r="AI240" s="51"/>
      <c r="AJ240" s="51"/>
      <c r="AK240" s="51"/>
      <c r="AL240" s="51"/>
      <c r="AM240" s="51"/>
      <c r="AN240" s="51"/>
      <c r="AO240" s="51"/>
      <c r="AP240" s="51"/>
      <c r="AQ240" s="51"/>
      <c r="AR240" s="51"/>
      <c r="AS240" s="51"/>
      <c r="AT240" s="51"/>
      <c r="AU240" s="51"/>
      <c r="AV240" s="51"/>
      <c r="AW240" s="51"/>
      <c r="AX240" s="51"/>
      <c r="AY240" s="51"/>
      <c r="AZ240" s="51"/>
      <c r="BA240" s="51"/>
      <c r="BB240" s="51"/>
      <c r="BC240" s="51"/>
      <c r="BD240" s="51"/>
      <c r="BE240" s="51"/>
      <c r="BF240" s="51"/>
      <c r="BG240" s="51"/>
      <c r="BH240" s="51"/>
      <c r="BI240" s="51"/>
      <c r="BJ240" s="51"/>
      <c r="BK240" s="51"/>
      <c r="BL240" s="51"/>
      <c r="BM240" s="51"/>
      <c r="BN240" s="51"/>
      <c r="BO240" s="51"/>
      <c r="BP240" s="51"/>
      <c r="BQ240" s="51"/>
      <c r="BR240" s="9">
        <f t="shared" si="16"/>
        <v>1</v>
      </c>
      <c r="BS240" s="9"/>
      <c r="BT240" s="53" t="str">
        <f t="shared" si="17"/>
        <v>Northwest Africa 13138</v>
      </c>
      <c r="BU240" s="101"/>
    </row>
    <row r="241" spans="1:73" s="42" customFormat="1" ht="12.75" customHeight="1" x14ac:dyDescent="0.25">
      <c r="A241"/>
      <c r="B241" s="97"/>
      <c r="C241" s="265" t="str">
        <f>HYPERLINK("https://sites.wustl.edu/meteoritesite/items/lm_nwa_13191/",Q241)</f>
        <v>Northwest Africa 13191</v>
      </c>
      <c r="D241" s="266"/>
      <c r="E241" s="266"/>
      <c r="F241" s="266"/>
      <c r="G241" s="98">
        <v>2015</v>
      </c>
      <c r="H241" s="267" t="s">
        <v>396</v>
      </c>
      <c r="I241" s="268"/>
      <c r="J241" s="103">
        <v>134.86000000000001</v>
      </c>
      <c r="K241" s="212" t="s">
        <v>35</v>
      </c>
      <c r="L241" s="213"/>
      <c r="M241" s="100" t="s">
        <v>40</v>
      </c>
      <c r="N241" s="100" t="s">
        <v>40</v>
      </c>
      <c r="P241" s="125">
        <f t="shared" si="19"/>
        <v>134.86000000000001</v>
      </c>
      <c r="Q241" s="54" t="s">
        <v>408</v>
      </c>
      <c r="R241" s="48"/>
      <c r="S241" s="49"/>
      <c r="T241" s="50">
        <f t="shared" si="15"/>
        <v>0</v>
      </c>
      <c r="U241" s="9"/>
      <c r="V241" s="51">
        <v>134.86000000000001</v>
      </c>
      <c r="W241" s="51"/>
      <c r="X241" s="51"/>
      <c r="Y241" s="51"/>
      <c r="Z241" s="51"/>
      <c r="AA241" s="51"/>
      <c r="AB241" s="51"/>
      <c r="AC241" s="51"/>
      <c r="AD241" s="51"/>
      <c r="AE241" s="51"/>
      <c r="AF241" s="51"/>
      <c r="AG241" s="51"/>
      <c r="AH241" s="51"/>
      <c r="AI241" s="51"/>
      <c r="AJ241" s="51"/>
      <c r="AK241" s="51"/>
      <c r="AL241" s="51"/>
      <c r="AM241" s="51"/>
      <c r="AN241" s="51"/>
      <c r="AO241" s="51"/>
      <c r="AP241" s="51"/>
      <c r="AQ241" s="51"/>
      <c r="AR241" s="51"/>
      <c r="AS241" s="51"/>
      <c r="AT241" s="51"/>
      <c r="AU241" s="51"/>
      <c r="AV241" s="51"/>
      <c r="AW241" s="51"/>
      <c r="AX241" s="51"/>
      <c r="AY241" s="51"/>
      <c r="AZ241" s="51"/>
      <c r="BA241" s="51"/>
      <c r="BB241" s="51"/>
      <c r="BC241" s="51"/>
      <c r="BD241" s="51"/>
      <c r="BE241" s="51"/>
      <c r="BF241" s="51"/>
      <c r="BG241" s="51"/>
      <c r="BH241" s="51"/>
      <c r="BI241" s="51"/>
      <c r="BJ241" s="51"/>
      <c r="BK241" s="51"/>
      <c r="BL241" s="51"/>
      <c r="BM241" s="51"/>
      <c r="BN241" s="51"/>
      <c r="BO241" s="51"/>
      <c r="BP241" s="51"/>
      <c r="BQ241" s="51"/>
      <c r="BR241" s="9">
        <f t="shared" si="16"/>
        <v>1</v>
      </c>
      <c r="BS241" s="9"/>
      <c r="BT241" s="53" t="str">
        <f t="shared" si="17"/>
        <v>Northwest Africa 13191</v>
      </c>
      <c r="BU241" s="101"/>
    </row>
    <row r="242" spans="1:73" s="42" customFormat="1" ht="12.75" customHeight="1" x14ac:dyDescent="0.25">
      <c r="A242"/>
      <c r="B242" s="97"/>
      <c r="C242" s="265" t="str">
        <f>HYPERLINK("https://sites.wustl.edu/meteoritesite/items/lm_nwa_13216/",Q242)</f>
        <v>Northwest Africa 13216</v>
      </c>
      <c r="D242" s="266"/>
      <c r="E242" s="266"/>
      <c r="F242" s="266"/>
      <c r="G242" s="98">
        <v>2019</v>
      </c>
      <c r="H242" s="267" t="s">
        <v>34</v>
      </c>
      <c r="I242" s="268"/>
      <c r="J242" s="103">
        <v>100.15</v>
      </c>
      <c r="K242" s="212" t="s">
        <v>35</v>
      </c>
      <c r="L242" s="213"/>
      <c r="M242" s="100" t="s">
        <v>415</v>
      </c>
      <c r="N242" s="100" t="s">
        <v>40</v>
      </c>
      <c r="P242" s="125">
        <f t="shared" si="19"/>
        <v>100.15</v>
      </c>
      <c r="Q242" s="54" t="s">
        <v>411</v>
      </c>
      <c r="R242" s="48"/>
      <c r="S242" s="49"/>
      <c r="T242" s="50">
        <f t="shared" si="15"/>
        <v>0</v>
      </c>
      <c r="U242" s="9"/>
      <c r="V242" s="51">
        <v>100.15</v>
      </c>
      <c r="W242" s="51"/>
      <c r="X242" s="51"/>
      <c r="Y242" s="51"/>
      <c r="Z242" s="51"/>
      <c r="AA242" s="51"/>
      <c r="AB242" s="51"/>
      <c r="AC242" s="51"/>
      <c r="AD242" s="51"/>
      <c r="AE242" s="51"/>
      <c r="AF242" s="51"/>
      <c r="AG242" s="51"/>
      <c r="AH242" s="51"/>
      <c r="AI242" s="51"/>
      <c r="AJ242" s="51"/>
      <c r="AK242" s="51"/>
      <c r="AL242" s="51"/>
      <c r="AM242" s="51"/>
      <c r="AN242" s="51"/>
      <c r="AO242" s="51"/>
      <c r="AP242" s="51"/>
      <c r="AQ242" s="51"/>
      <c r="AR242" s="51"/>
      <c r="AS242" s="51"/>
      <c r="AT242" s="51"/>
      <c r="AU242" s="51"/>
      <c r="AV242" s="51"/>
      <c r="AW242" s="51"/>
      <c r="AX242" s="51"/>
      <c r="AY242" s="51"/>
      <c r="AZ242" s="51"/>
      <c r="BA242" s="51"/>
      <c r="BB242" s="51"/>
      <c r="BC242" s="51"/>
      <c r="BD242" s="51"/>
      <c r="BE242" s="51"/>
      <c r="BF242" s="51"/>
      <c r="BG242" s="51"/>
      <c r="BH242" s="51"/>
      <c r="BI242" s="51"/>
      <c r="BJ242" s="51"/>
      <c r="BK242" s="51"/>
      <c r="BL242" s="51"/>
      <c r="BM242" s="51"/>
      <c r="BN242" s="51"/>
      <c r="BO242" s="51"/>
      <c r="BP242" s="51"/>
      <c r="BQ242" s="51"/>
      <c r="BR242" s="9">
        <f t="shared" si="16"/>
        <v>1</v>
      </c>
      <c r="BS242" s="9"/>
      <c r="BT242" s="53" t="str">
        <f t="shared" si="17"/>
        <v>Northwest Africa 13216</v>
      </c>
      <c r="BU242" s="101"/>
    </row>
    <row r="243" spans="1:73" s="42" customFormat="1" ht="12.75" customHeight="1" x14ac:dyDescent="0.25">
      <c r="A243"/>
      <c r="B243" s="97"/>
      <c r="C243" s="265" t="str">
        <f>HYPERLINK("https://sites.wustl.edu/meteoritesite/items/lm_nwa_13225/",Q243)</f>
        <v>Northwest Africa 13225</v>
      </c>
      <c r="D243" s="266"/>
      <c r="E243" s="266"/>
      <c r="F243" s="266"/>
      <c r="G243" s="98">
        <v>2015</v>
      </c>
      <c r="H243" s="267" t="s">
        <v>38</v>
      </c>
      <c r="I243" s="268"/>
      <c r="J243" s="104">
        <v>200.4</v>
      </c>
      <c r="K243" s="212" t="s">
        <v>35</v>
      </c>
      <c r="L243" s="213"/>
      <c r="M243" s="100" t="s">
        <v>40</v>
      </c>
      <c r="N243" s="100" t="s">
        <v>40</v>
      </c>
      <c r="P243" s="125">
        <f t="shared" si="19"/>
        <v>200.4</v>
      </c>
      <c r="Q243" s="54" t="s">
        <v>412</v>
      </c>
      <c r="R243" s="48"/>
      <c r="S243" s="49"/>
      <c r="T243" s="50">
        <f t="shared" si="15"/>
        <v>0</v>
      </c>
      <c r="U243" s="9"/>
      <c r="V243" s="51">
        <v>200.4</v>
      </c>
      <c r="W243" s="51"/>
      <c r="X243" s="51"/>
      <c r="Y243" s="51"/>
      <c r="Z243" s="51"/>
      <c r="AA243" s="51"/>
      <c r="AB243" s="51"/>
      <c r="AC243" s="51"/>
      <c r="AD243" s="51"/>
      <c r="AE243" s="51"/>
      <c r="AF243" s="51"/>
      <c r="AG243" s="51"/>
      <c r="AH243" s="51"/>
      <c r="AI243" s="51"/>
      <c r="AJ243" s="51"/>
      <c r="AK243" s="51"/>
      <c r="AL243" s="51"/>
      <c r="AM243" s="51"/>
      <c r="AN243" s="51"/>
      <c r="AO243" s="51"/>
      <c r="AP243" s="51"/>
      <c r="AQ243" s="51"/>
      <c r="AR243" s="51"/>
      <c r="AS243" s="51"/>
      <c r="AT243" s="51"/>
      <c r="AU243" s="51"/>
      <c r="AV243" s="51"/>
      <c r="AW243" s="51"/>
      <c r="AX243" s="51"/>
      <c r="AY243" s="51"/>
      <c r="AZ243" s="51"/>
      <c r="BA243" s="51"/>
      <c r="BB243" s="51"/>
      <c r="BC243" s="51"/>
      <c r="BD243" s="51"/>
      <c r="BE243" s="51"/>
      <c r="BF243" s="51"/>
      <c r="BG243" s="51"/>
      <c r="BH243" s="51"/>
      <c r="BI243" s="51"/>
      <c r="BJ243" s="51"/>
      <c r="BK243" s="51"/>
      <c r="BL243" s="51"/>
      <c r="BM243" s="51"/>
      <c r="BN243" s="51"/>
      <c r="BO243" s="51"/>
      <c r="BP243" s="51"/>
      <c r="BQ243" s="51"/>
      <c r="BR243" s="9">
        <f t="shared" si="16"/>
        <v>1</v>
      </c>
      <c r="BS243" s="9"/>
      <c r="BT243" s="53" t="str">
        <f t="shared" si="17"/>
        <v>Northwest Africa 13225</v>
      </c>
      <c r="BU243" s="101"/>
    </row>
    <row r="244" spans="1:73" s="42" customFormat="1" ht="12.75" customHeight="1" x14ac:dyDescent="0.25">
      <c r="A244"/>
      <c r="B244" s="97"/>
      <c r="C244" s="265" t="str">
        <f>HYPERLINK("https://sites.wustl.edu/meteoritesite/items/lm_nwa_13259/",Q244)</f>
        <v>Northwest Africa 13259</v>
      </c>
      <c r="D244" s="266"/>
      <c r="E244" s="266"/>
      <c r="F244" s="266"/>
      <c r="G244" s="98">
        <v>2018</v>
      </c>
      <c r="H244" s="267" t="s">
        <v>616</v>
      </c>
      <c r="I244" s="268"/>
      <c r="J244" s="104">
        <v>24.4</v>
      </c>
      <c r="K244" s="212" t="s">
        <v>39</v>
      </c>
      <c r="L244" s="213"/>
      <c r="M244" s="100" t="s">
        <v>40</v>
      </c>
      <c r="N244" s="100" t="s">
        <v>40</v>
      </c>
      <c r="P244" s="125">
        <f t="shared" si="19"/>
        <v>24.4</v>
      </c>
      <c r="Q244" s="54" t="s">
        <v>414</v>
      </c>
      <c r="R244" s="48"/>
      <c r="S244" s="49"/>
      <c r="T244" s="50">
        <f t="shared" si="15"/>
        <v>0</v>
      </c>
      <c r="U244" s="9"/>
      <c r="V244" s="51">
        <v>24.4</v>
      </c>
      <c r="W244" s="51"/>
      <c r="X244" s="51"/>
      <c r="Y244" s="51"/>
      <c r="Z244" s="51"/>
      <c r="AA244" s="51"/>
      <c r="AB244" s="51"/>
      <c r="AC244" s="51"/>
      <c r="AD244" s="51"/>
      <c r="AE244" s="51"/>
      <c r="AF244" s="51"/>
      <c r="AG244" s="51"/>
      <c r="AH244" s="51"/>
      <c r="AI244" s="51"/>
      <c r="AJ244" s="51"/>
      <c r="AK244" s="51"/>
      <c r="AL244" s="51"/>
      <c r="AM244" s="51"/>
      <c r="AN244" s="51"/>
      <c r="AO244" s="51"/>
      <c r="AP244" s="51"/>
      <c r="AQ244" s="51"/>
      <c r="AR244" s="51"/>
      <c r="AS244" s="51"/>
      <c r="AT244" s="51"/>
      <c r="AU244" s="51"/>
      <c r="AV244" s="51"/>
      <c r="AW244" s="51"/>
      <c r="AX244" s="51"/>
      <c r="AY244" s="51"/>
      <c r="AZ244" s="51"/>
      <c r="BA244" s="51"/>
      <c r="BB244" s="51"/>
      <c r="BC244" s="51"/>
      <c r="BD244" s="51"/>
      <c r="BE244" s="51"/>
      <c r="BF244" s="51"/>
      <c r="BG244" s="51"/>
      <c r="BH244" s="51"/>
      <c r="BI244" s="51"/>
      <c r="BJ244" s="51"/>
      <c r="BK244" s="51"/>
      <c r="BL244" s="51"/>
      <c r="BM244" s="51"/>
      <c r="BN244" s="51"/>
      <c r="BO244" s="51"/>
      <c r="BP244" s="51"/>
      <c r="BQ244" s="51"/>
      <c r="BR244" s="9">
        <f t="shared" si="16"/>
        <v>1</v>
      </c>
      <c r="BS244" s="9"/>
      <c r="BT244" s="53" t="str">
        <f t="shared" si="17"/>
        <v>Northwest Africa 13259</v>
      </c>
      <c r="BU244" s="101"/>
    </row>
    <row r="245" spans="1:73" s="42" customFormat="1" ht="12.75" customHeight="1" x14ac:dyDescent="0.25">
      <c r="A245"/>
      <c r="B245" s="97"/>
      <c r="C245" s="265" t="str">
        <f>HYPERLINK("https://sites.wustl.edu/meteoritesite/items/lm_nwa_13283/",Q245)</f>
        <v>Northwest Africa 13283</v>
      </c>
      <c r="D245" s="266"/>
      <c r="E245" s="266"/>
      <c r="F245" s="266"/>
      <c r="G245" s="98">
        <v>2019</v>
      </c>
      <c r="H245" s="267" t="s">
        <v>41</v>
      </c>
      <c r="I245" s="268"/>
      <c r="J245" s="104">
        <v>200.6</v>
      </c>
      <c r="K245" s="212" t="s">
        <v>39</v>
      </c>
      <c r="L245" s="213"/>
      <c r="M245" s="100" t="s">
        <v>40</v>
      </c>
      <c r="N245" s="100" t="s">
        <v>40</v>
      </c>
      <c r="P245" s="125">
        <f t="shared" si="19"/>
        <v>200.6</v>
      </c>
      <c r="Q245" s="54" t="s">
        <v>437</v>
      </c>
      <c r="R245" s="48"/>
      <c r="S245" s="49"/>
      <c r="T245" s="50">
        <f t="shared" si="15"/>
        <v>0</v>
      </c>
      <c r="U245" s="9"/>
      <c r="V245" s="51">
        <v>200.6</v>
      </c>
      <c r="W245" s="51"/>
      <c r="X245" s="51"/>
      <c r="Y245" s="51"/>
      <c r="Z245" s="51"/>
      <c r="AA245" s="51"/>
      <c r="AB245" s="51"/>
      <c r="AC245" s="51"/>
      <c r="AD245" s="51"/>
      <c r="AE245" s="51"/>
      <c r="AF245" s="51"/>
      <c r="AG245" s="51"/>
      <c r="AH245" s="51"/>
      <c r="AI245" s="51"/>
      <c r="AJ245" s="51"/>
      <c r="AK245" s="51"/>
      <c r="AL245" s="51"/>
      <c r="AM245" s="51"/>
      <c r="AN245" s="51"/>
      <c r="AO245" s="51"/>
      <c r="AP245" s="51"/>
      <c r="AQ245" s="51"/>
      <c r="AR245" s="51"/>
      <c r="AS245" s="51"/>
      <c r="AT245" s="51"/>
      <c r="AU245" s="51"/>
      <c r="AV245" s="51"/>
      <c r="AW245" s="51"/>
      <c r="AX245" s="51"/>
      <c r="AY245" s="51"/>
      <c r="AZ245" s="51"/>
      <c r="BA245" s="51"/>
      <c r="BB245" s="51"/>
      <c r="BC245" s="51"/>
      <c r="BD245" s="51"/>
      <c r="BE245" s="51"/>
      <c r="BF245" s="51"/>
      <c r="BG245" s="51"/>
      <c r="BH245" s="51"/>
      <c r="BI245" s="51"/>
      <c r="BJ245" s="51"/>
      <c r="BK245" s="51"/>
      <c r="BL245" s="51"/>
      <c r="BM245" s="51"/>
      <c r="BN245" s="51"/>
      <c r="BO245" s="51"/>
      <c r="BP245" s="51"/>
      <c r="BQ245" s="51"/>
      <c r="BR245" s="9">
        <f t="shared" si="16"/>
        <v>1</v>
      </c>
      <c r="BS245" s="9"/>
      <c r="BT245" s="53" t="str">
        <f t="shared" si="17"/>
        <v>Northwest Africa 13283</v>
      </c>
      <c r="BU245" s="101"/>
    </row>
    <row r="246" spans="1:73" s="42" customFormat="1" ht="12.75" customHeight="1" x14ac:dyDescent="0.25">
      <c r="A246"/>
      <c r="B246" s="97"/>
      <c r="C246" s="265" t="str">
        <f>HYPERLINK("https://sites.wustl.edu/meteoritesite/items/lm_nwa_13408/",Q246)</f>
        <v>Northwest Africa 13408</v>
      </c>
      <c r="D246" s="266"/>
      <c r="E246" s="266"/>
      <c r="F246" s="266"/>
      <c r="G246" s="98">
        <v>2018</v>
      </c>
      <c r="H246" s="267" t="s">
        <v>396</v>
      </c>
      <c r="I246" s="268"/>
      <c r="J246" s="99">
        <v>2000</v>
      </c>
      <c r="K246" s="212" t="s">
        <v>66</v>
      </c>
      <c r="L246" s="213"/>
      <c r="M246" s="100" t="s">
        <v>40</v>
      </c>
      <c r="N246" s="100" t="s">
        <v>40</v>
      </c>
      <c r="P246" s="125">
        <f t="shared" si="19"/>
        <v>2000</v>
      </c>
      <c r="Q246" s="54" t="s">
        <v>428</v>
      </c>
      <c r="R246" s="48"/>
      <c r="S246" s="49"/>
      <c r="T246" s="50">
        <f t="shared" si="15"/>
        <v>0</v>
      </c>
      <c r="U246" s="9"/>
      <c r="V246" s="51">
        <v>2000</v>
      </c>
      <c r="W246" s="51"/>
      <c r="X246" s="51"/>
      <c r="Y246" s="51"/>
      <c r="Z246" s="51"/>
      <c r="AA246" s="51"/>
      <c r="AB246" s="51"/>
      <c r="AC246" s="51"/>
      <c r="AD246" s="51"/>
      <c r="AE246" s="51"/>
      <c r="AF246" s="51"/>
      <c r="AG246" s="51"/>
      <c r="AH246" s="51"/>
      <c r="AI246" s="51"/>
      <c r="AJ246" s="51"/>
      <c r="AK246" s="51"/>
      <c r="AL246" s="51"/>
      <c r="AM246" s="51"/>
      <c r="AN246" s="51"/>
      <c r="AO246" s="51"/>
      <c r="AP246" s="51"/>
      <c r="AQ246" s="51"/>
      <c r="AR246" s="51"/>
      <c r="AS246" s="51"/>
      <c r="AT246" s="51"/>
      <c r="AU246" s="51"/>
      <c r="AV246" s="51"/>
      <c r="AW246" s="51"/>
      <c r="AX246" s="51"/>
      <c r="AY246" s="51"/>
      <c r="AZ246" s="51"/>
      <c r="BA246" s="51"/>
      <c r="BB246" s="51"/>
      <c r="BC246" s="51"/>
      <c r="BD246" s="51"/>
      <c r="BE246" s="51"/>
      <c r="BF246" s="51"/>
      <c r="BG246" s="51"/>
      <c r="BH246" s="51"/>
      <c r="BI246" s="51"/>
      <c r="BJ246" s="51"/>
      <c r="BK246" s="51"/>
      <c r="BL246" s="51"/>
      <c r="BM246" s="51"/>
      <c r="BN246" s="51"/>
      <c r="BO246" s="51"/>
      <c r="BP246" s="51"/>
      <c r="BQ246" s="51"/>
      <c r="BR246" s="9">
        <f t="shared" si="16"/>
        <v>1</v>
      </c>
      <c r="BS246" s="9"/>
      <c r="BT246" s="53" t="str">
        <f t="shared" si="17"/>
        <v>Northwest Africa 13408</v>
      </c>
      <c r="BU246" s="101"/>
    </row>
    <row r="247" spans="1:73" s="42" customFormat="1" ht="12.75" customHeight="1" x14ac:dyDescent="0.25">
      <c r="A247"/>
      <c r="B247" s="97"/>
      <c r="C247" s="265" t="str">
        <f>HYPERLINK("https://sites.wustl.edu/meteoritesite/items/lm_nwa_13484/",Q247)</f>
        <v>Northwest Africa 13484</v>
      </c>
      <c r="D247" s="266"/>
      <c r="E247" s="266"/>
      <c r="F247" s="277"/>
      <c r="G247" s="98">
        <v>2017</v>
      </c>
      <c r="H247" s="267" t="s">
        <v>396</v>
      </c>
      <c r="I247" s="268"/>
      <c r="J247" s="99">
        <v>240</v>
      </c>
      <c r="K247" s="212" t="s">
        <v>39</v>
      </c>
      <c r="L247" s="213"/>
      <c r="M247" s="100" t="s">
        <v>40</v>
      </c>
      <c r="N247" s="100" t="s">
        <v>40</v>
      </c>
      <c r="P247" s="125">
        <f t="shared" si="19"/>
        <v>240</v>
      </c>
      <c r="Q247" s="54" t="s">
        <v>444</v>
      </c>
      <c r="R247" s="48"/>
      <c r="S247" s="49"/>
      <c r="T247" s="50">
        <f t="shared" si="15"/>
        <v>0</v>
      </c>
      <c r="U247" s="9"/>
      <c r="V247" s="51">
        <v>240</v>
      </c>
      <c r="W247" s="51"/>
      <c r="X247" s="51"/>
      <c r="Y247" s="51"/>
      <c r="Z247" s="51"/>
      <c r="AA247" s="51"/>
      <c r="AB247" s="51"/>
      <c r="AC247" s="51"/>
      <c r="AD247" s="51"/>
      <c r="AE247" s="51"/>
      <c r="AF247" s="51"/>
      <c r="AG247" s="51"/>
      <c r="AH247" s="51"/>
      <c r="AI247" s="51"/>
      <c r="AJ247" s="51"/>
      <c r="AK247" s="51"/>
      <c r="AL247" s="51"/>
      <c r="AM247" s="51"/>
      <c r="AN247" s="51"/>
      <c r="AO247" s="51"/>
      <c r="AP247" s="51"/>
      <c r="AQ247" s="51"/>
      <c r="AR247" s="51"/>
      <c r="AS247" s="51"/>
      <c r="AT247" s="51"/>
      <c r="AU247" s="51"/>
      <c r="AV247" s="51"/>
      <c r="AW247" s="51"/>
      <c r="AX247" s="51"/>
      <c r="AY247" s="51"/>
      <c r="AZ247" s="51"/>
      <c r="BA247" s="51"/>
      <c r="BB247" s="51"/>
      <c r="BC247" s="51"/>
      <c r="BD247" s="51"/>
      <c r="BE247" s="51"/>
      <c r="BF247" s="51"/>
      <c r="BG247" s="51"/>
      <c r="BH247" s="51"/>
      <c r="BI247" s="51"/>
      <c r="BJ247" s="51"/>
      <c r="BK247" s="51"/>
      <c r="BL247" s="51"/>
      <c r="BM247" s="51"/>
      <c r="BN247" s="51"/>
      <c r="BO247" s="51"/>
      <c r="BP247" s="51"/>
      <c r="BQ247" s="51"/>
      <c r="BR247" s="9">
        <f t="shared" si="16"/>
        <v>1</v>
      </c>
      <c r="BS247" s="9"/>
      <c r="BT247" s="53" t="str">
        <f t="shared" si="17"/>
        <v>Northwest Africa 13484</v>
      </c>
      <c r="BU247" s="101"/>
    </row>
    <row r="248" spans="1:73" s="42" customFormat="1" ht="12.75" customHeight="1" x14ac:dyDescent="0.25">
      <c r="A248"/>
      <c r="B248" s="97"/>
      <c r="C248" s="265" t="str">
        <f>HYPERLINK("https://sites.wustl.edu/meteoritesite/items/lm_nwa_13546/",Q248)</f>
        <v>Northwest Africa 13546</v>
      </c>
      <c r="D248" s="266"/>
      <c r="E248" s="266"/>
      <c r="F248" s="277"/>
      <c r="G248" s="98">
        <v>2020</v>
      </c>
      <c r="H248" s="267" t="s">
        <v>396</v>
      </c>
      <c r="I248" s="268"/>
      <c r="J248" s="99">
        <v>2300</v>
      </c>
      <c r="K248" s="212" t="s">
        <v>35</v>
      </c>
      <c r="L248" s="213"/>
      <c r="M248" s="100" t="s">
        <v>40</v>
      </c>
      <c r="N248" s="100" t="s">
        <v>40</v>
      </c>
      <c r="P248" s="125">
        <f t="shared" si="19"/>
        <v>2300</v>
      </c>
      <c r="Q248" s="54" t="s">
        <v>454</v>
      </c>
      <c r="R248" s="48"/>
      <c r="S248" s="49"/>
      <c r="T248" s="50">
        <f t="shared" si="15"/>
        <v>0</v>
      </c>
      <c r="U248" s="9"/>
      <c r="V248" s="51">
        <v>2300</v>
      </c>
      <c r="W248" s="51"/>
      <c r="X248" s="51"/>
      <c r="Y248" s="51"/>
      <c r="Z248" s="51"/>
      <c r="AA248" s="51"/>
      <c r="AB248" s="51"/>
      <c r="AC248" s="51"/>
      <c r="AD248" s="51"/>
      <c r="AE248" s="51"/>
      <c r="AF248" s="51"/>
      <c r="AG248" s="51"/>
      <c r="AH248" s="51"/>
      <c r="AI248" s="51"/>
      <c r="AJ248" s="51"/>
      <c r="AK248" s="51"/>
      <c r="AL248" s="51"/>
      <c r="AM248" s="51"/>
      <c r="AN248" s="51"/>
      <c r="AO248" s="51"/>
      <c r="AP248" s="51"/>
      <c r="AQ248" s="51"/>
      <c r="AR248" s="51"/>
      <c r="AS248" s="51"/>
      <c r="AT248" s="51"/>
      <c r="AU248" s="51"/>
      <c r="AV248" s="51"/>
      <c r="AW248" s="51"/>
      <c r="AX248" s="51"/>
      <c r="AY248" s="51"/>
      <c r="AZ248" s="51"/>
      <c r="BA248" s="51"/>
      <c r="BB248" s="51"/>
      <c r="BC248" s="51"/>
      <c r="BD248" s="51"/>
      <c r="BE248" s="51"/>
      <c r="BF248" s="51"/>
      <c r="BG248" s="51"/>
      <c r="BH248" s="51"/>
      <c r="BI248" s="51"/>
      <c r="BJ248" s="51"/>
      <c r="BK248" s="51"/>
      <c r="BL248" s="51"/>
      <c r="BM248" s="51"/>
      <c r="BN248" s="51"/>
      <c r="BO248" s="51"/>
      <c r="BP248" s="51"/>
      <c r="BQ248" s="51"/>
      <c r="BR248" s="9">
        <f t="shared" si="16"/>
        <v>1</v>
      </c>
      <c r="BS248" s="9"/>
      <c r="BT248" s="53" t="str">
        <f t="shared" si="17"/>
        <v>Northwest Africa 13546</v>
      </c>
      <c r="BU248" s="101"/>
    </row>
    <row r="249" spans="1:73" s="42" customFormat="1" ht="12.75" customHeight="1" x14ac:dyDescent="0.25">
      <c r="A249"/>
      <c r="B249" s="97"/>
      <c r="C249" s="265" t="str">
        <f>HYPERLINK("https://sites.wustl.edu/meteoritesite/items/lm_nwa_13568/",Q249)</f>
        <v>Northwest Africa 13568</v>
      </c>
      <c r="D249" s="266"/>
      <c r="E249" s="266"/>
      <c r="F249" s="277"/>
      <c r="G249" s="98">
        <v>2020</v>
      </c>
      <c r="H249" s="267" t="s">
        <v>396</v>
      </c>
      <c r="I249" s="268"/>
      <c r="J249" s="99">
        <v>825</v>
      </c>
      <c r="K249" s="212" t="s">
        <v>66</v>
      </c>
      <c r="L249" s="213"/>
      <c r="M249" s="100" t="s">
        <v>40</v>
      </c>
      <c r="N249" s="100" t="s">
        <v>40</v>
      </c>
      <c r="P249" s="125">
        <f t="shared" si="19"/>
        <v>825</v>
      </c>
      <c r="Q249" s="54" t="s">
        <v>449</v>
      </c>
      <c r="R249" s="48"/>
      <c r="S249" s="49"/>
      <c r="T249" s="50">
        <f t="shared" si="15"/>
        <v>0</v>
      </c>
      <c r="U249" s="9"/>
      <c r="V249" s="51">
        <v>825</v>
      </c>
      <c r="W249" s="51"/>
      <c r="X249" s="51"/>
      <c r="Y249" s="51"/>
      <c r="Z249" s="51"/>
      <c r="AA249" s="51"/>
      <c r="AB249" s="51"/>
      <c r="AC249" s="51"/>
      <c r="AD249" s="51"/>
      <c r="AE249" s="51"/>
      <c r="AF249" s="51"/>
      <c r="AG249" s="51"/>
      <c r="AH249" s="51"/>
      <c r="AI249" s="51"/>
      <c r="AJ249" s="51"/>
      <c r="AK249" s="51"/>
      <c r="AL249" s="51"/>
      <c r="AM249" s="51"/>
      <c r="AN249" s="51"/>
      <c r="AO249" s="51"/>
      <c r="AP249" s="51"/>
      <c r="AQ249" s="51"/>
      <c r="AR249" s="51"/>
      <c r="AS249" s="51"/>
      <c r="AT249" s="51"/>
      <c r="AU249" s="51"/>
      <c r="AV249" s="51"/>
      <c r="AW249" s="51"/>
      <c r="AX249" s="51"/>
      <c r="AY249" s="51"/>
      <c r="AZ249" s="51"/>
      <c r="BA249" s="51"/>
      <c r="BB249" s="51"/>
      <c r="BC249" s="51"/>
      <c r="BD249" s="51"/>
      <c r="BE249" s="51"/>
      <c r="BF249" s="51"/>
      <c r="BG249" s="51"/>
      <c r="BH249" s="51"/>
      <c r="BI249" s="51"/>
      <c r="BJ249" s="51"/>
      <c r="BK249" s="51"/>
      <c r="BL249" s="51"/>
      <c r="BM249" s="51"/>
      <c r="BN249" s="51"/>
      <c r="BO249" s="51"/>
      <c r="BP249" s="51"/>
      <c r="BQ249" s="51"/>
      <c r="BR249" s="9">
        <f t="shared" si="16"/>
        <v>1</v>
      </c>
      <c r="BS249" s="9"/>
      <c r="BT249" s="53" t="str">
        <f t="shared" si="17"/>
        <v>Northwest Africa 13568</v>
      </c>
      <c r="BU249" s="101"/>
    </row>
    <row r="250" spans="1:73" s="42" customFormat="1" ht="12.75" customHeight="1" x14ac:dyDescent="0.25">
      <c r="A250"/>
      <c r="B250" s="97"/>
      <c r="C250" s="265" t="str">
        <f>HYPERLINK("https://sites.wustl.edu/meteoritesite/items/lm_nwa_13625/",Q250)</f>
        <v>Northwest Africa 13625</v>
      </c>
      <c r="D250" s="266"/>
      <c r="E250" s="266"/>
      <c r="F250" s="277"/>
      <c r="G250" s="98">
        <v>2020</v>
      </c>
      <c r="H250" s="267" t="s">
        <v>396</v>
      </c>
      <c r="I250" s="268"/>
      <c r="J250" s="99">
        <v>54</v>
      </c>
      <c r="K250" s="212" t="s">
        <v>35</v>
      </c>
      <c r="L250" s="213"/>
      <c r="M250" s="100" t="s">
        <v>40</v>
      </c>
      <c r="N250" s="100" t="s">
        <v>40</v>
      </c>
      <c r="P250" s="125">
        <f t="shared" si="19"/>
        <v>54</v>
      </c>
      <c r="Q250" s="54" t="s">
        <v>455</v>
      </c>
      <c r="R250" s="48"/>
      <c r="S250" s="49"/>
      <c r="T250" s="50">
        <f t="shared" si="15"/>
        <v>0</v>
      </c>
      <c r="U250" s="9"/>
      <c r="V250" s="51">
        <v>54</v>
      </c>
      <c r="W250" s="51"/>
      <c r="X250" s="51"/>
      <c r="Y250" s="51"/>
      <c r="Z250" s="51"/>
      <c r="AA250" s="51"/>
      <c r="AB250" s="51"/>
      <c r="AC250" s="51"/>
      <c r="AD250" s="51"/>
      <c r="AE250" s="51"/>
      <c r="AF250" s="51"/>
      <c r="AG250" s="51"/>
      <c r="AH250" s="51"/>
      <c r="AI250" s="51"/>
      <c r="AJ250" s="51"/>
      <c r="AK250" s="51"/>
      <c r="AL250" s="51"/>
      <c r="AM250" s="51"/>
      <c r="AN250" s="51"/>
      <c r="AO250" s="51"/>
      <c r="AP250" s="51"/>
      <c r="AQ250" s="51"/>
      <c r="AR250" s="51"/>
      <c r="AS250" s="51"/>
      <c r="AT250" s="51"/>
      <c r="AU250" s="51"/>
      <c r="AV250" s="51"/>
      <c r="AW250" s="51"/>
      <c r="AX250" s="51"/>
      <c r="AY250" s="51"/>
      <c r="AZ250" s="51"/>
      <c r="BA250" s="51"/>
      <c r="BB250" s="51"/>
      <c r="BC250" s="51"/>
      <c r="BD250" s="51"/>
      <c r="BE250" s="51"/>
      <c r="BF250" s="51"/>
      <c r="BG250" s="51"/>
      <c r="BH250" s="51"/>
      <c r="BI250" s="51"/>
      <c r="BJ250" s="51"/>
      <c r="BK250" s="51"/>
      <c r="BL250" s="51"/>
      <c r="BM250" s="51"/>
      <c r="BN250" s="51"/>
      <c r="BO250" s="51"/>
      <c r="BP250" s="51"/>
      <c r="BQ250" s="51"/>
      <c r="BR250" s="9">
        <f t="shared" si="16"/>
        <v>1</v>
      </c>
      <c r="BS250" s="9"/>
      <c r="BT250" s="53" t="str">
        <f t="shared" si="17"/>
        <v>Northwest Africa 13625</v>
      </c>
      <c r="BU250" s="101"/>
    </row>
    <row r="251" spans="1:73" s="42" customFormat="1" ht="12.75" customHeight="1" x14ac:dyDescent="0.25">
      <c r="A251"/>
      <c r="B251" s="97"/>
      <c r="C251" s="265" t="str">
        <f>HYPERLINK("https://sites.wustl.edu/meteoritesite/items/lm_nwa_13715/",Q251)</f>
        <v>Northwest Africa 13715</v>
      </c>
      <c r="D251" s="266"/>
      <c r="E251" s="266"/>
      <c r="F251" s="277"/>
      <c r="G251" s="98">
        <v>2020</v>
      </c>
      <c r="H251" s="267" t="s">
        <v>396</v>
      </c>
      <c r="I251" s="268"/>
      <c r="J251" s="104">
        <v>176.6</v>
      </c>
      <c r="K251" s="212" t="s">
        <v>39</v>
      </c>
      <c r="L251" s="213"/>
      <c r="M251" s="100" t="s">
        <v>40</v>
      </c>
      <c r="N251" s="100" t="s">
        <v>40</v>
      </c>
      <c r="P251" s="125">
        <f t="shared" si="19"/>
        <v>176.6</v>
      </c>
      <c r="Q251" s="54" t="s">
        <v>459</v>
      </c>
      <c r="R251" s="48"/>
      <c r="S251" s="49"/>
      <c r="T251" s="50">
        <f t="shared" si="15"/>
        <v>0</v>
      </c>
      <c r="U251" s="9"/>
      <c r="V251" s="51">
        <v>176.6</v>
      </c>
      <c r="W251" s="51"/>
      <c r="X251" s="51"/>
      <c r="Y251" s="51"/>
      <c r="Z251" s="51"/>
      <c r="AA251" s="51"/>
      <c r="AB251" s="51"/>
      <c r="AC251" s="51"/>
      <c r="AD251" s="51"/>
      <c r="AE251" s="51"/>
      <c r="AF251" s="51"/>
      <c r="AG251" s="51"/>
      <c r="AH251" s="51"/>
      <c r="AI251" s="51"/>
      <c r="AJ251" s="51"/>
      <c r="AK251" s="51"/>
      <c r="AL251" s="51"/>
      <c r="AM251" s="51"/>
      <c r="AN251" s="51"/>
      <c r="AO251" s="51"/>
      <c r="AP251" s="51"/>
      <c r="AQ251" s="51"/>
      <c r="AR251" s="51"/>
      <c r="AS251" s="51"/>
      <c r="AT251" s="51"/>
      <c r="AU251" s="51"/>
      <c r="AV251" s="51"/>
      <c r="AW251" s="51"/>
      <c r="AX251" s="51"/>
      <c r="AY251" s="51"/>
      <c r="AZ251" s="51"/>
      <c r="BA251" s="51"/>
      <c r="BB251" s="51"/>
      <c r="BC251" s="51"/>
      <c r="BD251" s="51"/>
      <c r="BE251" s="51"/>
      <c r="BF251" s="51"/>
      <c r="BG251" s="51"/>
      <c r="BH251" s="51"/>
      <c r="BI251" s="51"/>
      <c r="BJ251" s="51"/>
      <c r="BK251" s="51"/>
      <c r="BL251" s="51"/>
      <c r="BM251" s="51"/>
      <c r="BN251" s="51"/>
      <c r="BO251" s="51"/>
      <c r="BP251" s="51"/>
      <c r="BQ251" s="51"/>
      <c r="BR251" s="9">
        <f t="shared" si="16"/>
        <v>1</v>
      </c>
      <c r="BS251" s="9"/>
      <c r="BT251" s="53" t="str">
        <f t="shared" si="17"/>
        <v>Northwest Africa 13715</v>
      </c>
      <c r="BU251" s="101"/>
    </row>
    <row r="252" spans="1:73" s="42" customFormat="1" ht="12.75" customHeight="1" x14ac:dyDescent="0.25">
      <c r="A252"/>
      <c r="B252" s="97"/>
      <c r="C252" s="265" t="str">
        <f>HYPERLINK("https://sites.wustl.edu/meteoritesite/items/lm_nwa_14063/",Q252)</f>
        <v>Northwest Africa 14063/ 14064</v>
      </c>
      <c r="D252" s="266"/>
      <c r="E252" s="266"/>
      <c r="F252" s="277"/>
      <c r="G252" s="98">
        <v>2021</v>
      </c>
      <c r="H252" s="267" t="s">
        <v>396</v>
      </c>
      <c r="I252" s="268"/>
      <c r="J252" s="104">
        <v>103.5</v>
      </c>
      <c r="K252" s="212" t="s">
        <v>39</v>
      </c>
      <c r="L252" s="213"/>
      <c r="M252" s="100" t="s">
        <v>40</v>
      </c>
      <c r="N252" s="100" t="s">
        <v>40</v>
      </c>
      <c r="P252" s="125">
        <f t="shared" si="19"/>
        <v>103.5</v>
      </c>
      <c r="Q252" s="54" t="s">
        <v>511</v>
      </c>
      <c r="R252" s="48"/>
      <c r="S252" s="49"/>
      <c r="T252" s="50">
        <f t="shared" si="15"/>
        <v>0</v>
      </c>
      <c r="U252" s="9"/>
      <c r="V252" s="51">
        <v>79</v>
      </c>
      <c r="W252" s="51">
        <v>24.5</v>
      </c>
      <c r="X252" s="51"/>
      <c r="Y252" s="51"/>
      <c r="Z252" s="51"/>
      <c r="AA252" s="51"/>
      <c r="AB252" s="51"/>
      <c r="AC252" s="51"/>
      <c r="AD252" s="51"/>
      <c r="AE252" s="51"/>
      <c r="AF252" s="51"/>
      <c r="AG252" s="51"/>
      <c r="AH252" s="51"/>
      <c r="AI252" s="51"/>
      <c r="AJ252" s="51"/>
      <c r="AK252" s="51"/>
      <c r="AL252" s="51"/>
      <c r="AM252" s="51"/>
      <c r="AN252" s="51"/>
      <c r="AO252" s="51"/>
      <c r="AP252" s="51"/>
      <c r="AQ252" s="51"/>
      <c r="AR252" s="51"/>
      <c r="AS252" s="51"/>
      <c r="AT252" s="51"/>
      <c r="AU252" s="51"/>
      <c r="AV252" s="51"/>
      <c r="AW252" s="51"/>
      <c r="AX252" s="51"/>
      <c r="AY252" s="51"/>
      <c r="AZ252" s="51"/>
      <c r="BA252" s="51"/>
      <c r="BB252" s="51"/>
      <c r="BC252" s="51"/>
      <c r="BD252" s="51"/>
      <c r="BE252" s="51"/>
      <c r="BF252" s="51"/>
      <c r="BG252" s="51"/>
      <c r="BH252" s="51"/>
      <c r="BI252" s="51"/>
      <c r="BJ252" s="51"/>
      <c r="BK252" s="51"/>
      <c r="BL252" s="51"/>
      <c r="BM252" s="51"/>
      <c r="BN252" s="51"/>
      <c r="BO252" s="51"/>
      <c r="BP252" s="51"/>
      <c r="BQ252" s="51"/>
      <c r="BR252" s="9">
        <f t="shared" si="16"/>
        <v>2</v>
      </c>
      <c r="BS252" s="9"/>
      <c r="BT252" s="53" t="str">
        <f t="shared" si="17"/>
        <v>Northwest Africa 14063/ 14064</v>
      </c>
      <c r="BU252" s="101"/>
    </row>
    <row r="253" spans="1:73" s="42" customFormat="1" ht="12.75" customHeight="1" x14ac:dyDescent="0.25">
      <c r="A253"/>
      <c r="B253" s="97"/>
      <c r="C253" s="265" t="str">
        <f>HYPERLINK("https://sites.wustl.edu/meteoritesite/items/lm_nwa_14134/",Q253)</f>
        <v>Northwest Africa 14134</v>
      </c>
      <c r="D253" s="266"/>
      <c r="E253" s="266"/>
      <c r="F253" s="277"/>
      <c r="G253" s="98">
        <v>2021</v>
      </c>
      <c r="H253" s="267" t="s">
        <v>396</v>
      </c>
      <c r="I253" s="268"/>
      <c r="J253" s="99">
        <v>324</v>
      </c>
      <c r="K253" s="212" t="s">
        <v>39</v>
      </c>
      <c r="L253" s="213"/>
      <c r="M253" s="100" t="s">
        <v>40</v>
      </c>
      <c r="N253" s="100" t="s">
        <v>40</v>
      </c>
      <c r="P253" s="125">
        <f t="shared" si="19"/>
        <v>324</v>
      </c>
      <c r="Q253" s="54" t="s">
        <v>520</v>
      </c>
      <c r="R253" s="48"/>
      <c r="S253" s="49"/>
      <c r="T253" s="50">
        <f t="shared" si="15"/>
        <v>0</v>
      </c>
      <c r="U253" s="9"/>
      <c r="V253" s="51">
        <v>324</v>
      </c>
      <c r="W253" s="51"/>
      <c r="X253" s="51"/>
      <c r="Y253" s="51"/>
      <c r="Z253" s="51"/>
      <c r="AA253" s="51"/>
      <c r="AB253" s="51"/>
      <c r="AC253" s="51"/>
      <c r="AD253" s="51"/>
      <c r="AE253" s="51"/>
      <c r="AF253" s="51"/>
      <c r="AG253" s="51"/>
      <c r="AH253" s="51"/>
      <c r="AI253" s="51"/>
      <c r="AJ253" s="51"/>
      <c r="AK253" s="51"/>
      <c r="AL253" s="51"/>
      <c r="AM253" s="51"/>
      <c r="AN253" s="51"/>
      <c r="AO253" s="51"/>
      <c r="AP253" s="51"/>
      <c r="AQ253" s="51"/>
      <c r="AR253" s="51"/>
      <c r="AS253" s="51"/>
      <c r="AT253" s="51"/>
      <c r="AU253" s="51"/>
      <c r="AV253" s="51"/>
      <c r="AW253" s="51"/>
      <c r="AX253" s="51"/>
      <c r="AY253" s="51"/>
      <c r="AZ253" s="51"/>
      <c r="BA253" s="51"/>
      <c r="BB253" s="51"/>
      <c r="BC253" s="51"/>
      <c r="BD253" s="51"/>
      <c r="BE253" s="51"/>
      <c r="BF253" s="51"/>
      <c r="BG253" s="51"/>
      <c r="BH253" s="51"/>
      <c r="BI253" s="51"/>
      <c r="BJ253" s="51"/>
      <c r="BK253" s="51"/>
      <c r="BL253" s="51"/>
      <c r="BM253" s="51"/>
      <c r="BN253" s="51"/>
      <c r="BO253" s="51"/>
      <c r="BP253" s="51"/>
      <c r="BQ253" s="51"/>
      <c r="BR253" s="9">
        <f t="shared" si="16"/>
        <v>1</v>
      </c>
      <c r="BS253" s="9"/>
      <c r="BT253" s="53" t="str">
        <f t="shared" si="17"/>
        <v>Northwest Africa 14134</v>
      </c>
      <c r="BU253" s="101"/>
    </row>
    <row r="254" spans="1:73" s="42" customFormat="1" ht="12.75" customHeight="1" x14ac:dyDescent="0.25">
      <c r="A254"/>
      <c r="B254" s="97"/>
      <c r="C254" s="265"/>
      <c r="D254" s="266"/>
      <c r="E254" s="266"/>
      <c r="F254" s="277"/>
      <c r="G254" s="98"/>
      <c r="H254" s="267"/>
      <c r="I254" s="268"/>
      <c r="J254" s="104"/>
      <c r="K254" s="212"/>
      <c r="L254" s="213"/>
      <c r="M254" s="100"/>
      <c r="N254" s="100"/>
      <c r="P254" s="125"/>
      <c r="Q254" s="54"/>
      <c r="R254" s="48"/>
      <c r="S254" s="49"/>
      <c r="T254" s="126"/>
      <c r="U254" s="9"/>
      <c r="V254" s="51"/>
      <c r="W254" s="51"/>
      <c r="X254" s="51"/>
      <c r="Y254" s="51"/>
      <c r="Z254" s="51"/>
      <c r="AA254" s="51"/>
      <c r="AB254" s="51"/>
      <c r="AC254" s="51"/>
      <c r="AD254" s="51"/>
      <c r="AE254" s="51"/>
      <c r="AF254" s="51"/>
      <c r="AG254" s="51"/>
      <c r="AH254" s="51"/>
      <c r="AI254" s="51"/>
      <c r="AJ254" s="51"/>
      <c r="AK254" s="51"/>
      <c r="AL254" s="51"/>
      <c r="AM254" s="51"/>
      <c r="AN254" s="51"/>
      <c r="AO254" s="51"/>
      <c r="AP254" s="51"/>
      <c r="AQ254" s="51"/>
      <c r="AR254" s="51"/>
      <c r="AS254" s="51"/>
      <c r="AT254" s="51"/>
      <c r="AU254" s="51"/>
      <c r="AV254" s="51"/>
      <c r="AW254" s="51"/>
      <c r="AX254" s="51"/>
      <c r="AY254" s="51"/>
      <c r="AZ254" s="51"/>
      <c r="BA254" s="51"/>
      <c r="BB254" s="51"/>
      <c r="BC254" s="51"/>
      <c r="BD254" s="51"/>
      <c r="BE254" s="51"/>
      <c r="BF254" s="51"/>
      <c r="BG254" s="51"/>
      <c r="BH254" s="51"/>
      <c r="BI254" s="51"/>
      <c r="BJ254" s="51"/>
      <c r="BK254" s="51"/>
      <c r="BL254" s="51"/>
      <c r="BM254" s="51"/>
      <c r="BN254" s="51"/>
      <c r="BO254" s="51"/>
      <c r="BP254" s="51"/>
      <c r="BQ254" s="51"/>
      <c r="BR254" s="9"/>
      <c r="BS254" s="9"/>
      <c r="BT254" s="53"/>
      <c r="BU254" s="101"/>
    </row>
    <row r="255" spans="1:73" s="1" customFormat="1" ht="12.75" customHeight="1" x14ac:dyDescent="0.25">
      <c r="A255"/>
      <c r="B255" s="243" t="s">
        <v>28</v>
      </c>
      <c r="C255" s="230" t="s">
        <v>29</v>
      </c>
      <c r="D255" s="231"/>
      <c r="E255" s="231"/>
      <c r="F255" s="232"/>
      <c r="G255" s="241" t="s">
        <v>282</v>
      </c>
      <c r="H255" s="219" t="s">
        <v>249</v>
      </c>
      <c r="I255" s="220"/>
      <c r="J255" s="241" t="s">
        <v>30</v>
      </c>
      <c r="K255" s="219" t="s">
        <v>31</v>
      </c>
      <c r="L255" s="220"/>
      <c r="M255" s="223" t="s">
        <v>245</v>
      </c>
      <c r="N255" s="225" t="s">
        <v>32</v>
      </c>
      <c r="O255" s="15"/>
      <c r="Q255" s="131">
        <f>SUM(P228:P254)</f>
        <v>20196.159999999996</v>
      </c>
      <c r="R255" s="15"/>
      <c r="S255" s="15"/>
      <c r="T255"/>
      <c r="U255" s="124"/>
      <c r="W255" s="42"/>
      <c r="X255" s="42"/>
      <c r="Y255" s="42"/>
      <c r="Z255" s="42"/>
      <c r="AA255" s="42"/>
      <c r="AB255" s="42"/>
      <c r="AC255" s="42"/>
      <c r="AD255" s="42"/>
      <c r="AE255" s="42"/>
      <c r="AF255" s="42"/>
      <c r="AG255" s="42"/>
      <c r="AH255" s="42"/>
      <c r="AI255" s="42"/>
      <c r="AJ255" s="42"/>
      <c r="AK255" s="42"/>
      <c r="AL255" s="42"/>
      <c r="AM255" s="42"/>
      <c r="AN255" s="42"/>
      <c r="AO255" s="42"/>
      <c r="AP255" s="42"/>
      <c r="AQ255" s="42"/>
      <c r="AR255" s="42"/>
      <c r="AS255" s="42"/>
      <c r="AT255" s="42"/>
      <c r="AU255" s="42"/>
      <c r="AV255" s="42"/>
      <c r="AW255" s="42"/>
      <c r="AX255" s="42"/>
      <c r="AY255" s="42"/>
      <c r="AZ255" s="42"/>
      <c r="BA255" s="42"/>
      <c r="BB255" s="42"/>
      <c r="BC255" s="42"/>
      <c r="BD255" s="42"/>
      <c r="BE255" s="42"/>
      <c r="BF255" s="42"/>
      <c r="BG255" s="42"/>
      <c r="BH255" s="42"/>
      <c r="BI255" s="42"/>
      <c r="BJ255" s="42"/>
      <c r="BK255" s="42"/>
      <c r="BL255" s="42"/>
      <c r="BM255" s="42"/>
      <c r="BN255" s="42"/>
      <c r="BO255" s="42"/>
      <c r="BP255" s="42"/>
      <c r="BQ255" s="42"/>
      <c r="BR255" s="9"/>
      <c r="BS255" s="42"/>
      <c r="BT255" s="53"/>
      <c r="BU255" s="25"/>
    </row>
    <row r="256" spans="1:73" s="1" customFormat="1" ht="12.75" customHeight="1" x14ac:dyDescent="0.25">
      <c r="A256"/>
      <c r="B256" s="229"/>
      <c r="C256" s="233"/>
      <c r="D256" s="234"/>
      <c r="E256" s="234"/>
      <c r="F256" s="235"/>
      <c r="G256" s="242"/>
      <c r="H256" s="221"/>
      <c r="I256" s="222"/>
      <c r="J256" s="242"/>
      <c r="K256" s="221"/>
      <c r="L256" s="222"/>
      <c r="M256" s="224"/>
      <c r="N256" s="226"/>
      <c r="O256" s="15"/>
      <c r="P256" s="127"/>
      <c r="Q256" s="26"/>
      <c r="R256" s="15"/>
      <c r="S256" s="15"/>
      <c r="T256"/>
      <c r="U256" s="9"/>
      <c r="V256" s="42"/>
      <c r="W256" s="42"/>
      <c r="X256" s="42"/>
      <c r="Y256" s="42"/>
      <c r="Z256" s="42"/>
      <c r="AA256" s="42"/>
      <c r="AB256" s="42"/>
      <c r="AC256" s="42"/>
      <c r="AD256" s="42"/>
      <c r="AE256" s="42"/>
      <c r="AF256" s="42"/>
      <c r="AG256" s="42"/>
      <c r="AH256" s="42"/>
      <c r="AI256" s="42"/>
      <c r="AJ256" s="42"/>
      <c r="AK256" s="42"/>
      <c r="AL256" s="42"/>
      <c r="AM256" s="42"/>
      <c r="AN256" s="42"/>
      <c r="AO256" s="42"/>
      <c r="AP256" s="42"/>
      <c r="AQ256" s="42"/>
      <c r="AR256" s="42"/>
      <c r="AS256" s="42"/>
      <c r="AT256" s="42"/>
      <c r="AU256" s="42"/>
      <c r="AV256" s="42"/>
      <c r="AW256" s="42"/>
      <c r="AX256" s="42"/>
      <c r="AY256" s="42"/>
      <c r="AZ256" s="42"/>
      <c r="BA256" s="42"/>
      <c r="BB256" s="42"/>
      <c r="BC256" s="42"/>
      <c r="BD256" s="42"/>
      <c r="BE256" s="42"/>
      <c r="BF256" s="42"/>
      <c r="BG256" s="42"/>
      <c r="BH256" s="42"/>
      <c r="BI256" s="42"/>
      <c r="BJ256" s="42"/>
      <c r="BK256" s="42"/>
      <c r="BL256" s="42"/>
      <c r="BM256" s="42"/>
      <c r="BN256" s="42"/>
      <c r="BO256" s="42"/>
      <c r="BP256" s="42"/>
      <c r="BQ256" s="42"/>
      <c r="BR256" s="9"/>
      <c r="BS256" s="42"/>
      <c r="BT256" s="53"/>
      <c r="BU256" s="25"/>
    </row>
    <row r="257" spans="1:73" s="8" customFormat="1" ht="12.75" customHeight="1" x14ac:dyDescent="0.25">
      <c r="A257"/>
      <c r="B257" s="338" t="s">
        <v>473</v>
      </c>
      <c r="C257" s="339"/>
      <c r="D257" s="339"/>
      <c r="E257" s="339"/>
      <c r="F257" s="339"/>
      <c r="G257" s="339"/>
      <c r="H257" s="339"/>
      <c r="I257" s="339"/>
      <c r="J257" s="339"/>
      <c r="K257" s="339"/>
      <c r="L257" s="339"/>
      <c r="M257" s="339"/>
      <c r="N257" s="340"/>
      <c r="P257" s="127"/>
      <c r="Q257" s="26"/>
      <c r="R257" s="15"/>
      <c r="S257" s="15"/>
      <c r="T257" s="50"/>
      <c r="U257" s="9"/>
      <c r="V257" s="9"/>
      <c r="W257" s="9"/>
      <c r="X257" s="9"/>
      <c r="Y257" s="9"/>
      <c r="Z257" s="9"/>
      <c r="AA257" s="9"/>
      <c r="AB257" s="9"/>
      <c r="AC257" s="9"/>
      <c r="AD257" s="9"/>
      <c r="AE257" s="9"/>
      <c r="AF257" s="9"/>
      <c r="AG257" s="9"/>
      <c r="AH257" s="9"/>
      <c r="AI257" s="9"/>
      <c r="AJ257" s="9"/>
      <c r="AK257" s="9"/>
      <c r="AL257" s="9"/>
      <c r="AM257" s="9"/>
      <c r="AN257" s="9"/>
      <c r="AO257" s="9"/>
      <c r="AP257" s="9"/>
      <c r="AQ257" s="9"/>
      <c r="AR257" s="9"/>
      <c r="AS257" s="9"/>
      <c r="AT257" s="9"/>
      <c r="AU257" s="9"/>
      <c r="AV257" s="9"/>
      <c r="AW257" s="9"/>
      <c r="AX257" s="9"/>
      <c r="AY257" s="9"/>
      <c r="AZ257" s="9"/>
      <c r="BA257" s="9"/>
      <c r="BB257" s="9"/>
      <c r="BC257" s="9"/>
      <c r="BD257" s="9"/>
      <c r="BE257" s="9"/>
      <c r="BF257" s="9"/>
      <c r="BG257" s="9"/>
      <c r="BH257" s="9"/>
      <c r="BI257" s="9"/>
      <c r="BJ257" s="9"/>
      <c r="BK257" s="9"/>
      <c r="BL257" s="9"/>
      <c r="BM257" s="9"/>
      <c r="BN257" s="9"/>
      <c r="BO257" s="9"/>
      <c r="BP257" s="9"/>
      <c r="BQ257" s="9"/>
      <c r="BR257" s="9"/>
      <c r="BS257" s="9"/>
      <c r="BT257" s="53"/>
      <c r="BU257" s="56"/>
    </row>
    <row r="258" spans="1:73" ht="12.75" customHeight="1" x14ac:dyDescent="0.25">
      <c r="B258" s="64">
        <f>B226+1</f>
        <v>99</v>
      </c>
      <c r="C258" s="278" t="str">
        <f>HYPERLINK("https://sites.wustl.edu/meteoritesite/items/lm_dho_0925/",Q258)</f>
        <v>Dhofar 925/ 960/ 961</v>
      </c>
      <c r="D258" s="279"/>
      <c r="E258" s="279"/>
      <c r="F258" s="280"/>
      <c r="G258" s="4" t="s">
        <v>64</v>
      </c>
      <c r="H258" s="334" t="s">
        <v>186</v>
      </c>
      <c r="I258" s="335"/>
      <c r="J258" s="4">
        <v>106</v>
      </c>
      <c r="K258" s="272" t="s">
        <v>37</v>
      </c>
      <c r="L258" s="273"/>
      <c r="M258" s="43" t="s">
        <v>243</v>
      </c>
      <c r="N258" s="44" t="s">
        <v>116</v>
      </c>
      <c r="P258" s="125">
        <f t="shared" ref="P258:P270" si="20">SUM(V258:BQ258)</f>
        <v>106</v>
      </c>
      <c r="Q258" s="54" t="s">
        <v>274</v>
      </c>
      <c r="R258" s="48" t="s">
        <v>243</v>
      </c>
      <c r="S258" s="49" t="s">
        <v>116</v>
      </c>
      <c r="T258" s="50">
        <f t="shared" ref="T258:T270" si="21">J258-P258</f>
        <v>0</v>
      </c>
      <c r="V258" s="51">
        <v>49</v>
      </c>
      <c r="W258" s="51">
        <v>35.4</v>
      </c>
      <c r="X258" s="51">
        <v>21.6</v>
      </c>
      <c r="Y258" s="51"/>
      <c r="Z258" s="51"/>
      <c r="AA258" s="51"/>
      <c r="AB258" s="51"/>
      <c r="AC258" s="51"/>
      <c r="AD258" s="51"/>
      <c r="AE258" s="51"/>
      <c r="AF258" s="51"/>
      <c r="AG258" s="51"/>
      <c r="AH258" s="51"/>
      <c r="AI258" s="51"/>
      <c r="AJ258" s="51"/>
      <c r="AK258" s="51"/>
      <c r="AL258" s="51"/>
      <c r="AM258" s="51"/>
      <c r="AN258" s="51"/>
      <c r="AO258" s="51"/>
      <c r="AP258" s="51"/>
      <c r="AQ258" s="51"/>
      <c r="AR258" s="51"/>
      <c r="AS258" s="51"/>
      <c r="AT258" s="51"/>
      <c r="AU258" s="51"/>
      <c r="AV258" s="51"/>
      <c r="AW258" s="51"/>
      <c r="AX258" s="51"/>
      <c r="AY258" s="51"/>
      <c r="AZ258" s="51"/>
      <c r="BA258" s="51"/>
      <c r="BB258" s="51"/>
      <c r="BC258" s="51"/>
      <c r="BD258" s="51"/>
      <c r="BE258" s="51"/>
      <c r="BF258" s="51"/>
      <c r="BG258" s="51"/>
      <c r="BH258" s="51"/>
      <c r="BI258" s="51"/>
      <c r="BJ258" s="51"/>
      <c r="BK258" s="51"/>
      <c r="BL258" s="51"/>
      <c r="BM258" s="51"/>
      <c r="BN258" s="51"/>
      <c r="BO258" s="51"/>
      <c r="BP258" s="51"/>
      <c r="BQ258" s="51"/>
      <c r="BR258" s="9">
        <f t="shared" ref="BR258:BR314" si="22">COUNT(V258:BQ258)</f>
        <v>3</v>
      </c>
      <c r="BT258" s="53" t="str">
        <f t="shared" ref="BT258:BT314" si="23">Q258</f>
        <v>Dhofar 925/ 960/ 961</v>
      </c>
      <c r="BU258" s="25" t="s">
        <v>230</v>
      </c>
    </row>
    <row r="259" spans="1:73" ht="12.75" customHeight="1" x14ac:dyDescent="0.25">
      <c r="B259" s="64">
        <f>B258+1</f>
        <v>100</v>
      </c>
      <c r="C259" s="278" t="str">
        <f>HYPERLINK("https://sites.wustl.edu/meteoritesite/items/lm_nwa_08673_clan/",Q259)</f>
        <v>Northwest Africa 8673/ 8733/ 8746/ 10048/ 10065/ 10123/ 10902/ 10964/ 11110/ 11193/ 11216/ 11228/ 11788/ 13637 [unnamed 109]</v>
      </c>
      <c r="D259" s="279"/>
      <c r="E259" s="279"/>
      <c r="F259" s="280"/>
      <c r="G259" s="4" t="s">
        <v>431</v>
      </c>
      <c r="H259" s="334" t="s">
        <v>188</v>
      </c>
      <c r="I259" s="335"/>
      <c r="J259" s="85">
        <v>12259.72</v>
      </c>
      <c r="K259" s="212" t="s">
        <v>39</v>
      </c>
      <c r="L259" s="213"/>
      <c r="M259" s="43">
        <v>8</v>
      </c>
      <c r="N259" s="44">
        <v>1</v>
      </c>
      <c r="P259" s="125">
        <f t="shared" si="20"/>
        <v>12259.72</v>
      </c>
      <c r="Q259" s="54" t="s">
        <v>462</v>
      </c>
      <c r="R259" s="48">
        <v>8</v>
      </c>
      <c r="S259" s="49">
        <v>1</v>
      </c>
      <c r="T259" s="50">
        <f t="shared" si="21"/>
        <v>0</v>
      </c>
      <c r="V259" s="51">
        <v>263</v>
      </c>
      <c r="W259" s="51">
        <v>51</v>
      </c>
      <c r="X259" s="51">
        <v>69.900000000000006</v>
      </c>
      <c r="Y259" s="51">
        <v>352.3</v>
      </c>
      <c r="Z259" s="51">
        <v>282.8</v>
      </c>
      <c r="AA259" s="51">
        <v>149.5</v>
      </c>
      <c r="AB259" s="51">
        <v>36.28</v>
      </c>
      <c r="AC259" s="51">
        <v>26</v>
      </c>
      <c r="AD259" s="51">
        <v>155</v>
      </c>
      <c r="AE259" s="51">
        <v>62</v>
      </c>
      <c r="AF259" s="51"/>
      <c r="AG259" s="51">
        <v>222.34</v>
      </c>
      <c r="AH259" s="51">
        <v>140</v>
      </c>
      <c r="AI259" s="51">
        <v>10441</v>
      </c>
      <c r="AJ259" s="51">
        <v>8.6</v>
      </c>
      <c r="AK259" s="51"/>
      <c r="AL259" s="51"/>
      <c r="AM259" s="51"/>
      <c r="AN259" s="51"/>
      <c r="AO259" s="51"/>
      <c r="AP259" s="51"/>
      <c r="AQ259" s="51"/>
      <c r="AR259" s="51"/>
      <c r="AS259" s="51"/>
      <c r="AT259" s="51"/>
      <c r="AU259" s="51"/>
      <c r="AV259" s="51"/>
      <c r="AW259" s="51"/>
      <c r="AX259" s="51"/>
      <c r="AY259" s="51"/>
      <c r="AZ259" s="51"/>
      <c r="BA259" s="51"/>
      <c r="BB259" s="51"/>
      <c r="BC259" s="51"/>
      <c r="BD259" s="51"/>
      <c r="BE259" s="51"/>
      <c r="BF259" s="51"/>
      <c r="BG259" s="51"/>
      <c r="BH259" s="51"/>
      <c r="BI259" s="51"/>
      <c r="BJ259" s="51"/>
      <c r="BK259" s="51"/>
      <c r="BL259" s="51"/>
      <c r="BM259" s="51"/>
      <c r="BN259" s="51"/>
      <c r="BO259" s="51"/>
      <c r="BP259" s="51"/>
      <c r="BQ259" s="51"/>
      <c r="BR259" s="9">
        <f t="shared" si="22"/>
        <v>14</v>
      </c>
      <c r="BT259" s="53" t="str">
        <f t="shared" si="23"/>
        <v>Northwest Africa 8673/ 8733/ 8746/ 10048/ 10065/ 10123/ 10902/ 10964/ 11110/ 11193/ 11216/ 11228/ 11788/ 13637 [unnamed 109]</v>
      </c>
      <c r="BU259" s="25" t="s">
        <v>230</v>
      </c>
    </row>
    <row r="260" spans="1:73" ht="12.75" customHeight="1" x14ac:dyDescent="0.25">
      <c r="B260" s="64">
        <f t="shared" ref="B260:B270" si="24">B259+1</f>
        <v>101</v>
      </c>
      <c r="C260" s="278" t="str">
        <f>HYPERLINK("https://sites.wustl.edu/meteoritesite/items/lm_nwa_05207/",Q260)</f>
        <v>Northwest Africa 5207</v>
      </c>
      <c r="D260" s="279"/>
      <c r="E260" s="279"/>
      <c r="F260" s="280"/>
      <c r="G260" s="4">
        <v>2007</v>
      </c>
      <c r="H260" s="334" t="s">
        <v>38</v>
      </c>
      <c r="I260" s="335"/>
      <c r="J260" s="4">
        <v>101</v>
      </c>
      <c r="K260" s="212" t="s">
        <v>35</v>
      </c>
      <c r="L260" s="213"/>
      <c r="M260" s="43">
        <v>7.6</v>
      </c>
      <c r="N260" s="44">
        <v>1.3</v>
      </c>
      <c r="P260" s="125">
        <f t="shared" si="20"/>
        <v>101</v>
      </c>
      <c r="Q260" s="54" t="s">
        <v>137</v>
      </c>
      <c r="R260" s="48">
        <v>7.6</v>
      </c>
      <c r="S260" s="49">
        <v>1.3</v>
      </c>
      <c r="T260" s="50">
        <f t="shared" si="21"/>
        <v>0</v>
      </c>
      <c r="V260" s="51">
        <v>101</v>
      </c>
      <c r="W260" s="51"/>
      <c r="X260" s="51"/>
      <c r="Y260" s="51"/>
      <c r="Z260" s="51"/>
      <c r="AA260" s="51"/>
      <c r="AB260" s="51"/>
      <c r="AC260" s="51"/>
      <c r="AD260" s="51"/>
      <c r="AE260" s="51"/>
      <c r="AF260" s="51"/>
      <c r="AG260" s="51"/>
      <c r="AH260" s="51"/>
      <c r="AI260" s="51"/>
      <c r="AJ260" s="51"/>
      <c r="AK260" s="51"/>
      <c r="AL260" s="51"/>
      <c r="AM260" s="51"/>
      <c r="AN260" s="51"/>
      <c r="AO260" s="51"/>
      <c r="AP260" s="51"/>
      <c r="AQ260" s="51"/>
      <c r="AR260" s="51"/>
      <c r="AS260" s="51"/>
      <c r="AT260" s="51"/>
      <c r="AU260" s="51"/>
      <c r="AV260" s="51"/>
      <c r="AW260" s="51"/>
      <c r="AX260" s="51"/>
      <c r="AY260" s="51"/>
      <c r="AZ260" s="51"/>
      <c r="BA260" s="51"/>
      <c r="BB260" s="51"/>
      <c r="BC260" s="51"/>
      <c r="BD260" s="51"/>
      <c r="BE260" s="51"/>
      <c r="BF260" s="51"/>
      <c r="BG260" s="51"/>
      <c r="BH260" s="51"/>
      <c r="BI260" s="51"/>
      <c r="BJ260" s="51"/>
      <c r="BK260" s="51"/>
      <c r="BL260" s="51"/>
      <c r="BM260" s="51"/>
      <c r="BN260" s="51"/>
      <c r="BO260" s="51"/>
      <c r="BP260" s="51"/>
      <c r="BQ260" s="51"/>
      <c r="BR260" s="9">
        <f t="shared" si="22"/>
        <v>1</v>
      </c>
      <c r="BT260" s="53" t="str">
        <f t="shared" si="23"/>
        <v>Northwest Africa 5207</v>
      </c>
      <c r="BU260" s="25" t="s">
        <v>230</v>
      </c>
    </row>
    <row r="261" spans="1:73" ht="12.75" customHeight="1" x14ac:dyDescent="0.25">
      <c r="B261" s="64">
        <f t="shared" si="24"/>
        <v>102</v>
      </c>
      <c r="C261" s="278" t="str">
        <f>HYPERLINK("https://sites.wustl.edu/meteoritesite/items/lm_nwa_04932/",Q261)</f>
        <v>Northwest Africa 4932</v>
      </c>
      <c r="D261" s="279"/>
      <c r="E261" s="279"/>
      <c r="F261" s="280"/>
      <c r="G261" s="4">
        <v>2007</v>
      </c>
      <c r="H261" s="334" t="s">
        <v>616</v>
      </c>
      <c r="I261" s="335"/>
      <c r="J261" s="4">
        <v>93.3</v>
      </c>
      <c r="K261" s="212" t="s">
        <v>66</v>
      </c>
      <c r="L261" s="213"/>
      <c r="M261" s="43">
        <v>8.6</v>
      </c>
      <c r="N261" s="44">
        <v>0.5</v>
      </c>
      <c r="P261" s="125">
        <f t="shared" si="20"/>
        <v>93.3</v>
      </c>
      <c r="Q261" s="54" t="s">
        <v>205</v>
      </c>
      <c r="R261" s="48">
        <v>8.6</v>
      </c>
      <c r="S261" s="49">
        <v>0.5</v>
      </c>
      <c r="T261" s="50">
        <f t="shared" si="21"/>
        <v>0</v>
      </c>
      <c r="V261" s="51">
        <v>93.3</v>
      </c>
      <c r="W261" s="51"/>
      <c r="X261" s="51"/>
      <c r="Y261" s="51"/>
      <c r="Z261" s="51"/>
      <c r="AA261" s="51"/>
      <c r="AB261" s="51"/>
      <c r="AC261" s="51"/>
      <c r="AD261" s="51"/>
      <c r="AE261" s="51"/>
      <c r="AF261" s="51"/>
      <c r="AG261" s="51"/>
      <c r="AH261" s="51"/>
      <c r="AI261" s="51"/>
      <c r="AJ261" s="51"/>
      <c r="AK261" s="51"/>
      <c r="AL261" s="51"/>
      <c r="AM261" s="51"/>
      <c r="AN261" s="51"/>
      <c r="AO261" s="51"/>
      <c r="AP261" s="51"/>
      <c r="AQ261" s="51"/>
      <c r="AR261" s="51"/>
      <c r="AS261" s="51"/>
      <c r="AT261" s="51"/>
      <c r="AU261" s="51"/>
      <c r="AV261" s="51"/>
      <c r="AW261" s="51"/>
      <c r="AX261" s="51"/>
      <c r="AY261" s="51"/>
      <c r="AZ261" s="51"/>
      <c r="BA261" s="51"/>
      <c r="BB261" s="51"/>
      <c r="BC261" s="51"/>
      <c r="BD261" s="51"/>
      <c r="BE261" s="51"/>
      <c r="BF261" s="51"/>
      <c r="BG261" s="51"/>
      <c r="BH261" s="51"/>
      <c r="BI261" s="51"/>
      <c r="BJ261" s="51"/>
      <c r="BK261" s="51"/>
      <c r="BL261" s="51"/>
      <c r="BM261" s="51"/>
      <c r="BN261" s="51"/>
      <c r="BO261" s="51"/>
      <c r="BP261" s="51"/>
      <c r="BQ261" s="51"/>
      <c r="BR261" s="9">
        <f t="shared" si="22"/>
        <v>1</v>
      </c>
      <c r="BT261" s="53" t="str">
        <f t="shared" si="23"/>
        <v>Northwest Africa 4932</v>
      </c>
      <c r="BU261" s="25" t="s">
        <v>230</v>
      </c>
    </row>
    <row r="262" spans="1:73" ht="12.75" customHeight="1" x14ac:dyDescent="0.25">
      <c r="B262" s="64">
        <f t="shared" si="24"/>
        <v>103</v>
      </c>
      <c r="C262" s="278" t="str">
        <f>HYPERLINK("https://sites.wustl.edu/meteoritesite/items/lm_sau_300/",Q262)</f>
        <v>Sayh al Uhaymir 300</v>
      </c>
      <c r="D262" s="279"/>
      <c r="E262" s="279"/>
      <c r="F262" s="280"/>
      <c r="G262" s="4">
        <v>2004</v>
      </c>
      <c r="H262" s="334" t="s">
        <v>616</v>
      </c>
      <c r="I262" s="335"/>
      <c r="J262" s="4">
        <v>152.6</v>
      </c>
      <c r="K262" s="272" t="s">
        <v>37</v>
      </c>
      <c r="L262" s="273"/>
      <c r="M262" s="43">
        <v>7.8</v>
      </c>
      <c r="N262" s="44">
        <v>0.5</v>
      </c>
      <c r="P262" s="125">
        <f t="shared" si="20"/>
        <v>152.6</v>
      </c>
      <c r="Q262" s="54" t="s">
        <v>159</v>
      </c>
      <c r="R262" s="48">
        <v>7.8</v>
      </c>
      <c r="S262" s="49">
        <v>0.5</v>
      </c>
      <c r="T262" s="50">
        <f t="shared" si="21"/>
        <v>0</v>
      </c>
      <c r="V262" s="51">
        <v>152.6</v>
      </c>
      <c r="W262" s="51"/>
      <c r="X262" s="51"/>
      <c r="Y262" s="51"/>
      <c r="Z262" s="51"/>
      <c r="AA262" s="51"/>
      <c r="AB262" s="51"/>
      <c r="AC262" s="51"/>
      <c r="AD262" s="51"/>
      <c r="AE262" s="51"/>
      <c r="AF262" s="51"/>
      <c r="AG262" s="51"/>
      <c r="AH262" s="51"/>
      <c r="AI262" s="51"/>
      <c r="AJ262" s="51"/>
      <c r="AK262" s="51"/>
      <c r="AL262" s="51"/>
      <c r="AM262" s="51"/>
      <c r="AN262" s="51"/>
      <c r="AO262" s="51"/>
      <c r="AP262" s="51"/>
      <c r="AQ262" s="51"/>
      <c r="AR262" s="51"/>
      <c r="AS262" s="51"/>
      <c r="AT262" s="51"/>
      <c r="AU262" s="51"/>
      <c r="AV262" s="51"/>
      <c r="AW262" s="51"/>
      <c r="AX262" s="51"/>
      <c r="AY262" s="51"/>
      <c r="AZ262" s="51"/>
      <c r="BA262" s="51"/>
      <c r="BB262" s="51"/>
      <c r="BC262" s="51"/>
      <c r="BD262" s="51"/>
      <c r="BE262" s="51"/>
      <c r="BF262" s="51"/>
      <c r="BG262" s="51"/>
      <c r="BH262" s="51"/>
      <c r="BI262" s="51"/>
      <c r="BJ262" s="51"/>
      <c r="BK262" s="51"/>
      <c r="BL262" s="51"/>
      <c r="BM262" s="51"/>
      <c r="BN262" s="51"/>
      <c r="BO262" s="51"/>
      <c r="BP262" s="51"/>
      <c r="BQ262" s="51"/>
      <c r="BR262" s="9">
        <f t="shared" si="22"/>
        <v>1</v>
      </c>
      <c r="BT262" s="53" t="str">
        <f t="shared" si="23"/>
        <v>Sayh al Uhaymir 300</v>
      </c>
      <c r="BU262" s="25" t="s">
        <v>230</v>
      </c>
    </row>
    <row r="263" spans="1:73" ht="12.75" customHeight="1" x14ac:dyDescent="0.25">
      <c r="B263" s="64">
        <f t="shared" si="24"/>
        <v>104</v>
      </c>
      <c r="C263" s="278" t="str">
        <f>HYPERLINK("https://sites.wustl.edu/meteoritesite/items/lm_sau_449/",Q263)</f>
        <v>Sayh al Uhaymir 449</v>
      </c>
      <c r="D263" s="279"/>
      <c r="E263" s="279"/>
      <c r="F263" s="280"/>
      <c r="G263" s="4">
        <v>2006</v>
      </c>
      <c r="H263" s="334" t="s">
        <v>186</v>
      </c>
      <c r="I263" s="335"/>
      <c r="J263" s="4">
        <v>16.5</v>
      </c>
      <c r="K263" s="272" t="s">
        <v>37</v>
      </c>
      <c r="L263" s="273"/>
      <c r="M263" s="43">
        <v>7.9</v>
      </c>
      <c r="N263" s="44">
        <v>0.9</v>
      </c>
      <c r="P263" s="125">
        <f t="shared" si="20"/>
        <v>16.5</v>
      </c>
      <c r="Q263" s="54" t="s">
        <v>160</v>
      </c>
      <c r="R263" s="48">
        <v>7.9</v>
      </c>
      <c r="S263" s="49">
        <v>0.9</v>
      </c>
      <c r="T263" s="50">
        <f t="shared" si="21"/>
        <v>0</v>
      </c>
      <c r="V263" s="51">
        <v>16.5</v>
      </c>
      <c r="W263" s="51"/>
      <c r="X263" s="51"/>
      <c r="Y263" s="51"/>
      <c r="Z263" s="51"/>
      <c r="AA263" s="51"/>
      <c r="AB263" s="51"/>
      <c r="AC263" s="51"/>
      <c r="AD263" s="51"/>
      <c r="AE263" s="51"/>
      <c r="AF263" s="51"/>
      <c r="AG263" s="51"/>
      <c r="AH263" s="51"/>
      <c r="AI263" s="51"/>
      <c r="AJ263" s="51"/>
      <c r="AK263" s="51"/>
      <c r="AL263" s="51"/>
      <c r="AM263" s="51"/>
      <c r="AN263" s="51"/>
      <c r="AO263" s="51"/>
      <c r="AP263" s="51"/>
      <c r="AQ263" s="51"/>
      <c r="AR263" s="51"/>
      <c r="AS263" s="51"/>
      <c r="AT263" s="51"/>
      <c r="AU263" s="51"/>
      <c r="AV263" s="51"/>
      <c r="AW263" s="51"/>
      <c r="AX263" s="51"/>
      <c r="AY263" s="51"/>
      <c r="AZ263" s="51"/>
      <c r="BA263" s="51"/>
      <c r="BB263" s="51"/>
      <c r="BC263" s="51"/>
      <c r="BD263" s="51"/>
      <c r="BE263" s="51"/>
      <c r="BF263" s="51"/>
      <c r="BG263" s="51"/>
      <c r="BH263" s="51"/>
      <c r="BI263" s="51"/>
      <c r="BJ263" s="51"/>
      <c r="BK263" s="51"/>
      <c r="BL263" s="51"/>
      <c r="BM263" s="51"/>
      <c r="BN263" s="51"/>
      <c r="BO263" s="51"/>
      <c r="BP263" s="51"/>
      <c r="BQ263" s="51"/>
      <c r="BR263" s="9">
        <f t="shared" si="22"/>
        <v>1</v>
      </c>
      <c r="BT263" s="53" t="str">
        <f t="shared" si="23"/>
        <v>Sayh al Uhaymir 449</v>
      </c>
      <c r="BU263" s="25" t="s">
        <v>230</v>
      </c>
    </row>
    <row r="264" spans="1:73" ht="12.75" customHeight="1" x14ac:dyDescent="0.25">
      <c r="B264" s="64">
        <f t="shared" si="24"/>
        <v>105</v>
      </c>
      <c r="C264" s="278" t="str">
        <f>HYPERLINK("https://sites.wustl.edu/meteoritesite/items/lm_nwa_7931/",Q264)</f>
        <v>Northwest Africa 7931</v>
      </c>
      <c r="D264" s="279"/>
      <c r="E264" s="279"/>
      <c r="F264" s="280"/>
      <c r="G264" s="4">
        <v>2013</v>
      </c>
      <c r="H264" s="334" t="s">
        <v>396</v>
      </c>
      <c r="I264" s="335"/>
      <c r="J264" s="4">
        <v>5.92</v>
      </c>
      <c r="K264" s="212" t="s">
        <v>39</v>
      </c>
      <c r="L264" s="213"/>
      <c r="M264" s="43">
        <v>7.5</v>
      </c>
      <c r="N264" s="44">
        <v>0.6</v>
      </c>
      <c r="P264" s="125">
        <f t="shared" si="20"/>
        <v>5.92</v>
      </c>
      <c r="Q264" s="54" t="s">
        <v>138</v>
      </c>
      <c r="R264" s="48">
        <v>7.5</v>
      </c>
      <c r="S264" s="49">
        <v>0.6</v>
      </c>
      <c r="T264" s="50">
        <f t="shared" si="21"/>
        <v>0</v>
      </c>
      <c r="V264" s="51">
        <v>5.92</v>
      </c>
      <c r="W264" s="51"/>
      <c r="X264" s="51"/>
      <c r="Y264" s="51"/>
      <c r="Z264" s="51"/>
      <c r="AA264" s="51"/>
      <c r="AB264" s="51"/>
      <c r="AC264" s="51"/>
      <c r="AD264" s="51"/>
      <c r="AE264" s="51"/>
      <c r="AF264" s="51"/>
      <c r="AG264" s="51"/>
      <c r="AH264" s="51"/>
      <c r="AI264" s="51"/>
      <c r="AJ264" s="51"/>
      <c r="AK264" s="51"/>
      <c r="AL264" s="51"/>
      <c r="AM264" s="51"/>
      <c r="AN264" s="51"/>
      <c r="AO264" s="51"/>
      <c r="AP264" s="51"/>
      <c r="AQ264" s="51"/>
      <c r="AR264" s="51"/>
      <c r="AS264" s="51"/>
      <c r="AT264" s="51"/>
      <c r="AU264" s="51"/>
      <c r="AV264" s="51"/>
      <c r="AW264" s="51"/>
      <c r="AX264" s="51"/>
      <c r="AY264" s="51"/>
      <c r="AZ264" s="51"/>
      <c r="BA264" s="51"/>
      <c r="BB264" s="51"/>
      <c r="BC264" s="51"/>
      <c r="BD264" s="51"/>
      <c r="BE264" s="51"/>
      <c r="BF264" s="51"/>
      <c r="BG264" s="51"/>
      <c r="BH264" s="51"/>
      <c r="BI264" s="51"/>
      <c r="BJ264" s="51"/>
      <c r="BK264" s="51"/>
      <c r="BL264" s="51"/>
      <c r="BM264" s="51"/>
      <c r="BN264" s="51"/>
      <c r="BO264" s="51"/>
      <c r="BP264" s="51"/>
      <c r="BQ264" s="51"/>
      <c r="BR264" s="9">
        <f t="shared" si="22"/>
        <v>1</v>
      </c>
      <c r="BT264" s="53" t="str">
        <f t="shared" si="23"/>
        <v>Northwest Africa 7931</v>
      </c>
      <c r="BU264" s="25" t="s">
        <v>230</v>
      </c>
    </row>
    <row r="265" spans="1:73" ht="12.75" customHeight="1" x14ac:dyDescent="0.25">
      <c r="B265" s="64">
        <f t="shared" si="24"/>
        <v>106</v>
      </c>
      <c r="C265" s="278" t="str">
        <f>HYPERLINK("https://sites.wustl.edu/meteoritesite/items/lm_dhofar_1180/",Q265)</f>
        <v>Dhofar 1180</v>
      </c>
      <c r="D265" s="279"/>
      <c r="E265" s="279"/>
      <c r="F265" s="280"/>
      <c r="G265" s="4">
        <v>2005</v>
      </c>
      <c r="H265" s="334" t="s">
        <v>41</v>
      </c>
      <c r="I265" s="335"/>
      <c r="J265" s="4">
        <v>115.2</v>
      </c>
      <c r="K265" s="272" t="s">
        <v>37</v>
      </c>
      <c r="L265" s="273"/>
      <c r="M265" s="43">
        <v>9.1999999999999993</v>
      </c>
      <c r="N265" s="44">
        <v>0.9</v>
      </c>
      <c r="P265" s="125">
        <f t="shared" si="20"/>
        <v>115.2</v>
      </c>
      <c r="Q265" s="54" t="s">
        <v>151</v>
      </c>
      <c r="R265" s="48">
        <v>9.1999999999999993</v>
      </c>
      <c r="S265" s="49">
        <v>0.9</v>
      </c>
      <c r="T265" s="50">
        <f t="shared" si="21"/>
        <v>0</v>
      </c>
      <c r="V265" s="51">
        <v>115.2</v>
      </c>
      <c r="W265" s="51"/>
      <c r="X265" s="51"/>
      <c r="Y265" s="51"/>
      <c r="Z265" s="51"/>
      <c r="AA265" s="51"/>
      <c r="AB265" s="51"/>
      <c r="AC265" s="51"/>
      <c r="AD265" s="51"/>
      <c r="AE265" s="51"/>
      <c r="AF265" s="51"/>
      <c r="AG265" s="51"/>
      <c r="AH265" s="51"/>
      <c r="AI265" s="51"/>
      <c r="AJ265" s="51"/>
      <c r="AK265" s="51"/>
      <c r="AL265" s="51"/>
      <c r="AM265" s="51"/>
      <c r="AN265" s="51"/>
      <c r="AO265" s="51"/>
      <c r="AP265" s="51"/>
      <c r="AQ265" s="51"/>
      <c r="AR265" s="51"/>
      <c r="AS265" s="51"/>
      <c r="AT265" s="51"/>
      <c r="AU265" s="51"/>
      <c r="AV265" s="51"/>
      <c r="AW265" s="51"/>
      <c r="AX265" s="51"/>
      <c r="AY265" s="51"/>
      <c r="AZ265" s="51"/>
      <c r="BA265" s="51"/>
      <c r="BB265" s="51"/>
      <c r="BC265" s="51"/>
      <c r="BD265" s="51"/>
      <c r="BE265" s="51"/>
      <c r="BF265" s="51"/>
      <c r="BG265" s="51"/>
      <c r="BH265" s="51"/>
      <c r="BI265" s="51"/>
      <c r="BJ265" s="51"/>
      <c r="BK265" s="51"/>
      <c r="BL265" s="51"/>
      <c r="BM265" s="51"/>
      <c r="BN265" s="51"/>
      <c r="BO265" s="51"/>
      <c r="BP265" s="51"/>
      <c r="BQ265" s="51"/>
      <c r="BR265" s="9">
        <f t="shared" si="22"/>
        <v>1</v>
      </c>
      <c r="BT265" s="53" t="str">
        <f t="shared" si="23"/>
        <v>Dhofar 1180</v>
      </c>
      <c r="BU265" s="25" t="s">
        <v>230</v>
      </c>
    </row>
    <row r="266" spans="1:73" ht="12.75" customHeight="1" x14ac:dyDescent="0.25">
      <c r="B266" s="64">
        <f t="shared" si="24"/>
        <v>107</v>
      </c>
      <c r="C266" s="278" t="str">
        <f>HYPERLINK("https://sites.wustl.edu/meteoritesite/items/lm_dhofar_1629/",Q266)</f>
        <v>Dhofar 1629</v>
      </c>
      <c r="D266" s="279"/>
      <c r="E266" s="279"/>
      <c r="F266" s="280"/>
      <c r="G266" s="4">
        <v>2007</v>
      </c>
      <c r="H266" s="334" t="s">
        <v>189</v>
      </c>
      <c r="I266" s="335"/>
      <c r="J266" s="4">
        <v>2.5099999999999998</v>
      </c>
      <c r="K266" s="272" t="s">
        <v>37</v>
      </c>
      <c r="L266" s="273"/>
      <c r="M266" s="43">
        <v>9.6999999999999993</v>
      </c>
      <c r="N266" s="44">
        <v>1.7</v>
      </c>
      <c r="P266" s="125">
        <f t="shared" si="20"/>
        <v>2.5099999999999998</v>
      </c>
      <c r="Q266" s="54" t="s">
        <v>152</v>
      </c>
      <c r="R266" s="48">
        <v>9.6999999999999993</v>
      </c>
      <c r="S266" s="49">
        <v>1.7</v>
      </c>
      <c r="T266" s="50">
        <f t="shared" si="21"/>
        <v>0</v>
      </c>
      <c r="V266" s="51">
        <v>2.5099999999999998</v>
      </c>
      <c r="W266" s="51"/>
      <c r="X266" s="51"/>
      <c r="Y266" s="51"/>
      <c r="Z266" s="51"/>
      <c r="AA266" s="51"/>
      <c r="AB266" s="51"/>
      <c r="AC266" s="51"/>
      <c r="AD266" s="51"/>
      <c r="AE266" s="51"/>
      <c r="AF266" s="51"/>
      <c r="AG266" s="51"/>
      <c r="AH266" s="51"/>
      <c r="AI266" s="51"/>
      <c r="AJ266" s="51"/>
      <c r="AK266" s="51"/>
      <c r="AL266" s="51"/>
      <c r="AM266" s="51"/>
      <c r="AN266" s="51"/>
      <c r="AO266" s="51"/>
      <c r="AP266" s="51"/>
      <c r="AQ266" s="51"/>
      <c r="AR266" s="51"/>
      <c r="AS266" s="51"/>
      <c r="AT266" s="51"/>
      <c r="AU266" s="51"/>
      <c r="AV266" s="51"/>
      <c r="AW266" s="51"/>
      <c r="AX266" s="51"/>
      <c r="AY266" s="51"/>
      <c r="AZ266" s="51"/>
      <c r="BA266" s="51"/>
      <c r="BB266" s="51"/>
      <c r="BC266" s="51"/>
      <c r="BD266" s="51"/>
      <c r="BE266" s="51"/>
      <c r="BF266" s="51"/>
      <c r="BG266" s="51"/>
      <c r="BH266" s="51"/>
      <c r="BI266" s="51"/>
      <c r="BJ266" s="51"/>
      <c r="BK266" s="51"/>
      <c r="BL266" s="51"/>
      <c r="BM266" s="51"/>
      <c r="BN266" s="51"/>
      <c r="BO266" s="51"/>
      <c r="BP266" s="51"/>
      <c r="BQ266" s="51"/>
      <c r="BR266" s="9">
        <f t="shared" si="22"/>
        <v>1</v>
      </c>
      <c r="BT266" s="53" t="str">
        <f t="shared" si="23"/>
        <v>Dhofar 1629</v>
      </c>
      <c r="BU266" s="25" t="s">
        <v>230</v>
      </c>
    </row>
    <row r="267" spans="1:73" ht="12.75" customHeight="1" x14ac:dyDescent="0.25">
      <c r="B267" s="64">
        <f t="shared" si="24"/>
        <v>108</v>
      </c>
      <c r="C267" s="278" t="str">
        <f>HYPERLINK("https://sites.wustl.edu/meteoritesite/items/lm_yamato_983885/",Q267)</f>
        <v>Yamato 983885</v>
      </c>
      <c r="D267" s="279"/>
      <c r="E267" s="279"/>
      <c r="F267" s="280"/>
      <c r="G267" s="4">
        <v>1999</v>
      </c>
      <c r="H267" s="334" t="s">
        <v>41</v>
      </c>
      <c r="I267" s="335"/>
      <c r="J267" s="4">
        <v>289.70999999999998</v>
      </c>
      <c r="K267" s="270" t="s">
        <v>42</v>
      </c>
      <c r="L267" s="271"/>
      <c r="M267" s="43">
        <v>8.6</v>
      </c>
      <c r="N267" s="44">
        <v>2.1</v>
      </c>
      <c r="P267" s="125">
        <f t="shared" si="20"/>
        <v>289.70999999999998</v>
      </c>
      <c r="Q267" s="54" t="s">
        <v>163</v>
      </c>
      <c r="R267" s="48">
        <v>8.6</v>
      </c>
      <c r="S267" s="49">
        <v>2.1</v>
      </c>
      <c r="T267" s="50">
        <f t="shared" si="21"/>
        <v>0</v>
      </c>
      <c r="V267" s="51">
        <v>289.70999999999998</v>
      </c>
      <c r="W267" s="51"/>
      <c r="X267" s="51"/>
      <c r="Y267" s="51"/>
      <c r="Z267" s="51"/>
      <c r="AA267" s="51"/>
      <c r="AB267" s="51"/>
      <c r="AC267" s="51"/>
      <c r="AD267" s="51"/>
      <c r="AE267" s="51"/>
      <c r="AF267" s="51"/>
      <c r="AG267" s="51"/>
      <c r="AH267" s="51"/>
      <c r="AI267" s="51"/>
      <c r="AJ267" s="51"/>
      <c r="AK267" s="51"/>
      <c r="AL267" s="51"/>
      <c r="AM267" s="51"/>
      <c r="AN267" s="51"/>
      <c r="AO267" s="51"/>
      <c r="AP267" s="51"/>
      <c r="AQ267" s="51"/>
      <c r="AR267" s="51"/>
      <c r="AS267" s="51"/>
      <c r="AT267" s="51"/>
      <c r="AU267" s="51"/>
      <c r="AV267" s="51"/>
      <c r="AW267" s="51"/>
      <c r="AX267" s="51"/>
      <c r="AY267" s="51"/>
      <c r="AZ267" s="51"/>
      <c r="BA267" s="51"/>
      <c r="BB267" s="51"/>
      <c r="BC267" s="51"/>
      <c r="BD267" s="51"/>
      <c r="BE267" s="51"/>
      <c r="BF267" s="51"/>
      <c r="BG267" s="51"/>
      <c r="BH267" s="51"/>
      <c r="BI267" s="51"/>
      <c r="BJ267" s="51"/>
      <c r="BK267" s="51"/>
      <c r="BL267" s="51"/>
      <c r="BM267" s="51"/>
      <c r="BN267" s="51"/>
      <c r="BO267" s="51"/>
      <c r="BP267" s="51"/>
      <c r="BQ267" s="51"/>
      <c r="BR267" s="9">
        <f t="shared" si="22"/>
        <v>1</v>
      </c>
      <c r="BT267" s="53" t="str">
        <f t="shared" si="23"/>
        <v>Yamato 983885</v>
      </c>
      <c r="BU267" s="25" t="s">
        <v>230</v>
      </c>
    </row>
    <row r="268" spans="1:73" ht="12.75" customHeight="1" x14ac:dyDescent="0.25">
      <c r="B268" s="64">
        <f t="shared" si="24"/>
        <v>109</v>
      </c>
      <c r="C268" s="278" t="str">
        <f>HYPERLINK("https://sites.wustl.edu/meteoritesite/items/lm_nwa_07834_clan/",Q268)</f>
        <v>Northwest Africa 7834/ 7948/ 8306/ 10149/ 10172/ 10203/ 10253/ 10258/ 10263/ 10272/ 10291/ 10317/ 10376/ 10546/ 10599/ 10644/ 10782/ 10810/ 10989/ 11109/ 11185/ 11249/ 11563/ Galb Inal/ [unnamed 99]</v>
      </c>
      <c r="D268" s="279"/>
      <c r="E268" s="279"/>
      <c r="F268" s="280"/>
      <c r="G268" s="4" t="s">
        <v>240</v>
      </c>
      <c r="H268" s="334" t="s">
        <v>41</v>
      </c>
      <c r="I268" s="335"/>
      <c r="J268" s="85">
        <v>21211.23</v>
      </c>
      <c r="K268" s="212" t="s">
        <v>119</v>
      </c>
      <c r="L268" s="213"/>
      <c r="M268" s="43">
        <v>10</v>
      </c>
      <c r="N268" s="44">
        <v>1.2</v>
      </c>
      <c r="P268" s="125">
        <f t="shared" si="20"/>
        <v>21211.23</v>
      </c>
      <c r="Q268" s="54" t="s">
        <v>322</v>
      </c>
      <c r="R268" s="48">
        <v>10</v>
      </c>
      <c r="S268" s="49">
        <v>1.2</v>
      </c>
      <c r="T268" s="50">
        <f t="shared" si="21"/>
        <v>0</v>
      </c>
      <c r="V268" s="51">
        <v>905</v>
      </c>
      <c r="W268" s="51">
        <v>59.8</v>
      </c>
      <c r="X268" s="51">
        <v>1389</v>
      </c>
      <c r="Y268" s="51">
        <v>1815</v>
      </c>
      <c r="Z268" s="51">
        <v>788</v>
      </c>
      <c r="AA268" s="51">
        <v>3300</v>
      </c>
      <c r="AB268" s="51">
        <v>6674.1</v>
      </c>
      <c r="AC268" s="51">
        <v>58</v>
      </c>
      <c r="AD268" s="51">
        <v>1015</v>
      </c>
      <c r="AE268" s="51">
        <v>74.25</v>
      </c>
      <c r="AF268" s="51">
        <v>10.01</v>
      </c>
      <c r="AG268" s="51">
        <v>11</v>
      </c>
      <c r="AH268" s="51">
        <v>20</v>
      </c>
      <c r="AI268" s="51">
        <v>43.35</v>
      </c>
      <c r="AJ268" s="51">
        <v>77.8</v>
      </c>
      <c r="AK268" s="57">
        <v>166</v>
      </c>
      <c r="AL268" s="66">
        <v>39</v>
      </c>
      <c r="AM268" s="51">
        <v>402.4</v>
      </c>
      <c r="AN268" s="51">
        <v>14.4</v>
      </c>
      <c r="AO268" s="51">
        <v>77</v>
      </c>
      <c r="AP268" s="51">
        <v>94.02</v>
      </c>
      <c r="AQ268" s="51">
        <v>4050</v>
      </c>
      <c r="AR268" s="51">
        <v>73.599999999999994</v>
      </c>
      <c r="AS268" s="51">
        <v>54.5</v>
      </c>
      <c r="AT268" s="51"/>
      <c r="AU268" s="51"/>
      <c r="AV268" s="51"/>
      <c r="AW268" s="51"/>
      <c r="AX268" s="51"/>
      <c r="AY268" s="51"/>
      <c r="AZ268" s="51"/>
      <c r="BA268" s="51"/>
      <c r="BB268" s="51"/>
      <c r="BC268" s="51"/>
      <c r="BD268" s="51"/>
      <c r="BE268" s="51"/>
      <c r="BF268" s="51"/>
      <c r="BG268" s="51"/>
      <c r="BH268" s="51"/>
      <c r="BI268" s="51"/>
      <c r="BJ268" s="51"/>
      <c r="BK268" s="51"/>
      <c r="BL268" s="51"/>
      <c r="BM268" s="51"/>
      <c r="BN268" s="51"/>
      <c r="BO268" s="51"/>
      <c r="BP268" s="51"/>
      <c r="BQ268" s="51"/>
      <c r="BR268" s="9">
        <f t="shared" si="22"/>
        <v>24</v>
      </c>
      <c r="BT268" s="53" t="str">
        <f t="shared" si="23"/>
        <v>Northwest Africa 7834/ 7948/ 8306/ 10149/ 10172/ 10203/ 10253/ 10258/ 10263/ 10272/ 10291/ 10317/ 10376/ 10546/ 10599/ 10644/ 10782/ 10810/ 10989/ 11109/ 11185/ 11249/ 11563/ Galb Inal/ [unnamed 99]</v>
      </c>
      <c r="BU268" s="25" t="s">
        <v>230</v>
      </c>
    </row>
    <row r="269" spans="1:73" ht="12.75" customHeight="1" x14ac:dyDescent="0.25">
      <c r="B269" s="64">
        <f>B268+1</f>
        <v>110</v>
      </c>
      <c r="C269" s="278" t="str">
        <f>HYPERLINK("https://sites.wustl.edu/meteoritesite/items/lm_nwa_08182/",Q269)</f>
        <v>Northwest Africa 8182</v>
      </c>
      <c r="D269" s="279"/>
      <c r="E269" s="279"/>
      <c r="F269" s="280"/>
      <c r="G269" s="4">
        <v>2013</v>
      </c>
      <c r="H269" s="334" t="s">
        <v>38</v>
      </c>
      <c r="I269" s="335"/>
      <c r="J269" s="4">
        <v>15.6</v>
      </c>
      <c r="K269" s="212" t="s">
        <v>39</v>
      </c>
      <c r="L269" s="213"/>
      <c r="M269" s="43">
        <v>10.5</v>
      </c>
      <c r="N269" s="44">
        <v>2.2000000000000002</v>
      </c>
      <c r="P269" s="125">
        <f t="shared" si="20"/>
        <v>15.6</v>
      </c>
      <c r="Q269" s="54" t="s">
        <v>139</v>
      </c>
      <c r="R269" s="48">
        <v>10.5</v>
      </c>
      <c r="S269" s="49">
        <v>2.2000000000000002</v>
      </c>
      <c r="T269" s="50">
        <f t="shared" si="21"/>
        <v>0</v>
      </c>
      <c r="V269" s="51">
        <v>15.6</v>
      </c>
      <c r="W269" s="51"/>
      <c r="X269" s="51"/>
      <c r="Y269" s="51"/>
      <c r="Z269" s="51"/>
      <c r="AA269" s="51"/>
      <c r="AB269" s="51"/>
      <c r="AC269" s="51"/>
      <c r="AD269" s="51"/>
      <c r="AE269" s="51"/>
      <c r="AF269" s="51"/>
      <c r="AG269" s="51"/>
      <c r="AH269" s="51"/>
      <c r="AI269" s="51"/>
      <c r="AJ269" s="51"/>
      <c r="AK269" s="51"/>
      <c r="AL269" s="51"/>
      <c r="AM269" s="51"/>
      <c r="AN269" s="51"/>
      <c r="AO269" s="51"/>
      <c r="AP269" s="51"/>
      <c r="AQ269" s="51"/>
      <c r="AR269" s="51"/>
      <c r="AS269" s="51"/>
      <c r="AT269" s="51"/>
      <c r="AU269" s="51"/>
      <c r="AV269" s="51"/>
      <c r="AW269" s="51"/>
      <c r="AX269" s="51"/>
      <c r="AY269" s="51"/>
      <c r="AZ269" s="51"/>
      <c r="BA269" s="51"/>
      <c r="BB269" s="51"/>
      <c r="BC269" s="51"/>
      <c r="BD269" s="51"/>
      <c r="BE269" s="51"/>
      <c r="BF269" s="51"/>
      <c r="BG269" s="51"/>
      <c r="BH269" s="51"/>
      <c r="BI269" s="51"/>
      <c r="BJ269" s="51"/>
      <c r="BK269" s="51"/>
      <c r="BL269" s="51"/>
      <c r="BM269" s="51"/>
      <c r="BN269" s="51"/>
      <c r="BO269" s="51"/>
      <c r="BP269" s="51"/>
      <c r="BQ269" s="51"/>
      <c r="BR269" s="9">
        <f t="shared" si="22"/>
        <v>1</v>
      </c>
      <c r="BT269" s="53" t="str">
        <f t="shared" si="23"/>
        <v>Northwest Africa 8182</v>
      </c>
      <c r="BU269" s="25" t="s">
        <v>230</v>
      </c>
    </row>
    <row r="270" spans="1:73" ht="12.75" customHeight="1" x14ac:dyDescent="0.25">
      <c r="B270" s="64">
        <f t="shared" si="24"/>
        <v>111</v>
      </c>
      <c r="C270" s="278" t="str">
        <f>HYPERLINK("https://sites.wustl.edu/meteoritesite/items/lm_nwa_02995_clan/",Q270)</f>
        <v>Northwest Africa 2995/ 2996/ 3190/ 4503/ 5151/ 5152/ 6252/ 6554/ 6555/ [unnamed 3]/ [unnamed 12]</v>
      </c>
      <c r="D270" s="279"/>
      <c r="E270" s="279"/>
      <c r="F270" s="280"/>
      <c r="G270" s="4" t="s">
        <v>67</v>
      </c>
      <c r="H270" s="334" t="s">
        <v>38</v>
      </c>
      <c r="I270" s="335"/>
      <c r="J270" s="11">
        <v>2224.4199999999996</v>
      </c>
      <c r="K270" s="212" t="s">
        <v>35</v>
      </c>
      <c r="L270" s="213"/>
      <c r="M270" s="43">
        <v>10.199999999999999</v>
      </c>
      <c r="N270" s="44">
        <v>1.5</v>
      </c>
      <c r="P270" s="125">
        <f t="shared" si="20"/>
        <v>2224.4199999999996</v>
      </c>
      <c r="Q270" s="54" t="s">
        <v>275</v>
      </c>
      <c r="R270" s="48">
        <v>10.199999999999999</v>
      </c>
      <c r="S270" s="49">
        <v>1.5</v>
      </c>
      <c r="T270" s="50">
        <f t="shared" si="21"/>
        <v>0</v>
      </c>
      <c r="V270" s="51">
        <v>538</v>
      </c>
      <c r="W270" s="51">
        <v>968</v>
      </c>
      <c r="X270" s="51">
        <v>40.700000000000003</v>
      </c>
      <c r="Y270" s="51">
        <v>70</v>
      </c>
      <c r="Z270" s="51">
        <v>289</v>
      </c>
      <c r="AA270" s="51">
        <v>38</v>
      </c>
      <c r="AB270" s="51">
        <v>113</v>
      </c>
      <c r="AC270" s="51">
        <v>138</v>
      </c>
      <c r="AD270" s="51">
        <v>29.72</v>
      </c>
      <c r="AE270" s="51"/>
      <c r="AF270" s="51"/>
      <c r="AG270" s="51"/>
      <c r="AH270" s="51"/>
      <c r="AI270" s="51"/>
      <c r="AJ270" s="51"/>
      <c r="AK270" s="51"/>
      <c r="AL270" s="51"/>
      <c r="AM270" s="51"/>
      <c r="AN270" s="51"/>
      <c r="AO270" s="51"/>
      <c r="AP270" s="51"/>
      <c r="AQ270" s="51"/>
      <c r="AR270" s="51"/>
      <c r="AS270" s="51"/>
      <c r="AT270" s="51"/>
      <c r="AU270" s="51"/>
      <c r="AV270" s="51"/>
      <c r="AW270" s="51"/>
      <c r="AX270" s="51"/>
      <c r="AY270" s="51"/>
      <c r="AZ270" s="51"/>
      <c r="BA270" s="51"/>
      <c r="BB270" s="51"/>
      <c r="BC270" s="51"/>
      <c r="BD270" s="51"/>
      <c r="BE270" s="51"/>
      <c r="BF270" s="51"/>
      <c r="BG270" s="51"/>
      <c r="BH270" s="51"/>
      <c r="BI270" s="51"/>
      <c r="BJ270" s="51"/>
      <c r="BK270" s="51"/>
      <c r="BL270" s="51"/>
      <c r="BM270" s="51"/>
      <c r="BN270" s="51"/>
      <c r="BO270" s="51"/>
      <c r="BP270" s="51"/>
      <c r="BQ270" s="51"/>
      <c r="BR270" s="9">
        <f t="shared" si="22"/>
        <v>9</v>
      </c>
      <c r="BT270" s="53" t="str">
        <f t="shared" si="23"/>
        <v>Northwest Africa 2995/ 2996/ 3190/ 4503/ 5151/ 5152/ 6252/ 6554/ 6555/ [unnamed 3]/ [unnamed 12]</v>
      </c>
      <c r="BU270" s="25" t="s">
        <v>230</v>
      </c>
    </row>
    <row r="271" spans="1:73" ht="12.75" customHeight="1" x14ac:dyDescent="0.25">
      <c r="B271" s="243" t="s">
        <v>28</v>
      </c>
      <c r="C271" s="230" t="s">
        <v>29</v>
      </c>
      <c r="D271" s="231"/>
      <c r="E271" s="231"/>
      <c r="F271" s="232"/>
      <c r="G271" s="241" t="s">
        <v>282</v>
      </c>
      <c r="H271" s="219" t="s">
        <v>249</v>
      </c>
      <c r="I271" s="220"/>
      <c r="J271" s="241" t="s">
        <v>30</v>
      </c>
      <c r="K271" s="219" t="s">
        <v>31</v>
      </c>
      <c r="L271" s="220"/>
      <c r="M271" s="223" t="s">
        <v>245</v>
      </c>
      <c r="N271" s="225" t="s">
        <v>32</v>
      </c>
      <c r="Q271" s="15"/>
      <c r="V271" s="57"/>
      <c r="W271" s="57"/>
      <c r="X271" s="57"/>
      <c r="Y271" s="57"/>
      <c r="Z271" s="57"/>
      <c r="AA271" s="57"/>
      <c r="AB271" s="57"/>
      <c r="AC271" s="57"/>
      <c r="AD271" s="57"/>
      <c r="AE271" s="57"/>
      <c r="AF271" s="57"/>
      <c r="AG271" s="57"/>
      <c r="AH271" s="57"/>
      <c r="AI271" s="57"/>
      <c r="AJ271" s="57"/>
      <c r="AK271" s="57"/>
      <c r="AL271" s="57"/>
      <c r="AM271" s="57"/>
      <c r="AN271" s="57"/>
      <c r="AO271" s="57"/>
      <c r="AP271" s="57"/>
      <c r="AQ271" s="57"/>
      <c r="AR271" s="57"/>
      <c r="AS271" s="57"/>
      <c r="AT271" s="57"/>
      <c r="AU271" s="57"/>
      <c r="AV271" s="57"/>
      <c r="AW271" s="57"/>
      <c r="AX271" s="57"/>
      <c r="AY271" s="57"/>
      <c r="AZ271" s="57"/>
      <c r="BA271" s="57"/>
      <c r="BB271" s="57"/>
      <c r="BC271" s="57"/>
      <c r="BD271" s="57"/>
      <c r="BE271" s="57"/>
      <c r="BF271" s="57"/>
      <c r="BG271" s="57"/>
      <c r="BH271" s="57"/>
      <c r="BI271" s="57"/>
      <c r="BJ271" s="57"/>
      <c r="BK271" s="57"/>
      <c r="BL271" s="57"/>
      <c r="BM271" s="57"/>
      <c r="BN271" s="57"/>
      <c r="BO271" s="57"/>
      <c r="BP271" s="57"/>
      <c r="BQ271" s="57"/>
      <c r="BT271" s="53"/>
      <c r="BU271" s="25"/>
    </row>
    <row r="272" spans="1:73" ht="12.75" customHeight="1" x14ac:dyDescent="0.25">
      <c r="B272" s="229"/>
      <c r="C272" s="233"/>
      <c r="D272" s="234"/>
      <c r="E272" s="234"/>
      <c r="F272" s="235"/>
      <c r="G272" s="242"/>
      <c r="H272" s="221"/>
      <c r="I272" s="222"/>
      <c r="J272" s="242"/>
      <c r="K272" s="221"/>
      <c r="L272" s="222"/>
      <c r="M272" s="224"/>
      <c r="N272" s="226"/>
      <c r="Q272" s="15"/>
      <c r="V272" s="57"/>
      <c r="W272" s="57"/>
      <c r="X272" s="57"/>
      <c r="Y272" s="57"/>
      <c r="Z272" s="57"/>
      <c r="AA272" s="57"/>
      <c r="AB272" s="57"/>
      <c r="AC272" s="57"/>
      <c r="AD272" s="57"/>
      <c r="AE272" s="57"/>
      <c r="AF272" s="57"/>
      <c r="AG272" s="57"/>
      <c r="AH272" s="57"/>
      <c r="AI272" s="57"/>
      <c r="AJ272" s="57"/>
      <c r="AK272" s="57"/>
      <c r="AL272" s="57"/>
      <c r="AM272" s="57"/>
      <c r="AN272" s="57"/>
      <c r="AO272" s="57"/>
      <c r="AP272" s="57"/>
      <c r="AQ272" s="57"/>
      <c r="AR272" s="57"/>
      <c r="AS272" s="57"/>
      <c r="AT272" s="57"/>
      <c r="AU272" s="57"/>
      <c r="AV272" s="57"/>
      <c r="AW272" s="57"/>
      <c r="AX272" s="57"/>
      <c r="AY272" s="57"/>
      <c r="AZ272" s="57"/>
      <c r="BA272" s="57"/>
      <c r="BB272" s="57"/>
      <c r="BC272" s="57"/>
      <c r="BD272" s="57"/>
      <c r="BE272" s="57"/>
      <c r="BF272" s="57"/>
      <c r="BG272" s="57"/>
      <c r="BH272" s="57"/>
      <c r="BI272" s="57"/>
      <c r="BJ272" s="57"/>
      <c r="BK272" s="57"/>
      <c r="BL272" s="57"/>
      <c r="BM272" s="57"/>
      <c r="BN272" s="57"/>
      <c r="BO272" s="57"/>
      <c r="BP272" s="57"/>
      <c r="BQ272" s="57"/>
      <c r="BT272" s="53"/>
      <c r="BU272" s="25"/>
    </row>
    <row r="273" spans="1:73" s="19" customFormat="1" ht="12.75" customHeight="1" x14ac:dyDescent="0.25">
      <c r="A273"/>
      <c r="B273" s="282" t="s">
        <v>68</v>
      </c>
      <c r="C273" s="283"/>
      <c r="D273" s="283"/>
      <c r="E273" s="283"/>
      <c r="F273" s="283"/>
      <c r="G273" s="283"/>
      <c r="H273" s="283"/>
      <c r="I273" s="283"/>
      <c r="J273" s="283"/>
      <c r="K273" s="283"/>
      <c r="L273" s="283"/>
      <c r="M273" s="283"/>
      <c r="N273" s="284"/>
      <c r="O273" s="15"/>
      <c r="P273" s="127"/>
      <c r="Q273" s="15"/>
      <c r="R273" s="15"/>
      <c r="S273" s="15"/>
      <c r="T273" s="50"/>
      <c r="U273" s="9"/>
      <c r="V273" s="9"/>
      <c r="W273" s="9"/>
      <c r="X273" s="9"/>
      <c r="Y273" s="9"/>
      <c r="Z273" s="9"/>
      <c r="AA273" s="9"/>
      <c r="AB273" s="9"/>
      <c r="AC273" s="9"/>
      <c r="AD273" s="9"/>
      <c r="AE273" s="9"/>
      <c r="AF273" s="9"/>
      <c r="AG273" s="9"/>
      <c r="AH273" s="9"/>
      <c r="AI273" s="9"/>
      <c r="AJ273" s="9"/>
      <c r="AK273" s="9"/>
      <c r="AL273" s="9"/>
      <c r="AM273" s="9"/>
      <c r="AN273" s="9"/>
      <c r="AO273" s="9"/>
      <c r="AP273" s="9"/>
      <c r="AQ273" s="9"/>
      <c r="AR273" s="9"/>
      <c r="AS273" s="9"/>
      <c r="AT273" s="9"/>
      <c r="AU273" s="9"/>
      <c r="AV273" s="9"/>
      <c r="AW273" s="9"/>
      <c r="AX273" s="9"/>
      <c r="AY273" s="9"/>
      <c r="AZ273" s="9"/>
      <c r="BA273" s="9"/>
      <c r="BB273" s="9"/>
      <c r="BC273" s="9"/>
      <c r="BD273" s="9"/>
      <c r="BE273" s="9"/>
      <c r="BF273" s="9"/>
      <c r="BG273" s="9"/>
      <c r="BH273" s="9"/>
      <c r="BI273" s="9"/>
      <c r="BJ273" s="9"/>
      <c r="BK273" s="9"/>
      <c r="BL273" s="9"/>
      <c r="BM273" s="9"/>
      <c r="BN273" s="9"/>
      <c r="BO273" s="9"/>
      <c r="BP273" s="9"/>
      <c r="BQ273" s="9"/>
      <c r="BR273" s="9"/>
      <c r="BS273" s="9"/>
      <c r="BT273" s="53"/>
      <c r="BU273" s="25"/>
    </row>
    <row r="274" spans="1:73" ht="12.75" customHeight="1" x14ac:dyDescent="0.25">
      <c r="B274" s="93">
        <f>B270+1</f>
        <v>112</v>
      </c>
      <c r="C274" s="276" t="str">
        <f>HYPERLINK("https://sites.wustl.edu/meteoritesite/items/lm_nwa_04472-4485/",Q274)</f>
        <v>Northwest Africa 4472/ 4485/ 11962</v>
      </c>
      <c r="D274" s="276"/>
      <c r="E274" s="276"/>
      <c r="F274" s="276"/>
      <c r="G274" s="93" t="s">
        <v>483</v>
      </c>
      <c r="H274" s="336" t="s">
        <v>41</v>
      </c>
      <c r="I274" s="336"/>
      <c r="J274" s="30">
        <v>338.1</v>
      </c>
      <c r="K274" s="207" t="s">
        <v>39</v>
      </c>
      <c r="L274" s="207"/>
      <c r="M274" s="45">
        <v>9.4</v>
      </c>
      <c r="N274" s="45">
        <v>6.8</v>
      </c>
      <c r="P274" s="125">
        <f t="shared" ref="P274:P280" si="25">SUM(V274:BQ274)</f>
        <v>338.1</v>
      </c>
      <c r="Q274" s="54" t="s">
        <v>482</v>
      </c>
      <c r="R274" s="48">
        <v>9.4</v>
      </c>
      <c r="S274" s="49">
        <v>6.8</v>
      </c>
      <c r="T274" s="50">
        <f t="shared" ref="T274:T280" si="26">J274-P274</f>
        <v>0</v>
      </c>
      <c r="V274" s="51">
        <v>64.3</v>
      </c>
      <c r="W274" s="51">
        <v>188</v>
      </c>
      <c r="X274" s="51">
        <v>85.8</v>
      </c>
      <c r="Y274" s="51"/>
      <c r="Z274" s="51"/>
      <c r="AA274" s="51"/>
      <c r="AB274" s="51"/>
      <c r="AC274" s="51"/>
      <c r="AD274" s="51"/>
      <c r="AE274" s="51"/>
      <c r="AF274" s="51"/>
      <c r="AG274" s="51"/>
      <c r="AH274" s="51"/>
      <c r="AI274" s="51"/>
      <c r="AJ274" s="51"/>
      <c r="AK274" s="51"/>
      <c r="AL274" s="51"/>
      <c r="AM274" s="51"/>
      <c r="AN274" s="51"/>
      <c r="AO274" s="51"/>
      <c r="AP274" s="51"/>
      <c r="AQ274" s="51"/>
      <c r="AR274" s="51"/>
      <c r="AS274" s="51"/>
      <c r="AT274" s="51"/>
      <c r="AU274" s="51"/>
      <c r="AV274" s="51"/>
      <c r="AW274" s="51"/>
      <c r="AX274" s="51"/>
      <c r="AY274" s="51"/>
      <c r="AZ274" s="51"/>
      <c r="BA274" s="51"/>
      <c r="BB274" s="51"/>
      <c r="BC274" s="51"/>
      <c r="BD274" s="51"/>
      <c r="BE274" s="51"/>
      <c r="BF274" s="51"/>
      <c r="BG274" s="51"/>
      <c r="BH274" s="51"/>
      <c r="BI274" s="51"/>
      <c r="BJ274" s="51"/>
      <c r="BK274" s="51"/>
      <c r="BL274" s="51"/>
      <c r="BM274" s="51"/>
      <c r="BN274" s="51"/>
      <c r="BO274" s="51"/>
      <c r="BP274" s="51"/>
      <c r="BQ274" s="51"/>
      <c r="BR274" s="9">
        <f t="shared" si="22"/>
        <v>3</v>
      </c>
      <c r="BT274" s="53" t="str">
        <f t="shared" si="23"/>
        <v>Northwest Africa 4472/ 4485/ 11962</v>
      </c>
      <c r="BU274" s="25" t="s">
        <v>230</v>
      </c>
    </row>
    <row r="275" spans="1:73" ht="12.75" customHeight="1" x14ac:dyDescent="0.25">
      <c r="B275" s="93">
        <f t="shared" ref="B275:B280" si="27">B274+1</f>
        <v>113</v>
      </c>
      <c r="C275" s="276" t="str">
        <f>HYPERLINK("https://sites.wustl.edu/meteoritesite/items/lm_mil_13317/",Q275)</f>
        <v>Miller Range 13317</v>
      </c>
      <c r="D275" s="276"/>
      <c r="E275" s="276"/>
      <c r="F275" s="276"/>
      <c r="G275" s="93">
        <v>2014</v>
      </c>
      <c r="H275" s="336" t="s">
        <v>38</v>
      </c>
      <c r="I275" s="336"/>
      <c r="J275" s="93">
        <v>32.25</v>
      </c>
      <c r="K275" s="287" t="s">
        <v>42</v>
      </c>
      <c r="L275" s="287"/>
      <c r="M275" s="45">
        <v>9.9</v>
      </c>
      <c r="N275" s="45">
        <v>4.5999999999999996</v>
      </c>
      <c r="P275" s="125">
        <f t="shared" si="25"/>
        <v>32.25</v>
      </c>
      <c r="Q275" s="54" t="s">
        <v>167</v>
      </c>
      <c r="R275" s="48">
        <v>9.9</v>
      </c>
      <c r="S275" s="49">
        <v>4.5999999999999996</v>
      </c>
      <c r="T275" s="50">
        <f t="shared" si="26"/>
        <v>0</v>
      </c>
      <c r="V275" s="51">
        <v>32.25</v>
      </c>
      <c r="W275" s="51"/>
      <c r="X275" s="51"/>
      <c r="Y275" s="51"/>
      <c r="Z275" s="51"/>
      <c r="AA275" s="51"/>
      <c r="AB275" s="51"/>
      <c r="AC275" s="51"/>
      <c r="AD275" s="51"/>
      <c r="AE275" s="51"/>
      <c r="AF275" s="51"/>
      <c r="AG275" s="51"/>
      <c r="AH275" s="51"/>
      <c r="AI275" s="51"/>
      <c r="AJ275" s="51"/>
      <c r="AK275" s="51"/>
      <c r="AL275" s="51"/>
      <c r="AM275" s="51"/>
      <c r="AN275" s="51"/>
      <c r="AO275" s="51"/>
      <c r="AP275" s="51"/>
      <c r="AQ275" s="51"/>
      <c r="AR275" s="51"/>
      <c r="AS275" s="51"/>
      <c r="AT275" s="51"/>
      <c r="AU275" s="51"/>
      <c r="AV275" s="51"/>
      <c r="AW275" s="51"/>
      <c r="AX275" s="51"/>
      <c r="AY275" s="51"/>
      <c r="AZ275" s="51"/>
      <c r="BA275" s="51"/>
      <c r="BB275" s="51"/>
      <c r="BC275" s="51"/>
      <c r="BD275" s="51"/>
      <c r="BE275" s="51"/>
      <c r="BF275" s="51"/>
      <c r="BG275" s="51"/>
      <c r="BH275" s="51"/>
      <c r="BI275" s="51"/>
      <c r="BJ275" s="51"/>
      <c r="BK275" s="51"/>
      <c r="BL275" s="51"/>
      <c r="BM275" s="51"/>
      <c r="BN275" s="51"/>
      <c r="BO275" s="51"/>
      <c r="BP275" s="51"/>
      <c r="BQ275" s="51"/>
      <c r="BR275" s="9">
        <f t="shared" si="22"/>
        <v>1</v>
      </c>
      <c r="BT275" s="53" t="str">
        <f t="shared" si="23"/>
        <v>Miller Range 13317</v>
      </c>
      <c r="BU275" s="25" t="s">
        <v>230</v>
      </c>
    </row>
    <row r="276" spans="1:73" ht="12.75" customHeight="1" x14ac:dyDescent="0.25">
      <c r="B276" s="93">
        <f t="shared" si="27"/>
        <v>114</v>
      </c>
      <c r="C276" s="276" t="str">
        <f>HYPERLINK("https://sites.wustl.edu/meteoritesite/items/lm_calc-creek/",Q276)</f>
        <v>Calcalong Creek</v>
      </c>
      <c r="D276" s="276"/>
      <c r="E276" s="276"/>
      <c r="F276" s="276"/>
      <c r="G276" s="93" t="s">
        <v>70</v>
      </c>
      <c r="H276" s="336" t="s">
        <v>41</v>
      </c>
      <c r="I276" s="336"/>
      <c r="J276" s="93">
        <v>19</v>
      </c>
      <c r="K276" s="341" t="s">
        <v>69</v>
      </c>
      <c r="L276" s="341"/>
      <c r="M276" s="45">
        <v>9.6999999999999993</v>
      </c>
      <c r="N276" s="45">
        <v>4</v>
      </c>
      <c r="P276" s="125">
        <f t="shared" si="25"/>
        <v>19</v>
      </c>
      <c r="Q276" s="54" t="s">
        <v>18</v>
      </c>
      <c r="R276" s="48">
        <v>9.6999999999999993</v>
      </c>
      <c r="S276" s="49">
        <v>4</v>
      </c>
      <c r="T276" s="50">
        <f t="shared" si="26"/>
        <v>0</v>
      </c>
      <c r="V276" s="51">
        <v>19</v>
      </c>
      <c r="W276" s="51"/>
      <c r="X276" s="51"/>
      <c r="Y276" s="51"/>
      <c r="Z276" s="51"/>
      <c r="AA276" s="51"/>
      <c r="AB276" s="51"/>
      <c r="AC276" s="51"/>
      <c r="AD276" s="51"/>
      <c r="AE276" s="51"/>
      <c r="AF276" s="51"/>
      <c r="AG276" s="51"/>
      <c r="AH276" s="51"/>
      <c r="AI276" s="51"/>
      <c r="AJ276" s="51"/>
      <c r="AK276" s="51"/>
      <c r="AL276" s="51"/>
      <c r="AM276" s="51"/>
      <c r="AN276" s="51"/>
      <c r="AO276" s="51"/>
      <c r="AP276" s="51"/>
      <c r="AQ276" s="51"/>
      <c r="AR276" s="51"/>
      <c r="AS276" s="51"/>
      <c r="AT276" s="51"/>
      <c r="AU276" s="51"/>
      <c r="AV276" s="51"/>
      <c r="AW276" s="51"/>
      <c r="AX276" s="51"/>
      <c r="AY276" s="51"/>
      <c r="AZ276" s="51"/>
      <c r="BA276" s="51"/>
      <c r="BB276" s="51"/>
      <c r="BC276" s="51"/>
      <c r="BD276" s="51"/>
      <c r="BE276" s="51"/>
      <c r="BF276" s="51"/>
      <c r="BG276" s="51"/>
      <c r="BH276" s="51"/>
      <c r="BI276" s="51"/>
      <c r="BJ276" s="51"/>
      <c r="BK276" s="51"/>
      <c r="BL276" s="51"/>
      <c r="BM276" s="51"/>
      <c r="BN276" s="51"/>
      <c r="BO276" s="51"/>
      <c r="BP276" s="51"/>
      <c r="BQ276" s="51"/>
      <c r="BR276" s="9">
        <f t="shared" si="22"/>
        <v>1</v>
      </c>
      <c r="BT276" s="53" t="str">
        <f t="shared" si="23"/>
        <v>Calcalong Creek</v>
      </c>
      <c r="BU276" s="25" t="s">
        <v>230</v>
      </c>
    </row>
    <row r="277" spans="1:73" ht="12.75" customHeight="1" x14ac:dyDescent="0.25">
      <c r="B277" s="93">
        <f t="shared" si="27"/>
        <v>115</v>
      </c>
      <c r="C277" s="276" t="str">
        <f>HYPERLINK("https://sites.wustl.edu/meteoritesite/items/lm_lynch_002/",Q277)</f>
        <v>Lynch 002</v>
      </c>
      <c r="D277" s="276"/>
      <c r="E277" s="276"/>
      <c r="F277" s="276"/>
      <c r="G277" s="93">
        <v>2010</v>
      </c>
      <c r="H277" s="336" t="s">
        <v>41</v>
      </c>
      <c r="I277" s="336"/>
      <c r="J277" s="93">
        <v>36.54</v>
      </c>
      <c r="K277" s="341" t="s">
        <v>69</v>
      </c>
      <c r="L277" s="341"/>
      <c r="M277" s="45">
        <v>8.4</v>
      </c>
      <c r="N277" s="45">
        <v>2.6</v>
      </c>
      <c r="P277" s="125">
        <f t="shared" si="25"/>
        <v>36.54</v>
      </c>
      <c r="Q277" s="54" t="s">
        <v>179</v>
      </c>
      <c r="R277" s="48">
        <v>8.4</v>
      </c>
      <c r="S277" s="49">
        <v>2.6</v>
      </c>
      <c r="T277" s="50">
        <f t="shared" si="26"/>
        <v>0</v>
      </c>
      <c r="V277" s="51">
        <v>36.54</v>
      </c>
      <c r="W277" s="51"/>
      <c r="X277" s="51"/>
      <c r="Y277" s="51"/>
      <c r="Z277" s="51"/>
      <c r="AA277" s="51"/>
      <c r="AB277" s="51"/>
      <c r="AC277" s="51"/>
      <c r="AD277" s="51"/>
      <c r="AE277" s="51"/>
      <c r="AF277" s="51"/>
      <c r="AG277" s="51"/>
      <c r="AH277" s="51"/>
      <c r="AI277" s="51"/>
      <c r="AJ277" s="51"/>
      <c r="AK277" s="51"/>
      <c r="AL277" s="51"/>
      <c r="AM277" s="51"/>
      <c r="AN277" s="51"/>
      <c r="AO277" s="51"/>
      <c r="AP277" s="51"/>
      <c r="AQ277" s="51"/>
      <c r="AR277" s="51"/>
      <c r="AS277" s="51"/>
      <c r="AT277" s="51"/>
      <c r="AU277" s="51"/>
      <c r="AV277" s="51"/>
      <c r="AW277" s="51"/>
      <c r="AX277" s="51"/>
      <c r="AY277" s="51"/>
      <c r="AZ277" s="51"/>
      <c r="BA277" s="51"/>
      <c r="BB277" s="51"/>
      <c r="BC277" s="51"/>
      <c r="BD277" s="51"/>
      <c r="BE277" s="51"/>
      <c r="BF277" s="51"/>
      <c r="BG277" s="51"/>
      <c r="BH277" s="51"/>
      <c r="BI277" s="51"/>
      <c r="BJ277" s="51"/>
      <c r="BK277" s="51"/>
      <c r="BL277" s="51"/>
      <c r="BM277" s="51"/>
      <c r="BN277" s="51"/>
      <c r="BO277" s="51"/>
      <c r="BP277" s="51"/>
      <c r="BQ277" s="51"/>
      <c r="BR277" s="9">
        <f t="shared" si="22"/>
        <v>1</v>
      </c>
      <c r="BT277" s="53" t="str">
        <f t="shared" si="23"/>
        <v>Lynch 002</v>
      </c>
      <c r="BU277" s="25" t="s">
        <v>230</v>
      </c>
    </row>
    <row r="278" spans="1:73" ht="24.75" customHeight="1" x14ac:dyDescent="0.25">
      <c r="B278" s="93">
        <f t="shared" si="27"/>
        <v>116</v>
      </c>
      <c r="C278" s="276" t="str">
        <f>HYPERLINK("https://sites.wustl.edu/meteoritesite/items/lm_sau_169/",Q278)</f>
        <v>Sayh al Uhaymir 169</v>
      </c>
      <c r="D278" s="276"/>
      <c r="E278" s="276"/>
      <c r="F278" s="276"/>
      <c r="G278" s="93">
        <v>2002</v>
      </c>
      <c r="H278" s="336" t="s">
        <v>725</v>
      </c>
      <c r="I278" s="336"/>
      <c r="J278" s="93">
        <v>206.45400000000001</v>
      </c>
      <c r="K278" s="286" t="s">
        <v>37</v>
      </c>
      <c r="L278" s="286"/>
      <c r="M278" s="45" t="s">
        <v>193</v>
      </c>
      <c r="N278" s="45" t="s">
        <v>194</v>
      </c>
      <c r="P278" s="125">
        <f t="shared" si="25"/>
        <v>206.45400000000001</v>
      </c>
      <c r="Q278" s="54" t="s">
        <v>161</v>
      </c>
      <c r="R278" s="48" t="s">
        <v>193</v>
      </c>
      <c r="S278" s="49" t="s">
        <v>194</v>
      </c>
      <c r="T278" s="50">
        <f t="shared" si="26"/>
        <v>0</v>
      </c>
      <c r="V278" s="52">
        <v>206.45400000000001</v>
      </c>
      <c r="W278" s="51"/>
      <c r="X278" s="51"/>
      <c r="Y278" s="51"/>
      <c r="Z278" s="51"/>
      <c r="AA278" s="51"/>
      <c r="AB278" s="51"/>
      <c r="AC278" s="51"/>
      <c r="AD278" s="51"/>
      <c r="AE278" s="51"/>
      <c r="AF278" s="51"/>
      <c r="AG278" s="51"/>
      <c r="AH278" s="51"/>
      <c r="AI278" s="51"/>
      <c r="AJ278" s="51"/>
      <c r="AK278" s="51"/>
      <c r="AL278" s="51"/>
      <c r="AM278" s="51"/>
      <c r="AN278" s="51"/>
      <c r="AO278" s="51"/>
      <c r="AP278" s="51"/>
      <c r="AQ278" s="51"/>
      <c r="AR278" s="51"/>
      <c r="AS278" s="51"/>
      <c r="AT278" s="51"/>
      <c r="AU278" s="51"/>
      <c r="AV278" s="51"/>
      <c r="AW278" s="51"/>
      <c r="AX278" s="51"/>
      <c r="AY278" s="51"/>
      <c r="AZ278" s="51"/>
      <c r="BA278" s="51"/>
      <c r="BB278" s="51"/>
      <c r="BC278" s="51"/>
      <c r="BD278" s="51"/>
      <c r="BE278" s="51"/>
      <c r="BF278" s="51"/>
      <c r="BG278" s="51"/>
      <c r="BH278" s="51"/>
      <c r="BI278" s="51"/>
      <c r="BJ278" s="51"/>
      <c r="BK278" s="51"/>
      <c r="BL278" s="51"/>
      <c r="BM278" s="51"/>
      <c r="BN278" s="51"/>
      <c r="BO278" s="51"/>
      <c r="BP278" s="51"/>
      <c r="BQ278" s="51"/>
      <c r="BR278" s="9">
        <f t="shared" si="22"/>
        <v>1</v>
      </c>
      <c r="BT278" s="53" t="str">
        <f t="shared" si="23"/>
        <v>Sayh al Uhaymir 169</v>
      </c>
      <c r="BU278" s="25" t="s">
        <v>230</v>
      </c>
    </row>
    <row r="279" spans="1:73" ht="12.75" customHeight="1" x14ac:dyDescent="0.25">
      <c r="B279" s="93">
        <f t="shared" si="27"/>
        <v>117</v>
      </c>
      <c r="C279" s="276" t="str">
        <f>HYPERLINK("https://sites.wustl.edu/meteoritesite/items/lm_dho_1442/",Q279)</f>
        <v>Dhofar 1442</v>
      </c>
      <c r="D279" s="276"/>
      <c r="E279" s="276"/>
      <c r="F279" s="276"/>
      <c r="G279" s="93">
        <v>2005</v>
      </c>
      <c r="H279" s="336" t="s">
        <v>41</v>
      </c>
      <c r="I279" s="336"/>
      <c r="J279" s="93">
        <v>106.5</v>
      </c>
      <c r="K279" s="286" t="s">
        <v>37</v>
      </c>
      <c r="L279" s="286"/>
      <c r="M279" s="45">
        <v>13.8</v>
      </c>
      <c r="N279" s="45">
        <v>15</v>
      </c>
      <c r="P279" s="125">
        <f t="shared" si="25"/>
        <v>106.5</v>
      </c>
      <c r="Q279" s="54" t="s">
        <v>153</v>
      </c>
      <c r="R279" s="48">
        <v>13.8</v>
      </c>
      <c r="S279" s="49">
        <v>15</v>
      </c>
      <c r="T279" s="50">
        <f t="shared" si="26"/>
        <v>0</v>
      </c>
      <c r="V279" s="51">
        <v>106.5</v>
      </c>
      <c r="W279" s="51"/>
      <c r="X279" s="51"/>
      <c r="Y279" s="51"/>
      <c r="Z279" s="51"/>
      <c r="AA279" s="51"/>
      <c r="AB279" s="51"/>
      <c r="AC279" s="51"/>
      <c r="AD279" s="51"/>
      <c r="AE279" s="51"/>
      <c r="AF279" s="51"/>
      <c r="AG279" s="51"/>
      <c r="AH279" s="51"/>
      <c r="AI279" s="51"/>
      <c r="AJ279" s="51"/>
      <c r="AK279" s="51"/>
      <c r="AL279" s="51"/>
      <c r="AM279" s="51"/>
      <c r="AN279" s="51"/>
      <c r="AO279" s="51"/>
      <c r="AP279" s="51"/>
      <c r="AQ279" s="51"/>
      <c r="AR279" s="51"/>
      <c r="AS279" s="51"/>
      <c r="AT279" s="51"/>
      <c r="AU279" s="51"/>
      <c r="AV279" s="51"/>
      <c r="AW279" s="51"/>
      <c r="AX279" s="51"/>
      <c r="AY279" s="51"/>
      <c r="AZ279" s="51"/>
      <c r="BA279" s="51"/>
      <c r="BB279" s="51"/>
      <c r="BC279" s="51"/>
      <c r="BD279" s="51"/>
      <c r="BE279" s="51"/>
      <c r="BF279" s="51"/>
      <c r="BG279" s="51"/>
      <c r="BH279" s="51"/>
      <c r="BI279" s="51"/>
      <c r="BJ279" s="51"/>
      <c r="BK279" s="51"/>
      <c r="BL279" s="51"/>
      <c r="BM279" s="51"/>
      <c r="BN279" s="51"/>
      <c r="BO279" s="51"/>
      <c r="BP279" s="51"/>
      <c r="BQ279" s="51"/>
      <c r="BR279" s="9">
        <f t="shared" si="22"/>
        <v>1</v>
      </c>
      <c r="BT279" s="53" t="str">
        <f t="shared" si="23"/>
        <v>Dhofar 1442</v>
      </c>
      <c r="BU279" s="25" t="s">
        <v>230</v>
      </c>
    </row>
    <row r="280" spans="1:73" ht="12.75" customHeight="1" x14ac:dyDescent="0.25">
      <c r="B280" s="93">
        <f t="shared" si="27"/>
        <v>118</v>
      </c>
      <c r="C280" s="276" t="str">
        <f>HYPERLINK("https://sites.wustl.edu/meteoritesite/items/lm_nwa_06687/",Q280)</f>
        <v>Northwest Africa 6687</v>
      </c>
      <c r="D280" s="276"/>
      <c r="E280" s="276"/>
      <c r="F280" s="276"/>
      <c r="G280" s="93">
        <v>2010</v>
      </c>
      <c r="H280" s="336" t="s">
        <v>396</v>
      </c>
      <c r="I280" s="336"/>
      <c r="J280" s="93">
        <v>42.4</v>
      </c>
      <c r="K280" s="207" t="s">
        <v>35</v>
      </c>
      <c r="L280" s="207"/>
      <c r="M280" s="45">
        <v>16.3</v>
      </c>
      <c r="N280" s="45">
        <v>6</v>
      </c>
      <c r="P280" s="125">
        <f t="shared" si="25"/>
        <v>42.4</v>
      </c>
      <c r="Q280" s="54" t="s">
        <v>140</v>
      </c>
      <c r="R280" s="48">
        <v>16.3</v>
      </c>
      <c r="S280" s="49">
        <v>6</v>
      </c>
      <c r="T280" s="50">
        <f t="shared" si="26"/>
        <v>0</v>
      </c>
      <c r="V280" s="51">
        <v>42.4</v>
      </c>
      <c r="W280" s="51"/>
      <c r="X280" s="51"/>
      <c r="Y280" s="51"/>
      <c r="Z280" s="51"/>
      <c r="AA280" s="51"/>
      <c r="AB280" s="51"/>
      <c r="AC280" s="51"/>
      <c r="AD280" s="51"/>
      <c r="AE280" s="51"/>
      <c r="AF280" s="51"/>
      <c r="AG280" s="51"/>
      <c r="AH280" s="51"/>
      <c r="AI280" s="51"/>
      <c r="AJ280" s="51"/>
      <c r="AK280" s="51"/>
      <c r="AL280" s="51"/>
      <c r="AM280" s="51"/>
      <c r="AN280" s="51"/>
      <c r="AO280" s="51"/>
      <c r="AP280" s="51"/>
      <c r="AQ280" s="51"/>
      <c r="AR280" s="51"/>
      <c r="AS280" s="51"/>
      <c r="AT280" s="51"/>
      <c r="AU280" s="51"/>
      <c r="AV280" s="51"/>
      <c r="AW280" s="51"/>
      <c r="AX280" s="51"/>
      <c r="AY280" s="51"/>
      <c r="AZ280" s="51"/>
      <c r="BA280" s="51"/>
      <c r="BB280" s="51"/>
      <c r="BC280" s="51"/>
      <c r="BD280" s="51"/>
      <c r="BE280" s="51"/>
      <c r="BF280" s="51"/>
      <c r="BG280" s="51"/>
      <c r="BH280" s="51"/>
      <c r="BI280" s="51"/>
      <c r="BJ280" s="51"/>
      <c r="BK280" s="51"/>
      <c r="BL280" s="51"/>
      <c r="BM280" s="51"/>
      <c r="BN280" s="51"/>
      <c r="BO280" s="51"/>
      <c r="BP280" s="51"/>
      <c r="BQ280" s="51"/>
      <c r="BR280" s="9">
        <f t="shared" si="22"/>
        <v>1</v>
      </c>
      <c r="BT280" s="53" t="str">
        <f t="shared" si="23"/>
        <v>Northwest Africa 6687</v>
      </c>
      <c r="BU280" s="25" t="s">
        <v>230</v>
      </c>
    </row>
    <row r="281" spans="1:73" s="1" customFormat="1" ht="12.75" customHeight="1" x14ac:dyDescent="0.25">
      <c r="A281"/>
      <c r="B281" s="243" t="s">
        <v>28</v>
      </c>
      <c r="C281" s="230" t="s">
        <v>29</v>
      </c>
      <c r="D281" s="231"/>
      <c r="E281" s="231"/>
      <c r="F281" s="232"/>
      <c r="G281" s="241" t="s">
        <v>282</v>
      </c>
      <c r="H281" s="219" t="s">
        <v>249</v>
      </c>
      <c r="I281" s="220"/>
      <c r="J281" s="241" t="s">
        <v>30</v>
      </c>
      <c r="K281" s="219" t="s">
        <v>31</v>
      </c>
      <c r="L281" s="220"/>
      <c r="M281" s="223" t="s">
        <v>245</v>
      </c>
      <c r="N281" s="225" t="s">
        <v>32</v>
      </c>
      <c r="O281" s="15"/>
      <c r="P281" s="127"/>
      <c r="Q281" s="26"/>
      <c r="R281" s="15"/>
      <c r="S281" s="15"/>
      <c r="T281" s="50"/>
      <c r="U281" s="9"/>
      <c r="V281" s="42"/>
      <c r="W281" s="42"/>
      <c r="X281" s="42"/>
      <c r="Y281" s="42"/>
      <c r="Z281" s="42"/>
      <c r="AA281" s="42"/>
      <c r="AB281" s="42"/>
      <c r="AC281" s="42"/>
      <c r="AD281" s="42"/>
      <c r="AE281" s="42"/>
      <c r="AF281" s="42"/>
      <c r="AG281" s="42"/>
      <c r="AH281" s="42"/>
      <c r="AI281" s="42"/>
      <c r="AJ281" s="42"/>
      <c r="AK281" s="42"/>
      <c r="AL281" s="42"/>
      <c r="AM281" s="42"/>
      <c r="AN281" s="42"/>
      <c r="AO281" s="42"/>
      <c r="AP281" s="42"/>
      <c r="AQ281" s="42"/>
      <c r="AR281" s="42"/>
      <c r="AS281" s="42"/>
      <c r="AT281" s="42"/>
      <c r="AU281" s="42"/>
      <c r="AV281" s="42"/>
      <c r="AW281" s="42"/>
      <c r="AX281" s="42"/>
      <c r="AY281" s="42"/>
      <c r="AZ281" s="42"/>
      <c r="BA281" s="42"/>
      <c r="BB281" s="42"/>
      <c r="BC281" s="42"/>
      <c r="BD281" s="42"/>
      <c r="BE281" s="42"/>
      <c r="BF281" s="42"/>
      <c r="BG281" s="42"/>
      <c r="BH281" s="42"/>
      <c r="BI281" s="42"/>
      <c r="BJ281" s="42"/>
      <c r="BK281" s="42"/>
      <c r="BL281" s="42"/>
      <c r="BM281" s="42"/>
      <c r="BN281" s="42"/>
      <c r="BO281" s="42"/>
      <c r="BP281" s="42"/>
      <c r="BQ281" s="42"/>
      <c r="BR281" s="9">
        <f t="shared" si="22"/>
        <v>0</v>
      </c>
      <c r="BS281" s="42"/>
      <c r="BT281" s="53"/>
      <c r="BU281" s="25"/>
    </row>
    <row r="282" spans="1:73" s="1" customFormat="1" ht="12.75" customHeight="1" x14ac:dyDescent="0.25">
      <c r="A282"/>
      <c r="B282" s="229"/>
      <c r="C282" s="233"/>
      <c r="D282" s="234"/>
      <c r="E282" s="234"/>
      <c r="F282" s="235"/>
      <c r="G282" s="242"/>
      <c r="H282" s="221"/>
      <c r="I282" s="222"/>
      <c r="J282" s="242"/>
      <c r="K282" s="221"/>
      <c r="L282" s="222"/>
      <c r="M282" s="224"/>
      <c r="N282" s="226"/>
      <c r="O282" s="15"/>
      <c r="P282" s="127"/>
      <c r="Q282" s="26"/>
      <c r="R282" s="15"/>
      <c r="S282" s="15"/>
      <c r="T282" s="50"/>
      <c r="U282" s="9"/>
      <c r="V282" s="42"/>
      <c r="W282" s="42"/>
      <c r="X282" s="42"/>
      <c r="Y282" s="42"/>
      <c r="Z282" s="42"/>
      <c r="AA282" s="42"/>
      <c r="AB282" s="42"/>
      <c r="AC282" s="42"/>
      <c r="AD282" s="42"/>
      <c r="AE282" s="42"/>
      <c r="AF282" s="42"/>
      <c r="AG282" s="42"/>
      <c r="AH282" s="42"/>
      <c r="AI282" s="42"/>
      <c r="AJ282" s="42"/>
      <c r="AK282" s="42"/>
      <c r="AL282" s="42"/>
      <c r="AM282" s="42"/>
      <c r="AN282" s="42"/>
      <c r="AO282" s="42"/>
      <c r="AP282" s="42"/>
      <c r="AQ282" s="42"/>
      <c r="AR282" s="42"/>
      <c r="AS282" s="42"/>
      <c r="AT282" s="42"/>
      <c r="AU282" s="42"/>
      <c r="AV282" s="42"/>
      <c r="AW282" s="42"/>
      <c r="AX282" s="42"/>
      <c r="AY282" s="42"/>
      <c r="AZ282" s="42"/>
      <c r="BA282" s="42"/>
      <c r="BB282" s="42"/>
      <c r="BC282" s="42"/>
      <c r="BD282" s="42"/>
      <c r="BE282" s="42"/>
      <c r="BF282" s="42"/>
      <c r="BG282" s="42"/>
      <c r="BH282" s="42"/>
      <c r="BI282" s="42"/>
      <c r="BJ282" s="42"/>
      <c r="BK282" s="42"/>
      <c r="BL282" s="42"/>
      <c r="BM282" s="42"/>
      <c r="BN282" s="42"/>
      <c r="BO282" s="42"/>
      <c r="BP282" s="42"/>
      <c r="BQ282" s="42"/>
      <c r="BR282" s="9">
        <f t="shared" si="22"/>
        <v>0</v>
      </c>
      <c r="BS282" s="42"/>
      <c r="BT282" s="53"/>
      <c r="BU282" s="25"/>
    </row>
    <row r="283" spans="1:73" s="1" customFormat="1" ht="12.75" customHeight="1" x14ac:dyDescent="0.25">
      <c r="A283"/>
      <c r="B283" s="282" t="s">
        <v>286</v>
      </c>
      <c r="C283" s="283"/>
      <c r="D283" s="283"/>
      <c r="E283" s="283"/>
      <c r="F283" s="283"/>
      <c r="G283" s="283"/>
      <c r="H283" s="283"/>
      <c r="I283" s="283"/>
      <c r="J283" s="283"/>
      <c r="K283" s="283"/>
      <c r="L283" s="283"/>
      <c r="M283" s="283"/>
      <c r="N283" s="284"/>
      <c r="O283" s="15"/>
      <c r="P283" s="127"/>
      <c r="Q283" s="26"/>
      <c r="R283" s="15"/>
      <c r="S283" s="15"/>
      <c r="T283" s="50"/>
      <c r="U283" s="9"/>
      <c r="V283" s="42"/>
      <c r="W283" s="42"/>
      <c r="X283" s="42"/>
      <c r="Y283" s="42"/>
      <c r="Z283" s="42"/>
      <c r="AA283" s="42"/>
      <c r="AB283" s="42"/>
      <c r="AC283" s="42"/>
      <c r="AD283" s="42"/>
      <c r="AE283" s="42"/>
      <c r="AF283" s="42"/>
      <c r="AG283" s="42"/>
      <c r="AH283" s="42"/>
      <c r="AI283" s="42"/>
      <c r="AJ283" s="42"/>
      <c r="AK283" s="42"/>
      <c r="AL283" s="42"/>
      <c r="AM283" s="42"/>
      <c r="AN283" s="42"/>
      <c r="AO283" s="42"/>
      <c r="AP283" s="42"/>
      <c r="AQ283" s="42"/>
      <c r="AR283" s="42"/>
      <c r="AS283" s="42"/>
      <c r="AT283" s="42"/>
      <c r="AU283" s="42"/>
      <c r="AV283" s="42"/>
      <c r="AW283" s="42"/>
      <c r="AX283" s="42"/>
      <c r="AY283" s="42"/>
      <c r="AZ283" s="42"/>
      <c r="BA283" s="42"/>
      <c r="BB283" s="42"/>
      <c r="BC283" s="42"/>
      <c r="BD283" s="42"/>
      <c r="BE283" s="42"/>
      <c r="BF283" s="42"/>
      <c r="BG283" s="42"/>
      <c r="BH283" s="42"/>
      <c r="BI283" s="42"/>
      <c r="BJ283" s="42"/>
      <c r="BK283" s="42"/>
      <c r="BL283" s="42"/>
      <c r="BM283" s="42"/>
      <c r="BN283" s="42"/>
      <c r="BO283" s="42"/>
      <c r="BP283" s="42"/>
      <c r="BQ283" s="42"/>
      <c r="BR283" s="9">
        <f t="shared" si="22"/>
        <v>0</v>
      </c>
      <c r="BS283" s="42"/>
      <c r="BT283" s="53"/>
      <c r="BU283" s="25"/>
    </row>
    <row r="284" spans="1:73" s="8" customFormat="1" ht="12.75" customHeight="1" x14ac:dyDescent="0.25">
      <c r="A284"/>
      <c r="B284" s="90">
        <f>B280+1</f>
        <v>119</v>
      </c>
      <c r="C284" s="281" t="str">
        <f>HYPERLINK("https://sites.wustl.edu/meteoritesite/items/lm_dew_12007/",Q284)</f>
        <v>Mount DeWitt 12007</v>
      </c>
      <c r="D284" s="281"/>
      <c r="E284" s="281"/>
      <c r="F284" s="281"/>
      <c r="G284" s="91">
        <v>2013</v>
      </c>
      <c r="H284" s="249" t="s">
        <v>188</v>
      </c>
      <c r="I284" s="249"/>
      <c r="J284" s="91">
        <v>94.2</v>
      </c>
      <c r="K284" s="287" t="s">
        <v>42</v>
      </c>
      <c r="L284" s="287"/>
      <c r="M284" s="46">
        <v>11.9</v>
      </c>
      <c r="N284" s="46">
        <v>0.9</v>
      </c>
      <c r="O284" s="15"/>
      <c r="P284" s="125">
        <f t="shared" ref="P284:P299" si="28">SUM(V284:BQ284)</f>
        <v>94.2</v>
      </c>
      <c r="Q284" s="54" t="s">
        <v>180</v>
      </c>
      <c r="R284" s="48">
        <v>11.9</v>
      </c>
      <c r="S284" s="49">
        <v>0.9</v>
      </c>
      <c r="T284" s="50">
        <f t="shared" ref="T284:T299" si="29">J284-P284</f>
        <v>0</v>
      </c>
      <c r="U284" s="9"/>
      <c r="V284" s="51">
        <v>94.2</v>
      </c>
      <c r="W284" s="51"/>
      <c r="X284" s="51"/>
      <c r="Y284" s="51"/>
      <c r="Z284" s="51"/>
      <c r="AA284" s="51"/>
      <c r="AB284" s="51"/>
      <c r="AC284" s="51"/>
      <c r="AD284" s="51"/>
      <c r="AE284" s="51"/>
      <c r="AF284" s="51"/>
      <c r="AG284" s="51"/>
      <c r="AH284" s="51"/>
      <c r="AI284" s="51"/>
      <c r="AJ284" s="51"/>
      <c r="AK284" s="51"/>
      <c r="AL284" s="51"/>
      <c r="AM284" s="51"/>
      <c r="AN284" s="51"/>
      <c r="AO284" s="51"/>
      <c r="AP284" s="51"/>
      <c r="AQ284" s="51"/>
      <c r="AR284" s="51"/>
      <c r="AS284" s="51"/>
      <c r="AT284" s="51"/>
      <c r="AU284" s="51"/>
      <c r="AV284" s="51"/>
      <c r="AW284" s="51"/>
      <c r="AX284" s="51"/>
      <c r="AY284" s="51"/>
      <c r="AZ284" s="51"/>
      <c r="BA284" s="51"/>
      <c r="BB284" s="51"/>
      <c r="BC284" s="51"/>
      <c r="BD284" s="51"/>
      <c r="BE284" s="51"/>
      <c r="BF284" s="51"/>
      <c r="BG284" s="51"/>
      <c r="BH284" s="51"/>
      <c r="BI284" s="51"/>
      <c r="BJ284" s="51"/>
      <c r="BK284" s="51"/>
      <c r="BL284" s="51"/>
      <c r="BM284" s="51"/>
      <c r="BN284" s="51"/>
      <c r="BO284" s="51"/>
      <c r="BP284" s="51"/>
      <c r="BQ284" s="51"/>
      <c r="BR284" s="9">
        <f t="shared" si="22"/>
        <v>1</v>
      </c>
      <c r="BS284" s="9"/>
      <c r="BT284" s="53" t="str">
        <f t="shared" si="23"/>
        <v>Mount DeWitt 12007</v>
      </c>
      <c r="BU284" s="25" t="s">
        <v>230</v>
      </c>
    </row>
    <row r="285" spans="1:73" s="8" customFormat="1" ht="12.75" customHeight="1" x14ac:dyDescent="0.25">
      <c r="A285"/>
      <c r="B285" s="90">
        <f>B284+1</f>
        <v>120</v>
      </c>
      <c r="C285" s="281" t="str">
        <f>HYPERLINK("https://sites.wustl.edu/meteoritesite/items/lm_unnamed_004/",Q285)</f>
        <v>[unnamed 04]</v>
      </c>
      <c r="D285" s="281"/>
      <c r="E285" s="281"/>
      <c r="F285" s="281"/>
      <c r="G285" s="6">
        <v>2005</v>
      </c>
      <c r="H285" s="249" t="s">
        <v>396</v>
      </c>
      <c r="I285" s="249"/>
      <c r="J285" s="91" t="s">
        <v>40</v>
      </c>
      <c r="K285" s="207" t="s">
        <v>39</v>
      </c>
      <c r="L285" s="207"/>
      <c r="M285" s="46">
        <v>11.5</v>
      </c>
      <c r="N285" s="46">
        <v>0.8</v>
      </c>
      <c r="O285" s="15"/>
      <c r="P285" s="125">
        <f t="shared" si="28"/>
        <v>0</v>
      </c>
      <c r="Q285" s="54" t="s">
        <v>171</v>
      </c>
      <c r="R285" s="48">
        <v>11.5</v>
      </c>
      <c r="S285" s="49">
        <v>0.8</v>
      </c>
      <c r="T285" s="50"/>
      <c r="U285" s="9"/>
      <c r="V285" s="51"/>
      <c r="W285" s="51"/>
      <c r="X285" s="51"/>
      <c r="Y285" s="51"/>
      <c r="Z285" s="51"/>
      <c r="AA285" s="51"/>
      <c r="AB285" s="51"/>
      <c r="AC285" s="51"/>
      <c r="AD285" s="51"/>
      <c r="AE285" s="51"/>
      <c r="AF285" s="51"/>
      <c r="AG285" s="51"/>
      <c r="AH285" s="51"/>
      <c r="AI285" s="51"/>
      <c r="AJ285" s="51"/>
      <c r="AK285" s="51"/>
      <c r="AL285" s="51"/>
      <c r="AM285" s="51"/>
      <c r="AN285" s="51"/>
      <c r="AO285" s="51"/>
      <c r="AP285" s="51"/>
      <c r="AQ285" s="51"/>
      <c r="AR285" s="51"/>
      <c r="AS285" s="51"/>
      <c r="AT285" s="51"/>
      <c r="AU285" s="51"/>
      <c r="AV285" s="51"/>
      <c r="AW285" s="51"/>
      <c r="AX285" s="51"/>
      <c r="AY285" s="51"/>
      <c r="AZ285" s="51"/>
      <c r="BA285" s="51"/>
      <c r="BB285" s="51"/>
      <c r="BC285" s="51"/>
      <c r="BD285" s="51"/>
      <c r="BE285" s="51"/>
      <c r="BF285" s="51"/>
      <c r="BG285" s="51"/>
      <c r="BH285" s="51"/>
      <c r="BI285" s="51"/>
      <c r="BJ285" s="51"/>
      <c r="BK285" s="51"/>
      <c r="BL285" s="51"/>
      <c r="BM285" s="51"/>
      <c r="BN285" s="51"/>
      <c r="BO285" s="51"/>
      <c r="BP285" s="51"/>
      <c r="BQ285" s="51"/>
      <c r="BR285" s="9">
        <f t="shared" si="22"/>
        <v>0</v>
      </c>
      <c r="BS285" s="9"/>
      <c r="BT285" s="53" t="str">
        <f t="shared" si="23"/>
        <v>[unnamed 04]</v>
      </c>
      <c r="BU285" s="25" t="s">
        <v>230</v>
      </c>
    </row>
    <row r="286" spans="1:73" s="8" customFormat="1" ht="12.75" customHeight="1" x14ac:dyDescent="0.25">
      <c r="A286"/>
      <c r="B286" s="65">
        <f t="shared" ref="B286:B299" si="30">B285+1</f>
        <v>121</v>
      </c>
      <c r="C286" s="281" t="str">
        <f>HYPERLINK("https://sites.wustl.edu/meteoritesite/items/lm_yamato_79327_981031/",Q286)</f>
        <v>Yamato 793274/ 981031</v>
      </c>
      <c r="D286" s="281"/>
      <c r="E286" s="281"/>
      <c r="F286" s="281"/>
      <c r="G286" s="91" t="s">
        <v>71</v>
      </c>
      <c r="H286" s="274" t="s">
        <v>41</v>
      </c>
      <c r="I286" s="275"/>
      <c r="J286" s="91">
        <v>194.5</v>
      </c>
      <c r="K286" s="270" t="s">
        <v>42</v>
      </c>
      <c r="L286" s="271"/>
      <c r="M286" s="46">
        <v>13.4</v>
      </c>
      <c r="N286" s="46">
        <v>1</v>
      </c>
      <c r="O286" s="15"/>
      <c r="P286" s="125">
        <f t="shared" si="28"/>
        <v>194.5</v>
      </c>
      <c r="Q286" s="54" t="s">
        <v>276</v>
      </c>
      <c r="R286" s="48">
        <v>13.4</v>
      </c>
      <c r="S286" s="49">
        <v>1</v>
      </c>
      <c r="T286" s="50">
        <f t="shared" si="29"/>
        <v>0</v>
      </c>
      <c r="U286" s="9"/>
      <c r="V286" s="51">
        <v>8.6999999999999993</v>
      </c>
      <c r="W286" s="51">
        <v>185.8</v>
      </c>
      <c r="X286" s="51"/>
      <c r="Y286" s="51"/>
      <c r="Z286" s="51"/>
      <c r="AA286" s="51"/>
      <c r="AB286" s="51"/>
      <c r="AC286" s="51"/>
      <c r="AD286" s="51"/>
      <c r="AE286" s="51"/>
      <c r="AF286" s="51"/>
      <c r="AG286" s="51"/>
      <c r="AH286" s="51"/>
      <c r="AI286" s="51"/>
      <c r="AJ286" s="51"/>
      <c r="AK286" s="51"/>
      <c r="AL286" s="51"/>
      <c r="AM286" s="51"/>
      <c r="AN286" s="51"/>
      <c r="AO286" s="51"/>
      <c r="AP286" s="51"/>
      <c r="AQ286" s="51"/>
      <c r="AR286" s="51"/>
      <c r="AS286" s="51"/>
      <c r="AT286" s="51"/>
      <c r="AU286" s="51"/>
      <c r="AV286" s="51"/>
      <c r="AW286" s="51"/>
      <c r="AX286" s="51"/>
      <c r="AY286" s="51"/>
      <c r="AZ286" s="51"/>
      <c r="BA286" s="51"/>
      <c r="BB286" s="51"/>
      <c r="BC286" s="51"/>
      <c r="BD286" s="51"/>
      <c r="BE286" s="51"/>
      <c r="BF286" s="51"/>
      <c r="BG286" s="51"/>
      <c r="BH286" s="51"/>
      <c r="BI286" s="51"/>
      <c r="BJ286" s="51"/>
      <c r="BK286" s="51"/>
      <c r="BL286" s="51"/>
      <c r="BM286" s="51"/>
      <c r="BN286" s="51"/>
      <c r="BO286" s="51"/>
      <c r="BP286" s="51"/>
      <c r="BQ286" s="51"/>
      <c r="BR286" s="9">
        <f t="shared" si="22"/>
        <v>2</v>
      </c>
      <c r="BS286" s="9"/>
      <c r="BT286" s="53" t="str">
        <f t="shared" si="23"/>
        <v>Yamato 793274/ 981031</v>
      </c>
      <c r="BU286" s="25" t="s">
        <v>230</v>
      </c>
    </row>
    <row r="287" spans="1:73" s="8" customFormat="1" ht="12.75" customHeight="1" x14ac:dyDescent="0.25">
      <c r="A287"/>
      <c r="B287" s="90">
        <f t="shared" si="30"/>
        <v>122</v>
      </c>
      <c r="C287" s="281" t="str">
        <f>HYPERLINK("https://sites.wustl.edu/meteoritesite/items/lm_nwa_05153/",Q287)</f>
        <v>Northwest Africa 5153</v>
      </c>
      <c r="D287" s="281"/>
      <c r="E287" s="281"/>
      <c r="F287" s="281"/>
      <c r="G287" s="91">
        <v>2007</v>
      </c>
      <c r="H287" s="249" t="s">
        <v>719</v>
      </c>
      <c r="I287" s="249"/>
      <c r="J287" s="91">
        <v>50.4</v>
      </c>
      <c r="K287" s="207" t="s">
        <v>35</v>
      </c>
      <c r="L287" s="207"/>
      <c r="M287" s="46">
        <v>12.7</v>
      </c>
      <c r="N287" s="46">
        <v>1.5</v>
      </c>
      <c r="O287" s="15"/>
      <c r="P287" s="125">
        <f t="shared" si="28"/>
        <v>50.4</v>
      </c>
      <c r="Q287" s="54" t="s">
        <v>141</v>
      </c>
      <c r="R287" s="48">
        <v>12.7</v>
      </c>
      <c r="S287" s="49">
        <v>1.5</v>
      </c>
      <c r="T287" s="50">
        <f t="shared" si="29"/>
        <v>0</v>
      </c>
      <c r="U287" s="9"/>
      <c r="V287" s="51">
        <v>50.4</v>
      </c>
      <c r="W287" s="51"/>
      <c r="X287" s="51"/>
      <c r="Y287" s="51"/>
      <c r="Z287" s="51"/>
      <c r="AA287" s="51"/>
      <c r="AB287" s="51"/>
      <c r="AC287" s="51"/>
      <c r="AD287" s="51"/>
      <c r="AE287" s="51"/>
      <c r="AF287" s="51"/>
      <c r="AG287" s="51"/>
      <c r="AH287" s="51"/>
      <c r="AI287" s="51"/>
      <c r="AJ287" s="51"/>
      <c r="AK287" s="51"/>
      <c r="AL287" s="51"/>
      <c r="AM287" s="51"/>
      <c r="AN287" s="51"/>
      <c r="AO287" s="51"/>
      <c r="AP287" s="51"/>
      <c r="AQ287" s="51"/>
      <c r="AR287" s="51"/>
      <c r="AS287" s="51"/>
      <c r="AT287" s="51"/>
      <c r="AU287" s="51"/>
      <c r="AV287" s="51"/>
      <c r="AW287" s="51"/>
      <c r="AX287" s="51"/>
      <c r="AY287" s="51"/>
      <c r="AZ287" s="51"/>
      <c r="BA287" s="51"/>
      <c r="BB287" s="51"/>
      <c r="BC287" s="51"/>
      <c r="BD287" s="51"/>
      <c r="BE287" s="51"/>
      <c r="BF287" s="51"/>
      <c r="BG287" s="51"/>
      <c r="BH287" s="51"/>
      <c r="BI287" s="51"/>
      <c r="BJ287" s="51"/>
      <c r="BK287" s="51"/>
      <c r="BL287" s="51"/>
      <c r="BM287" s="51"/>
      <c r="BN287" s="51"/>
      <c r="BO287" s="51"/>
      <c r="BP287" s="51"/>
      <c r="BQ287" s="51"/>
      <c r="BR287" s="9">
        <f t="shared" si="22"/>
        <v>1</v>
      </c>
      <c r="BS287" s="9"/>
      <c r="BT287" s="53" t="str">
        <f t="shared" si="23"/>
        <v>Northwest Africa 5153</v>
      </c>
      <c r="BU287" s="25" t="s">
        <v>230</v>
      </c>
    </row>
    <row r="288" spans="1:73" s="8" customFormat="1" ht="12.75" customHeight="1" x14ac:dyDescent="0.25">
      <c r="A288"/>
      <c r="B288" s="65">
        <f t="shared" si="30"/>
        <v>123</v>
      </c>
      <c r="C288" s="281" t="str">
        <f>HYPERLINK("https://sites.wustl.edu/meteoritesite/items/lm_que_94281/",Q288)</f>
        <v>Queen Alexandra Range 94281</v>
      </c>
      <c r="D288" s="281"/>
      <c r="E288" s="281"/>
      <c r="F288" s="281"/>
      <c r="G288" s="91">
        <v>1994</v>
      </c>
      <c r="H288" s="274" t="s">
        <v>41</v>
      </c>
      <c r="I288" s="275"/>
      <c r="J288" s="91">
        <v>23.4</v>
      </c>
      <c r="K288" s="270" t="s">
        <v>42</v>
      </c>
      <c r="L288" s="271"/>
      <c r="M288" s="46">
        <v>12.9</v>
      </c>
      <c r="N288" s="46">
        <v>1</v>
      </c>
      <c r="O288" s="15"/>
      <c r="P288" s="125">
        <f t="shared" si="28"/>
        <v>23.4</v>
      </c>
      <c r="Q288" s="54" t="s">
        <v>174</v>
      </c>
      <c r="R288" s="48">
        <v>12.9</v>
      </c>
      <c r="S288" s="49">
        <v>1</v>
      </c>
      <c r="T288" s="50">
        <f t="shared" si="29"/>
        <v>0</v>
      </c>
      <c r="U288" s="9"/>
      <c r="V288" s="51">
        <v>23.4</v>
      </c>
      <c r="W288" s="51"/>
      <c r="X288" s="51"/>
      <c r="Y288" s="51"/>
      <c r="Z288" s="51"/>
      <c r="AA288" s="51"/>
      <c r="AB288" s="51"/>
      <c r="AC288" s="51"/>
      <c r="AD288" s="51"/>
      <c r="AE288" s="51"/>
      <c r="AF288" s="51"/>
      <c r="AG288" s="51"/>
      <c r="AH288" s="51"/>
      <c r="AI288" s="51"/>
      <c r="AJ288" s="51"/>
      <c r="AK288" s="51"/>
      <c r="AL288" s="51"/>
      <c r="AM288" s="51"/>
      <c r="AN288" s="51"/>
      <c r="AO288" s="51"/>
      <c r="AP288" s="51"/>
      <c r="AQ288" s="51"/>
      <c r="AR288" s="51"/>
      <c r="AS288" s="51"/>
      <c r="AT288" s="51"/>
      <c r="AU288" s="51"/>
      <c r="AV288" s="51"/>
      <c r="AW288" s="51"/>
      <c r="AX288" s="51"/>
      <c r="AY288" s="51"/>
      <c r="AZ288" s="51"/>
      <c r="BA288" s="51"/>
      <c r="BB288" s="51"/>
      <c r="BC288" s="51"/>
      <c r="BD288" s="51"/>
      <c r="BE288" s="51"/>
      <c r="BF288" s="51"/>
      <c r="BG288" s="51"/>
      <c r="BH288" s="51"/>
      <c r="BI288" s="51"/>
      <c r="BJ288" s="51"/>
      <c r="BK288" s="51"/>
      <c r="BL288" s="51"/>
      <c r="BM288" s="51"/>
      <c r="BN288" s="51"/>
      <c r="BO288" s="51"/>
      <c r="BP288" s="51"/>
      <c r="BQ288" s="51"/>
      <c r="BR288" s="9">
        <f t="shared" si="22"/>
        <v>1</v>
      </c>
      <c r="BS288" s="9"/>
      <c r="BT288" s="53" t="str">
        <f t="shared" si="23"/>
        <v>Queen Alexandra Range 94281</v>
      </c>
      <c r="BU288" s="25" t="s">
        <v>230</v>
      </c>
    </row>
    <row r="289" spans="1:73" s="8" customFormat="1" ht="12.75" customHeight="1" x14ac:dyDescent="0.25">
      <c r="A289"/>
      <c r="B289" s="90">
        <f t="shared" si="30"/>
        <v>124</v>
      </c>
      <c r="C289" s="281" t="str">
        <f>HYPERLINK("https://sites.wustl.edu/meteoritesite/items/lm_nwa_07611_clan/",Q289)</f>
        <v>Northwest Africa 2402/ 7611/ 8277/ 10480/ 10566</v>
      </c>
      <c r="D289" s="281"/>
      <c r="E289" s="281"/>
      <c r="F289" s="281"/>
      <c r="G289" s="91" t="s">
        <v>118</v>
      </c>
      <c r="H289" s="249" t="s">
        <v>188</v>
      </c>
      <c r="I289" s="249"/>
      <c r="J289" s="91">
        <v>2352</v>
      </c>
      <c r="K289" s="207" t="s">
        <v>39</v>
      </c>
      <c r="L289" s="207"/>
      <c r="M289" s="46">
        <v>13.7</v>
      </c>
      <c r="N289" s="46">
        <v>0.9</v>
      </c>
      <c r="O289" s="15"/>
      <c r="P289" s="125">
        <f t="shared" si="28"/>
        <v>2352</v>
      </c>
      <c r="Q289" s="54" t="s">
        <v>383</v>
      </c>
      <c r="R289" s="48">
        <v>13.7</v>
      </c>
      <c r="S289" s="49">
        <v>0.9</v>
      </c>
      <c r="T289" s="50">
        <f t="shared" si="29"/>
        <v>0</v>
      </c>
      <c r="U289" s="9"/>
      <c r="V289" s="51">
        <v>916</v>
      </c>
      <c r="W289" s="51">
        <v>773</v>
      </c>
      <c r="X289" s="51">
        <v>33</v>
      </c>
      <c r="Y289" s="51">
        <v>130</v>
      </c>
      <c r="Z289" s="51">
        <v>500</v>
      </c>
      <c r="AA289" s="51"/>
      <c r="AB289" s="51"/>
      <c r="AC289" s="51"/>
      <c r="AD289" s="51"/>
      <c r="AE289" s="51"/>
      <c r="AF289" s="51"/>
      <c r="AG289" s="51"/>
      <c r="AH289" s="51"/>
      <c r="AI289" s="51"/>
      <c r="AJ289" s="51"/>
      <c r="AK289" s="51"/>
      <c r="AL289" s="51"/>
      <c r="AM289" s="51"/>
      <c r="AN289" s="51"/>
      <c r="AO289" s="51"/>
      <c r="AP289" s="51"/>
      <c r="AQ289" s="51"/>
      <c r="AR289" s="51"/>
      <c r="AS289" s="51"/>
      <c r="AT289" s="51"/>
      <c r="AU289" s="51"/>
      <c r="AV289" s="51"/>
      <c r="AW289" s="51"/>
      <c r="AX289" s="51"/>
      <c r="AY289" s="51"/>
      <c r="AZ289" s="51"/>
      <c r="BA289" s="51"/>
      <c r="BB289" s="51"/>
      <c r="BC289" s="51"/>
      <c r="BD289" s="51"/>
      <c r="BE289" s="51"/>
      <c r="BF289" s="51"/>
      <c r="BG289" s="51"/>
      <c r="BH289" s="51"/>
      <c r="BI289" s="51"/>
      <c r="BJ289" s="51"/>
      <c r="BK289" s="51"/>
      <c r="BL289" s="51"/>
      <c r="BM289" s="51"/>
      <c r="BN289" s="51"/>
      <c r="BO289" s="51"/>
      <c r="BP289" s="51"/>
      <c r="BQ289" s="51"/>
      <c r="BR289" s="9">
        <f t="shared" si="22"/>
        <v>5</v>
      </c>
      <c r="BS289" s="9"/>
      <c r="BT289" s="53" t="str">
        <f t="shared" si="23"/>
        <v>Northwest Africa 2402/ 7611/ 8277/ 10480/ 10566</v>
      </c>
      <c r="BU289" s="25" t="s">
        <v>230</v>
      </c>
    </row>
    <row r="290" spans="1:73" s="8" customFormat="1" ht="12.75" customHeight="1" x14ac:dyDescent="0.25">
      <c r="A290"/>
      <c r="B290" s="90">
        <f t="shared" si="30"/>
        <v>125</v>
      </c>
      <c r="C290" s="281" t="str">
        <f>HYPERLINK("https://sites.wustl.edu/meteoritesite/items/lm_nwa_04884/",Q290)</f>
        <v>Northwest Africa 4884</v>
      </c>
      <c r="D290" s="281"/>
      <c r="E290" s="281"/>
      <c r="F290" s="281"/>
      <c r="G290" s="91">
        <v>2007</v>
      </c>
      <c r="H290" s="249" t="s">
        <v>189</v>
      </c>
      <c r="I290" s="249"/>
      <c r="J290" s="91">
        <v>42</v>
      </c>
      <c r="K290" s="207" t="s">
        <v>39</v>
      </c>
      <c r="L290" s="207"/>
      <c r="M290" s="46">
        <v>13.7</v>
      </c>
      <c r="N290" s="46">
        <v>0.9</v>
      </c>
      <c r="O290" s="15"/>
      <c r="P290" s="125">
        <f t="shared" si="28"/>
        <v>42</v>
      </c>
      <c r="Q290" s="54" t="s">
        <v>142</v>
      </c>
      <c r="R290" s="48">
        <v>13.7</v>
      </c>
      <c r="S290" s="49">
        <v>0.9</v>
      </c>
      <c r="T290" s="50">
        <f t="shared" si="29"/>
        <v>0</v>
      </c>
      <c r="U290" s="9"/>
      <c r="V290" s="51">
        <v>42</v>
      </c>
      <c r="W290" s="51"/>
      <c r="X290" s="51"/>
      <c r="Y290" s="51"/>
      <c r="Z290" s="51"/>
      <c r="AA290" s="51"/>
      <c r="AB290" s="51"/>
      <c r="AC290" s="51"/>
      <c r="AD290" s="51"/>
      <c r="AE290" s="51"/>
      <c r="AF290" s="51"/>
      <c r="AG290" s="51"/>
      <c r="AH290" s="51"/>
      <c r="AI290" s="51"/>
      <c r="AJ290" s="51"/>
      <c r="AK290" s="51"/>
      <c r="AL290" s="51"/>
      <c r="AM290" s="51"/>
      <c r="AN290" s="51"/>
      <c r="AO290" s="51"/>
      <c r="AP290" s="51"/>
      <c r="AQ290" s="51"/>
      <c r="AR290" s="51"/>
      <c r="AS290" s="51"/>
      <c r="AT290" s="51"/>
      <c r="AU290" s="51"/>
      <c r="AV290" s="51"/>
      <c r="AW290" s="51"/>
      <c r="AX290" s="51"/>
      <c r="AY290" s="51"/>
      <c r="AZ290" s="51"/>
      <c r="BA290" s="51"/>
      <c r="BB290" s="51"/>
      <c r="BC290" s="51"/>
      <c r="BD290" s="51"/>
      <c r="BE290" s="51"/>
      <c r="BF290" s="51"/>
      <c r="BG290" s="51"/>
      <c r="BH290" s="51"/>
      <c r="BI290" s="51"/>
      <c r="BJ290" s="51"/>
      <c r="BK290" s="51"/>
      <c r="BL290" s="51"/>
      <c r="BM290" s="51"/>
      <c r="BN290" s="51"/>
      <c r="BO290" s="51"/>
      <c r="BP290" s="51"/>
      <c r="BQ290" s="51"/>
      <c r="BR290" s="9">
        <f t="shared" si="22"/>
        <v>1</v>
      </c>
      <c r="BS290" s="9"/>
      <c r="BT290" s="53" t="str">
        <f t="shared" si="23"/>
        <v>Northwest Africa 4884</v>
      </c>
      <c r="BU290" s="25" t="s">
        <v>230</v>
      </c>
    </row>
    <row r="291" spans="1:73" s="8" customFormat="1" ht="12.75" customHeight="1" x14ac:dyDescent="0.25">
      <c r="A291"/>
      <c r="B291" s="90">
        <f t="shared" si="30"/>
        <v>126</v>
      </c>
      <c r="C291" s="281" t="str">
        <f>HYPERLINK("https://sites.wustl.edu/meteoritesite/items/lm_nwa_10447/",Q291)</f>
        <v>Northwest Africa 10447</v>
      </c>
      <c r="D291" s="281"/>
      <c r="E291" s="281"/>
      <c r="F291" s="281"/>
      <c r="G291" s="91">
        <v>2015</v>
      </c>
      <c r="H291" s="249" t="s">
        <v>38</v>
      </c>
      <c r="I291" s="249"/>
      <c r="J291" s="91">
        <v>21.73</v>
      </c>
      <c r="K291" s="207" t="s">
        <v>39</v>
      </c>
      <c r="L291" s="207"/>
      <c r="M291" s="46">
        <v>15.2</v>
      </c>
      <c r="N291" s="46">
        <v>0.8</v>
      </c>
      <c r="O291" s="15"/>
      <c r="P291" s="125">
        <f t="shared" si="28"/>
        <v>21.73</v>
      </c>
      <c r="Q291" s="54" t="s">
        <v>184</v>
      </c>
      <c r="R291" s="48">
        <v>15.2</v>
      </c>
      <c r="S291" s="49">
        <v>0.8</v>
      </c>
      <c r="T291" s="50">
        <f t="shared" si="29"/>
        <v>0</v>
      </c>
      <c r="U291" s="9"/>
      <c r="V291" s="51">
        <v>21.73</v>
      </c>
      <c r="W291" s="51"/>
      <c r="X291" s="51"/>
      <c r="Y291" s="51"/>
      <c r="Z291" s="51"/>
      <c r="AA291" s="51"/>
      <c r="AB291" s="51"/>
      <c r="AC291" s="51"/>
      <c r="AD291" s="51"/>
      <c r="AE291" s="51"/>
      <c r="AF291" s="51"/>
      <c r="AG291" s="51"/>
      <c r="AH291" s="51"/>
      <c r="AI291" s="51"/>
      <c r="AJ291" s="51"/>
      <c r="AK291" s="51"/>
      <c r="AL291" s="51"/>
      <c r="AM291" s="51"/>
      <c r="AN291" s="51"/>
      <c r="AO291" s="51"/>
      <c r="AP291" s="51"/>
      <c r="AQ291" s="51"/>
      <c r="AR291" s="51"/>
      <c r="AS291" s="51"/>
      <c r="AT291" s="51"/>
      <c r="AU291" s="51"/>
      <c r="AV291" s="51"/>
      <c r="AW291" s="51"/>
      <c r="AX291" s="51"/>
      <c r="AY291" s="51"/>
      <c r="AZ291" s="51"/>
      <c r="BA291" s="51"/>
      <c r="BB291" s="51"/>
      <c r="BC291" s="51"/>
      <c r="BD291" s="51"/>
      <c r="BE291" s="51"/>
      <c r="BF291" s="51"/>
      <c r="BG291" s="51"/>
      <c r="BH291" s="51"/>
      <c r="BI291" s="51"/>
      <c r="BJ291" s="51"/>
      <c r="BK291" s="51"/>
      <c r="BL291" s="51"/>
      <c r="BM291" s="51"/>
      <c r="BN291" s="51"/>
      <c r="BO291" s="51"/>
      <c r="BP291" s="51"/>
      <c r="BQ291" s="51"/>
      <c r="BR291" s="9">
        <f t="shared" si="22"/>
        <v>1</v>
      </c>
      <c r="BS291" s="9"/>
      <c r="BT291" s="53" t="str">
        <f t="shared" si="23"/>
        <v>Northwest Africa 10447</v>
      </c>
      <c r="BU291" s="25" t="s">
        <v>230</v>
      </c>
    </row>
    <row r="292" spans="1:73" s="8" customFormat="1" ht="12.75" customHeight="1" x14ac:dyDescent="0.25">
      <c r="A292"/>
      <c r="B292" s="65">
        <f t="shared" si="30"/>
        <v>127</v>
      </c>
      <c r="C292" s="281" t="str">
        <f>HYPERLINK("https://sites.wustl.edu/meteoritesite/items/lm_met_01210/",Q292)</f>
        <v>Meteorite Hills 01210</v>
      </c>
      <c r="D292" s="281"/>
      <c r="E292" s="281"/>
      <c r="F292" s="281"/>
      <c r="G292" s="91">
        <v>2001</v>
      </c>
      <c r="H292" s="274" t="s">
        <v>41</v>
      </c>
      <c r="I292" s="275"/>
      <c r="J292" s="91">
        <v>22.83</v>
      </c>
      <c r="K292" s="270" t="s">
        <v>42</v>
      </c>
      <c r="L292" s="271"/>
      <c r="M292" s="46">
        <v>16.399999999999999</v>
      </c>
      <c r="N292" s="46">
        <v>0.9</v>
      </c>
      <c r="O292" s="15"/>
      <c r="P292" s="125">
        <f t="shared" si="28"/>
        <v>22.83</v>
      </c>
      <c r="Q292" s="54" t="s">
        <v>181</v>
      </c>
      <c r="R292" s="48">
        <v>16.399999999999999</v>
      </c>
      <c r="S292" s="49">
        <v>0.9</v>
      </c>
      <c r="T292" s="50">
        <f t="shared" si="29"/>
        <v>0</v>
      </c>
      <c r="U292" s="9"/>
      <c r="V292" s="51">
        <v>22.83</v>
      </c>
      <c r="W292" s="51"/>
      <c r="X292" s="51"/>
      <c r="Y292" s="51"/>
      <c r="Z292" s="51"/>
      <c r="AA292" s="51"/>
      <c r="AB292" s="51"/>
      <c r="AC292" s="51"/>
      <c r="AD292" s="51"/>
      <c r="AE292" s="51"/>
      <c r="AF292" s="51"/>
      <c r="AG292" s="51"/>
      <c r="AH292" s="51"/>
      <c r="AI292" s="51"/>
      <c r="AJ292" s="51"/>
      <c r="AK292" s="51"/>
      <c r="AL292" s="51"/>
      <c r="AM292" s="51"/>
      <c r="AN292" s="51"/>
      <c r="AO292" s="51"/>
      <c r="AP292" s="51"/>
      <c r="AQ292" s="51"/>
      <c r="AR292" s="51"/>
      <c r="AS292" s="51"/>
      <c r="AT292" s="51"/>
      <c r="AU292" s="51"/>
      <c r="AV292" s="51"/>
      <c r="AW292" s="51"/>
      <c r="AX292" s="51"/>
      <c r="AY292" s="51"/>
      <c r="AZ292" s="51"/>
      <c r="BA292" s="51"/>
      <c r="BB292" s="51"/>
      <c r="BC292" s="51"/>
      <c r="BD292" s="51"/>
      <c r="BE292" s="51"/>
      <c r="BF292" s="51"/>
      <c r="BG292" s="51"/>
      <c r="BH292" s="51"/>
      <c r="BI292" s="51"/>
      <c r="BJ292" s="51"/>
      <c r="BK292" s="51"/>
      <c r="BL292" s="51"/>
      <c r="BM292" s="51"/>
      <c r="BN292" s="51"/>
      <c r="BO292" s="51"/>
      <c r="BP292" s="51"/>
      <c r="BQ292" s="51"/>
      <c r="BR292" s="9">
        <f t="shared" si="22"/>
        <v>1</v>
      </c>
      <c r="BS292" s="9"/>
      <c r="BT292" s="53" t="str">
        <f t="shared" si="23"/>
        <v>Meteorite Hills 01210</v>
      </c>
      <c r="BU292" s="25" t="s">
        <v>230</v>
      </c>
    </row>
    <row r="293" spans="1:73" s="8" customFormat="1" ht="12.75" customHeight="1" x14ac:dyDescent="0.25">
      <c r="A293"/>
      <c r="B293" s="90">
        <f t="shared" si="30"/>
        <v>128</v>
      </c>
      <c r="C293" s="281" t="str">
        <f>HYPERLINK("https://sites.wustl.edu/meteoritesite/items/lm_nwa_03136/",Q293)</f>
        <v>Northwest Africa 3136</v>
      </c>
      <c r="D293" s="281"/>
      <c r="E293" s="281"/>
      <c r="F293" s="281"/>
      <c r="G293" s="91">
        <v>2004</v>
      </c>
      <c r="H293" s="249" t="s">
        <v>41</v>
      </c>
      <c r="I293" s="249"/>
      <c r="J293" s="91">
        <v>95.1</v>
      </c>
      <c r="K293" s="207" t="s">
        <v>72</v>
      </c>
      <c r="L293" s="207"/>
      <c r="M293" s="46">
        <v>15.4</v>
      </c>
      <c r="N293" s="46">
        <v>1.3</v>
      </c>
      <c r="O293" s="15"/>
      <c r="P293" s="125">
        <f t="shared" si="28"/>
        <v>95.1</v>
      </c>
      <c r="Q293" s="54" t="s">
        <v>143</v>
      </c>
      <c r="R293" s="48">
        <v>15.4</v>
      </c>
      <c r="S293" s="49">
        <v>1.3</v>
      </c>
      <c r="T293" s="50">
        <f t="shared" si="29"/>
        <v>0</v>
      </c>
      <c r="U293" s="9"/>
      <c r="V293" s="51">
        <v>95.1</v>
      </c>
      <c r="W293" s="51"/>
      <c r="X293" s="51"/>
      <c r="Y293" s="51"/>
      <c r="Z293" s="51"/>
      <c r="AA293" s="51"/>
      <c r="AB293" s="51"/>
      <c r="AC293" s="51"/>
      <c r="AD293" s="51"/>
      <c r="AE293" s="51"/>
      <c r="AF293" s="51"/>
      <c r="AG293" s="51"/>
      <c r="AH293" s="51"/>
      <c r="AI293" s="51"/>
      <c r="AJ293" s="51"/>
      <c r="AK293" s="51"/>
      <c r="AL293" s="51"/>
      <c r="AM293" s="51"/>
      <c r="AN293" s="51"/>
      <c r="AO293" s="51"/>
      <c r="AP293" s="51"/>
      <c r="AQ293" s="51"/>
      <c r="AR293" s="51"/>
      <c r="AS293" s="51"/>
      <c r="AT293" s="51"/>
      <c r="AU293" s="51"/>
      <c r="AV293" s="51"/>
      <c r="AW293" s="51"/>
      <c r="AX293" s="51"/>
      <c r="AY293" s="51"/>
      <c r="AZ293" s="51"/>
      <c r="BA293" s="51"/>
      <c r="BB293" s="51"/>
      <c r="BC293" s="51"/>
      <c r="BD293" s="51"/>
      <c r="BE293" s="51"/>
      <c r="BF293" s="51"/>
      <c r="BG293" s="51"/>
      <c r="BH293" s="51"/>
      <c r="BI293" s="51"/>
      <c r="BJ293" s="51"/>
      <c r="BK293" s="51"/>
      <c r="BL293" s="51"/>
      <c r="BM293" s="51"/>
      <c r="BN293" s="51"/>
      <c r="BO293" s="51"/>
      <c r="BP293" s="51"/>
      <c r="BQ293" s="51"/>
      <c r="BR293" s="9">
        <f t="shared" si="22"/>
        <v>1</v>
      </c>
      <c r="BS293" s="9"/>
      <c r="BT293" s="53" t="str">
        <f t="shared" si="23"/>
        <v>Northwest Africa 3136</v>
      </c>
      <c r="BU293" s="25" t="s">
        <v>230</v>
      </c>
    </row>
    <row r="294" spans="1:73" s="8" customFormat="1" ht="12.75" customHeight="1" x14ac:dyDescent="0.25">
      <c r="A294"/>
      <c r="B294" s="65">
        <f t="shared" si="30"/>
        <v>129</v>
      </c>
      <c r="C294" s="281" t="str">
        <f>HYPERLINK("https://sites.wustl.edu/meteoritesite/items/lm_eet_87-96/",Q294)</f>
        <v>Elephant Moraine 87521/ 96008</v>
      </c>
      <c r="D294" s="281"/>
      <c r="E294" s="281"/>
      <c r="F294" s="281"/>
      <c r="G294" s="91" t="s">
        <v>75</v>
      </c>
      <c r="H294" s="274" t="s">
        <v>41</v>
      </c>
      <c r="I294" s="275"/>
      <c r="J294" s="81">
        <v>83.67</v>
      </c>
      <c r="K294" s="270" t="s">
        <v>42</v>
      </c>
      <c r="L294" s="271"/>
      <c r="M294" s="46">
        <v>19.899999999999999</v>
      </c>
      <c r="N294" s="46">
        <v>0.9</v>
      </c>
      <c r="O294" s="15"/>
      <c r="P294" s="125">
        <f t="shared" si="28"/>
        <v>83.67</v>
      </c>
      <c r="Q294" s="54" t="s">
        <v>277</v>
      </c>
      <c r="R294" s="48">
        <v>19.899999999999999</v>
      </c>
      <c r="S294" s="49">
        <v>0.9</v>
      </c>
      <c r="T294" s="50">
        <f t="shared" si="29"/>
        <v>0</v>
      </c>
      <c r="U294" s="9"/>
      <c r="V294" s="51">
        <v>30.7</v>
      </c>
      <c r="W294" s="51">
        <v>52.97</v>
      </c>
      <c r="X294" s="51"/>
      <c r="Y294" s="51"/>
      <c r="Z294" s="51"/>
      <c r="AA294" s="51"/>
      <c r="AB294" s="51"/>
      <c r="AC294" s="51"/>
      <c r="AD294" s="51"/>
      <c r="AE294" s="51"/>
      <c r="AF294" s="51"/>
      <c r="AG294" s="51"/>
      <c r="AH294" s="51"/>
      <c r="AI294" s="51"/>
      <c r="AJ294" s="51"/>
      <c r="AK294" s="51"/>
      <c r="AL294" s="51"/>
      <c r="AM294" s="51"/>
      <c r="AN294" s="51"/>
      <c r="AO294" s="51"/>
      <c r="AP294" s="51"/>
      <c r="AQ294" s="51"/>
      <c r="AR294" s="51"/>
      <c r="AS294" s="51"/>
      <c r="AT294" s="51"/>
      <c r="AU294" s="51"/>
      <c r="AV294" s="51"/>
      <c r="AW294" s="51"/>
      <c r="AX294" s="51"/>
      <c r="AY294" s="51"/>
      <c r="AZ294" s="51"/>
      <c r="BA294" s="51"/>
      <c r="BB294" s="51"/>
      <c r="BC294" s="51"/>
      <c r="BD294" s="51"/>
      <c r="BE294" s="51"/>
      <c r="BF294" s="51"/>
      <c r="BG294" s="51"/>
      <c r="BH294" s="51"/>
      <c r="BI294" s="51"/>
      <c r="BJ294" s="51"/>
      <c r="BK294" s="51"/>
      <c r="BL294" s="51"/>
      <c r="BM294" s="51"/>
      <c r="BN294" s="51"/>
      <c r="BO294" s="51"/>
      <c r="BP294" s="51"/>
      <c r="BQ294" s="51"/>
      <c r="BR294" s="9">
        <f t="shared" si="22"/>
        <v>2</v>
      </c>
      <c r="BS294" s="9"/>
      <c r="BT294" s="53" t="str">
        <f t="shared" si="23"/>
        <v>Elephant Moraine 87521/ 96008</v>
      </c>
      <c r="BU294" s="25" t="s">
        <v>230</v>
      </c>
    </row>
    <row r="295" spans="1:73" s="8" customFormat="1" ht="12.75" customHeight="1" x14ac:dyDescent="0.25">
      <c r="A295"/>
      <c r="B295" s="65">
        <f t="shared" si="30"/>
        <v>130</v>
      </c>
      <c r="C295" s="281" t="str">
        <f>HYPERLINK("https://sites.wustl.edu/meteoritesite/items/lm_kal_8-9/",Q295)</f>
        <v>Kalahari 008/ 009</v>
      </c>
      <c r="D295" s="281"/>
      <c r="E295" s="281"/>
      <c r="F295" s="281"/>
      <c r="G295" s="91">
        <v>1999</v>
      </c>
      <c r="H295" s="249" t="s">
        <v>73</v>
      </c>
      <c r="I295" s="249"/>
      <c r="J295" s="84">
        <v>14085</v>
      </c>
      <c r="K295" s="359" t="s">
        <v>74</v>
      </c>
      <c r="L295" s="359"/>
      <c r="M295" s="46" t="s">
        <v>81</v>
      </c>
      <c r="N295" s="46" t="s">
        <v>238</v>
      </c>
      <c r="O295" s="15"/>
      <c r="P295" s="125">
        <f t="shared" si="28"/>
        <v>14085</v>
      </c>
      <c r="Q295" s="54" t="s">
        <v>278</v>
      </c>
      <c r="R295" s="48" t="s">
        <v>81</v>
      </c>
      <c r="S295" s="49" t="s">
        <v>238</v>
      </c>
      <c r="T295" s="50">
        <f t="shared" si="29"/>
        <v>0</v>
      </c>
      <c r="U295" s="9"/>
      <c r="V295" s="51">
        <v>585</v>
      </c>
      <c r="W295" s="51">
        <v>13500</v>
      </c>
      <c r="X295" s="51"/>
      <c r="Y295" s="51"/>
      <c r="Z295" s="51"/>
      <c r="AA295" s="51"/>
      <c r="AB295" s="51"/>
      <c r="AC295" s="51"/>
      <c r="AD295" s="51"/>
      <c r="AE295" s="51"/>
      <c r="AF295" s="51"/>
      <c r="AG295" s="51"/>
      <c r="AH295" s="51"/>
      <c r="AI295" s="51"/>
      <c r="AJ295" s="51"/>
      <c r="AK295" s="51"/>
      <c r="AL295" s="51"/>
      <c r="AM295" s="51"/>
      <c r="AN295" s="51"/>
      <c r="AO295" s="51"/>
      <c r="AP295" s="51"/>
      <c r="AQ295" s="51"/>
      <c r="AR295" s="51"/>
      <c r="AS295" s="51"/>
      <c r="AT295" s="51"/>
      <c r="AU295" s="51"/>
      <c r="AV295" s="51"/>
      <c r="AW295" s="51"/>
      <c r="AX295" s="51"/>
      <c r="AY295" s="51"/>
      <c r="AZ295" s="51"/>
      <c r="BA295" s="51"/>
      <c r="BB295" s="51"/>
      <c r="BC295" s="51"/>
      <c r="BD295" s="51"/>
      <c r="BE295" s="51"/>
      <c r="BF295" s="51"/>
      <c r="BG295" s="51"/>
      <c r="BH295" s="51"/>
      <c r="BI295" s="51"/>
      <c r="BJ295" s="51"/>
      <c r="BK295" s="51"/>
      <c r="BL295" s="51"/>
      <c r="BM295" s="51"/>
      <c r="BN295" s="51"/>
      <c r="BO295" s="51"/>
      <c r="BP295" s="51"/>
      <c r="BQ295" s="51"/>
      <c r="BR295" s="9">
        <f t="shared" si="22"/>
        <v>2</v>
      </c>
      <c r="BS295" s="9"/>
      <c r="BT295" s="53" t="str">
        <f t="shared" si="23"/>
        <v>Kalahari 008/ 009</v>
      </c>
      <c r="BU295" s="25" t="s">
        <v>230</v>
      </c>
    </row>
    <row r="296" spans="1:73" s="8" customFormat="1" ht="12.75" customHeight="1" x14ac:dyDescent="0.25">
      <c r="A296"/>
      <c r="B296" s="65">
        <f t="shared" si="30"/>
        <v>131</v>
      </c>
      <c r="C296" s="281" t="str">
        <f>HYPERLINK("https://sites.wustl.edu/meteoritesite/items/lm_nwa_12384/",Q296)</f>
        <v>Northwest Africa 12384</v>
      </c>
      <c r="D296" s="281"/>
      <c r="E296" s="281"/>
      <c r="F296" s="281"/>
      <c r="G296" s="91">
        <v>2018</v>
      </c>
      <c r="H296" s="249" t="s">
        <v>38</v>
      </c>
      <c r="I296" s="249"/>
      <c r="J296" s="61">
        <v>244</v>
      </c>
      <c r="K296" s="207" t="s">
        <v>39</v>
      </c>
      <c r="L296" s="207"/>
      <c r="M296" s="46">
        <v>20.399999999999999</v>
      </c>
      <c r="N296" s="46">
        <v>0.8</v>
      </c>
      <c r="O296" s="15"/>
      <c r="P296" s="125">
        <f t="shared" si="28"/>
        <v>244</v>
      </c>
      <c r="Q296" s="54" t="s">
        <v>343</v>
      </c>
      <c r="R296" s="48">
        <v>20.399999999999999</v>
      </c>
      <c r="S296" s="49">
        <v>0.8</v>
      </c>
      <c r="T296" s="50">
        <f t="shared" si="29"/>
        <v>0</v>
      </c>
      <c r="U296" s="9"/>
      <c r="V296" s="51">
        <v>244</v>
      </c>
      <c r="W296" s="51"/>
      <c r="X296" s="51"/>
      <c r="Y296" s="51"/>
      <c r="Z296" s="51"/>
      <c r="AA296" s="51"/>
      <c r="AB296" s="51"/>
      <c r="AC296" s="51"/>
      <c r="AD296" s="51"/>
      <c r="AE296" s="51"/>
      <c r="AF296" s="51"/>
      <c r="AG296" s="51"/>
      <c r="AH296" s="51"/>
      <c r="AI296" s="51"/>
      <c r="AJ296" s="51"/>
      <c r="AK296" s="51"/>
      <c r="AL296" s="51"/>
      <c r="AM296" s="51"/>
      <c r="AN296" s="51"/>
      <c r="AO296" s="51"/>
      <c r="AP296" s="51"/>
      <c r="AQ296" s="51"/>
      <c r="AR296" s="51"/>
      <c r="AS296" s="51"/>
      <c r="AT296" s="51"/>
      <c r="AU296" s="51"/>
      <c r="AV296" s="51"/>
      <c r="AW296" s="51"/>
      <c r="AX296" s="51"/>
      <c r="AY296" s="51"/>
      <c r="AZ296" s="51"/>
      <c r="BA296" s="51"/>
      <c r="BB296" s="51"/>
      <c r="BC296" s="51"/>
      <c r="BD296" s="51"/>
      <c r="BE296" s="51"/>
      <c r="BF296" s="51"/>
      <c r="BG296" s="51"/>
      <c r="BH296" s="51"/>
      <c r="BI296" s="51"/>
      <c r="BJ296" s="51"/>
      <c r="BK296" s="51"/>
      <c r="BL296" s="51"/>
      <c r="BM296" s="51"/>
      <c r="BN296" s="51"/>
      <c r="BO296" s="51"/>
      <c r="BP296" s="51"/>
      <c r="BQ296" s="51"/>
      <c r="BR296" s="9">
        <f t="shared" si="22"/>
        <v>1</v>
      </c>
      <c r="BS296" s="9"/>
      <c r="BT296" s="53" t="str">
        <f t="shared" si="23"/>
        <v>Northwest Africa 12384</v>
      </c>
      <c r="BU296" s="25"/>
    </row>
    <row r="297" spans="1:73" s="8" customFormat="1" ht="12.75" customHeight="1" x14ac:dyDescent="0.25">
      <c r="A297"/>
      <c r="B297" s="65">
        <f t="shared" si="30"/>
        <v>132</v>
      </c>
      <c r="C297" s="281" t="str">
        <f>HYPERLINK("https://sites.wustl.edu/meteoritesite/items/lm_nwa_00773_clan/",Q297)</f>
        <v>Northwest Africa 773/ 2700/ 2727/ 2977/ 3160/ 3170 / 3333/ 6950/ 7007/ 8127/ 10656/ 10985/ 11616/ 11703/ 11767/ 15644/ Anoual/</v>
      </c>
      <c r="D297" s="281"/>
      <c r="E297" s="281"/>
      <c r="F297" s="281"/>
      <c r="G297" s="91" t="s">
        <v>649</v>
      </c>
      <c r="H297" s="249" t="s">
        <v>467</v>
      </c>
      <c r="I297" s="249"/>
      <c r="J297" s="84">
        <v>11880.12</v>
      </c>
      <c r="K297" s="207" t="s">
        <v>39</v>
      </c>
      <c r="L297" s="207"/>
      <c r="M297" s="46" t="s">
        <v>246</v>
      </c>
      <c r="N297" s="46" t="s">
        <v>247</v>
      </c>
      <c r="O297" s="15"/>
      <c r="P297" s="125">
        <f t="shared" si="28"/>
        <v>11880.12</v>
      </c>
      <c r="Q297" s="54" t="s">
        <v>648</v>
      </c>
      <c r="R297" s="48" t="s">
        <v>246</v>
      </c>
      <c r="S297" s="49" t="s">
        <v>247</v>
      </c>
      <c r="T297" s="50">
        <f t="shared" si="29"/>
        <v>0</v>
      </c>
      <c r="U297" s="9"/>
      <c r="V297" s="51">
        <v>633</v>
      </c>
      <c r="W297" s="51">
        <v>31.7</v>
      </c>
      <c r="X297" s="51">
        <v>191.2</v>
      </c>
      <c r="Y297" s="51">
        <v>233</v>
      </c>
      <c r="Z297" s="51">
        <v>34</v>
      </c>
      <c r="AA297" s="51">
        <v>60</v>
      </c>
      <c r="AB297" s="51">
        <v>33</v>
      </c>
      <c r="AC297" s="51">
        <v>1649</v>
      </c>
      <c r="AD297" s="51">
        <v>91</v>
      </c>
      <c r="AE297" s="51">
        <v>529</v>
      </c>
      <c r="AF297" s="51">
        <v>262.5</v>
      </c>
      <c r="AG297" s="51">
        <v>250</v>
      </c>
      <c r="AH297" s="51">
        <v>5.92</v>
      </c>
      <c r="AI297" s="51">
        <v>2550.8000000000002</v>
      </c>
      <c r="AJ297" s="51">
        <v>5309.1</v>
      </c>
      <c r="AK297" s="51">
        <v>15</v>
      </c>
      <c r="AL297" s="51">
        <v>1.9</v>
      </c>
      <c r="AM297" s="51"/>
      <c r="AN297" s="51"/>
      <c r="AO297" s="51"/>
      <c r="AP297" s="51"/>
      <c r="AQ297" s="51"/>
      <c r="AR297" s="51"/>
      <c r="AS297" s="51"/>
      <c r="AT297" s="51"/>
      <c r="AU297" s="51"/>
      <c r="AV297" s="51"/>
      <c r="AW297" s="51"/>
      <c r="AX297" s="51"/>
      <c r="AY297" s="51"/>
      <c r="AZ297" s="51"/>
      <c r="BA297" s="51"/>
      <c r="BB297" s="51"/>
      <c r="BC297" s="51"/>
      <c r="BD297" s="51"/>
      <c r="BE297" s="51"/>
      <c r="BF297" s="51"/>
      <c r="BG297" s="51"/>
      <c r="BH297" s="51"/>
      <c r="BI297" s="51"/>
      <c r="BJ297" s="51"/>
      <c r="BK297" s="51"/>
      <c r="BL297" s="51"/>
      <c r="BM297" s="51"/>
      <c r="BN297" s="51"/>
      <c r="BO297" s="51"/>
      <c r="BP297" s="51"/>
      <c r="BQ297" s="51"/>
      <c r="BR297" s="9">
        <f t="shared" si="22"/>
        <v>17</v>
      </c>
      <c r="BS297" s="9"/>
      <c r="BT297" s="53" t="str">
        <f t="shared" si="23"/>
        <v>Northwest Africa 773/ 2700/ 2727/ 2977/ 3160/ 3170 / 3333/ 6950/ 7007/ 8127/ 10656/ 10985/ 11616/ 11703/ 11767/ 15644/ Anoual/</v>
      </c>
      <c r="BU297" s="25" t="s">
        <v>230</v>
      </c>
    </row>
    <row r="298" spans="1:73" s="8" customFormat="1" ht="12.75" customHeight="1" x14ac:dyDescent="0.25">
      <c r="A298"/>
      <c r="B298" s="65">
        <f t="shared" si="30"/>
        <v>133</v>
      </c>
      <c r="C298" s="281" t="str">
        <f>HYPERLINK("https://sites.wustl.edu/meteoritesite/items/lm_nwa_11524/",Q298)</f>
        <v>Northwest Africa 11524</v>
      </c>
      <c r="D298" s="281"/>
      <c r="E298" s="281"/>
      <c r="F298" s="281"/>
      <c r="G298" s="91">
        <v>2015</v>
      </c>
      <c r="H298" s="249" t="s">
        <v>38</v>
      </c>
      <c r="I298" s="249"/>
      <c r="J298" s="61">
        <v>820</v>
      </c>
      <c r="K298" s="207" t="s">
        <v>39</v>
      </c>
      <c r="L298" s="207"/>
      <c r="M298" s="76" t="s">
        <v>351</v>
      </c>
      <c r="N298" s="76" t="s">
        <v>40</v>
      </c>
      <c r="O298" s="15"/>
      <c r="P298" s="125">
        <f t="shared" si="28"/>
        <v>820</v>
      </c>
      <c r="Q298" s="54" t="s">
        <v>235</v>
      </c>
      <c r="R298" s="48"/>
      <c r="S298" s="49"/>
      <c r="T298" s="50">
        <f>J298-P298</f>
        <v>0</v>
      </c>
      <c r="U298" s="9"/>
      <c r="V298" s="51">
        <v>820</v>
      </c>
      <c r="W298" s="51"/>
      <c r="X298" s="51"/>
      <c r="Y298" s="51"/>
      <c r="Z298" s="51"/>
      <c r="AA298" s="51"/>
      <c r="AB298" s="51"/>
      <c r="AC298" s="51"/>
      <c r="AD298" s="51"/>
      <c r="AE298" s="51"/>
      <c r="AF298" s="51"/>
      <c r="AG298" s="51"/>
      <c r="AH298" s="51"/>
      <c r="AI298" s="51"/>
      <c r="AJ298" s="51"/>
      <c r="AK298" s="51"/>
      <c r="AL298" s="51"/>
      <c r="AM298" s="51"/>
      <c r="AN298" s="51"/>
      <c r="AO298" s="51"/>
      <c r="AP298" s="51"/>
      <c r="AQ298" s="51"/>
      <c r="AR298" s="51"/>
      <c r="AS298" s="51"/>
      <c r="AT298" s="51"/>
      <c r="AU298" s="51"/>
      <c r="AV298" s="51"/>
      <c r="AW298" s="51"/>
      <c r="AX298" s="51"/>
      <c r="AY298" s="51"/>
      <c r="AZ298" s="51"/>
      <c r="BA298" s="51"/>
      <c r="BB298" s="51"/>
      <c r="BC298" s="51"/>
      <c r="BD298" s="51"/>
      <c r="BE298" s="51"/>
      <c r="BF298" s="51"/>
      <c r="BG298" s="51"/>
      <c r="BH298" s="51"/>
      <c r="BI298" s="51"/>
      <c r="BJ298" s="51"/>
      <c r="BK298" s="51"/>
      <c r="BL298" s="51"/>
      <c r="BM298" s="51"/>
      <c r="BN298" s="51"/>
      <c r="BO298" s="51"/>
      <c r="BP298" s="51"/>
      <c r="BQ298" s="51"/>
      <c r="BR298" s="9">
        <f t="shared" si="22"/>
        <v>1</v>
      </c>
      <c r="BS298" s="9"/>
      <c r="BT298" s="53" t="str">
        <f t="shared" si="23"/>
        <v>Northwest Africa 11524</v>
      </c>
      <c r="BU298" s="25"/>
    </row>
    <row r="299" spans="1:73" s="8" customFormat="1" ht="12.75" customHeight="1" x14ac:dyDescent="0.25">
      <c r="A299"/>
      <c r="B299" s="65">
        <f t="shared" si="30"/>
        <v>134</v>
      </c>
      <c r="C299" s="281" t="str">
        <f>HYPERLINK("https://sites.wustl.edu/meteoritesite/items/lm_nwa_11886/",Q299)</f>
        <v>Northwest Africa 11886</v>
      </c>
      <c r="D299" s="281"/>
      <c r="E299" s="281"/>
      <c r="F299" s="281"/>
      <c r="G299" s="91">
        <v>2018</v>
      </c>
      <c r="H299" s="249" t="s">
        <v>38</v>
      </c>
      <c r="I299" s="249"/>
      <c r="J299" s="61">
        <v>36</v>
      </c>
      <c r="K299" s="207" t="s">
        <v>39</v>
      </c>
      <c r="L299" s="207"/>
      <c r="M299" s="46">
        <v>21.2</v>
      </c>
      <c r="N299" s="46">
        <v>2.7</v>
      </c>
      <c r="O299" s="15"/>
      <c r="P299" s="125">
        <f t="shared" si="28"/>
        <v>36</v>
      </c>
      <c r="Q299" s="54" t="s">
        <v>288</v>
      </c>
      <c r="R299" s="48">
        <v>21.2</v>
      </c>
      <c r="S299" s="49">
        <v>2.7</v>
      </c>
      <c r="T299" s="50">
        <f t="shared" si="29"/>
        <v>0</v>
      </c>
      <c r="U299" s="9"/>
      <c r="V299" s="51">
        <v>36</v>
      </c>
      <c r="W299" s="51"/>
      <c r="X299" s="51"/>
      <c r="Y299" s="51"/>
      <c r="Z299" s="51"/>
      <c r="AA299" s="51"/>
      <c r="AB299" s="51"/>
      <c r="AC299" s="51"/>
      <c r="AD299" s="51"/>
      <c r="AE299" s="51"/>
      <c r="AF299" s="51"/>
      <c r="AG299" s="51"/>
      <c r="AH299" s="51"/>
      <c r="AI299" s="51"/>
      <c r="AJ299" s="51"/>
      <c r="AK299" s="51"/>
      <c r="AL299" s="51"/>
      <c r="AM299" s="51"/>
      <c r="AN299" s="51"/>
      <c r="AO299" s="51"/>
      <c r="AP299" s="51"/>
      <c r="AQ299" s="51"/>
      <c r="AR299" s="51"/>
      <c r="AS299" s="51"/>
      <c r="AT299" s="51"/>
      <c r="AU299" s="51"/>
      <c r="AV299" s="51"/>
      <c r="AW299" s="51"/>
      <c r="AX299" s="51"/>
      <c r="AY299" s="51"/>
      <c r="AZ299" s="51"/>
      <c r="BA299" s="51"/>
      <c r="BB299" s="51"/>
      <c r="BC299" s="51"/>
      <c r="BD299" s="51"/>
      <c r="BE299" s="51"/>
      <c r="BF299" s="51"/>
      <c r="BG299" s="51"/>
      <c r="BH299" s="51"/>
      <c r="BI299" s="51"/>
      <c r="BJ299" s="51"/>
      <c r="BK299" s="51"/>
      <c r="BL299" s="51"/>
      <c r="BM299" s="51"/>
      <c r="BN299" s="51"/>
      <c r="BO299" s="51"/>
      <c r="BP299" s="51"/>
      <c r="BQ299" s="51"/>
      <c r="BR299" s="9">
        <f t="shared" si="22"/>
        <v>1</v>
      </c>
      <c r="BS299" s="9"/>
      <c r="BT299" s="53" t="str">
        <f t="shared" si="23"/>
        <v>Northwest Africa 11886</v>
      </c>
      <c r="BU299" s="25" t="s">
        <v>230</v>
      </c>
    </row>
    <row r="300" spans="1:73" s="8" customFormat="1" ht="12.75" customHeight="1" x14ac:dyDescent="0.25">
      <c r="A300"/>
      <c r="B300" s="243" t="s">
        <v>28</v>
      </c>
      <c r="C300" s="230" t="s">
        <v>29</v>
      </c>
      <c r="D300" s="231"/>
      <c r="E300" s="231"/>
      <c r="F300" s="232"/>
      <c r="G300" s="241" t="s">
        <v>282</v>
      </c>
      <c r="H300" s="219" t="s">
        <v>249</v>
      </c>
      <c r="I300" s="220"/>
      <c r="J300" s="241" t="s">
        <v>30</v>
      </c>
      <c r="K300" s="219" t="s">
        <v>31</v>
      </c>
      <c r="L300" s="220"/>
      <c r="M300" s="223" t="s">
        <v>245</v>
      </c>
      <c r="N300" s="225" t="s">
        <v>32</v>
      </c>
      <c r="O300" s="15"/>
      <c r="P300" s="127"/>
      <c r="Q300" s="15"/>
      <c r="R300" s="15"/>
      <c r="S300" s="15"/>
      <c r="T300" s="50"/>
      <c r="U300" s="9"/>
      <c r="V300" s="57"/>
      <c r="W300" s="57"/>
      <c r="X300" s="57"/>
      <c r="Y300" s="57"/>
      <c r="Z300" s="57"/>
      <c r="AA300" s="57"/>
      <c r="AB300" s="57"/>
      <c r="AC300" s="57"/>
      <c r="AD300" s="57"/>
      <c r="AE300" s="57"/>
      <c r="AF300" s="57"/>
      <c r="AG300" s="57"/>
      <c r="AH300" s="57"/>
      <c r="AI300" s="57"/>
      <c r="AJ300" s="57"/>
      <c r="AK300" s="57"/>
      <c r="AL300" s="57"/>
      <c r="AM300" s="57"/>
      <c r="AN300" s="57"/>
      <c r="AO300" s="57"/>
      <c r="AP300" s="57"/>
      <c r="AQ300" s="57"/>
      <c r="AR300" s="57"/>
      <c r="AS300" s="57"/>
      <c r="AT300" s="57"/>
      <c r="AU300" s="57"/>
      <c r="AV300" s="57"/>
      <c r="AW300" s="57"/>
      <c r="AX300" s="57"/>
      <c r="AY300" s="57"/>
      <c r="AZ300" s="57"/>
      <c r="BA300" s="57"/>
      <c r="BB300" s="57"/>
      <c r="BC300" s="57"/>
      <c r="BD300" s="57"/>
      <c r="BE300" s="57"/>
      <c r="BF300" s="57"/>
      <c r="BG300" s="57"/>
      <c r="BH300" s="57"/>
      <c r="BI300" s="57"/>
      <c r="BJ300" s="57"/>
      <c r="BK300" s="57"/>
      <c r="BL300" s="57"/>
      <c r="BM300" s="57"/>
      <c r="BN300" s="57"/>
      <c r="BO300" s="57"/>
      <c r="BP300" s="57"/>
      <c r="BQ300" s="57"/>
      <c r="BR300" s="9"/>
      <c r="BS300" s="9"/>
      <c r="BT300" s="53"/>
      <c r="BU300" s="25"/>
    </row>
    <row r="301" spans="1:73" s="8" customFormat="1" ht="12.75" customHeight="1" x14ac:dyDescent="0.25">
      <c r="A301"/>
      <c r="B301" s="229"/>
      <c r="C301" s="233"/>
      <c r="D301" s="234"/>
      <c r="E301" s="234"/>
      <c r="F301" s="235"/>
      <c r="G301" s="242"/>
      <c r="H301" s="221"/>
      <c r="I301" s="222"/>
      <c r="J301" s="242"/>
      <c r="K301" s="221"/>
      <c r="L301" s="222"/>
      <c r="M301" s="224"/>
      <c r="N301" s="226"/>
      <c r="O301" s="15"/>
      <c r="P301" s="127"/>
      <c r="Q301" s="15"/>
      <c r="R301" s="15"/>
      <c r="S301" s="15"/>
      <c r="T301" s="50"/>
      <c r="U301" s="9"/>
      <c r="V301" s="57"/>
      <c r="W301" s="57"/>
      <c r="X301" s="57"/>
      <c r="Y301" s="57"/>
      <c r="Z301" s="57"/>
      <c r="AA301" s="57"/>
      <c r="AB301" s="57"/>
      <c r="AC301" s="57"/>
      <c r="AD301" s="57"/>
      <c r="AE301" s="57"/>
      <c r="AF301" s="57"/>
      <c r="AG301" s="57"/>
      <c r="AH301" s="57"/>
      <c r="AI301" s="57"/>
      <c r="AJ301" s="57"/>
      <c r="AK301" s="57"/>
      <c r="AL301" s="57"/>
      <c r="AM301" s="57"/>
      <c r="AN301" s="57"/>
      <c r="AO301" s="57"/>
      <c r="AP301" s="57"/>
      <c r="AQ301" s="57"/>
      <c r="AR301" s="57"/>
      <c r="AS301" s="57"/>
      <c r="AT301" s="57"/>
      <c r="AU301" s="57"/>
      <c r="AV301" s="57"/>
      <c r="AW301" s="57"/>
      <c r="AX301" s="57"/>
      <c r="AY301" s="57"/>
      <c r="AZ301" s="57"/>
      <c r="BA301" s="57"/>
      <c r="BB301" s="57"/>
      <c r="BC301" s="57"/>
      <c r="BD301" s="57"/>
      <c r="BE301" s="57"/>
      <c r="BF301" s="57"/>
      <c r="BG301" s="57"/>
      <c r="BH301" s="57"/>
      <c r="BI301" s="57"/>
      <c r="BJ301" s="57"/>
      <c r="BK301" s="57"/>
      <c r="BL301" s="57"/>
      <c r="BM301" s="57"/>
      <c r="BN301" s="57"/>
      <c r="BO301" s="57"/>
      <c r="BP301" s="57"/>
      <c r="BQ301" s="57"/>
      <c r="BR301" s="9"/>
      <c r="BS301" s="9"/>
      <c r="BT301" s="53"/>
      <c r="BU301" s="25"/>
    </row>
    <row r="302" spans="1:73" s="19" customFormat="1" ht="12.75" customHeight="1" x14ac:dyDescent="0.25">
      <c r="A302"/>
      <c r="B302" s="263" t="s">
        <v>87</v>
      </c>
      <c r="C302" s="264"/>
      <c r="D302" s="264"/>
      <c r="E302" s="264"/>
      <c r="F302" s="264"/>
      <c r="G302" s="264"/>
      <c r="H302" s="264"/>
      <c r="I302" s="264"/>
      <c r="J302" s="264"/>
      <c r="K302" s="264"/>
      <c r="L302" s="264"/>
      <c r="M302" s="264"/>
      <c r="N302" s="264"/>
      <c r="O302" s="15"/>
      <c r="P302" s="127"/>
      <c r="Q302" s="15"/>
      <c r="R302" s="15"/>
      <c r="S302" s="15"/>
      <c r="T302" s="50"/>
      <c r="U302" s="9"/>
      <c r="V302" s="9"/>
      <c r="W302" s="9"/>
      <c r="X302" s="9"/>
      <c r="Y302" s="9"/>
      <c r="Z302" s="9"/>
      <c r="AA302" s="9"/>
      <c r="AB302" s="9"/>
      <c r="AC302" s="9"/>
      <c r="AD302" s="9"/>
      <c r="AE302" s="9"/>
      <c r="AF302" s="9"/>
      <c r="AG302" s="9"/>
      <c r="AH302" s="9"/>
      <c r="AI302" s="9"/>
      <c r="AJ302" s="9"/>
      <c r="AK302" s="9"/>
      <c r="AL302" s="9"/>
      <c r="AM302" s="9"/>
      <c r="AN302" s="9"/>
      <c r="AO302" s="9"/>
      <c r="AP302" s="9"/>
      <c r="AQ302" s="9"/>
      <c r="AR302" s="9"/>
      <c r="AS302" s="9"/>
      <c r="AT302" s="9"/>
      <c r="AU302" s="9"/>
      <c r="AV302" s="9"/>
      <c r="AW302" s="9"/>
      <c r="AX302" s="9"/>
      <c r="AY302" s="9"/>
      <c r="AZ302" s="9"/>
      <c r="BA302" s="9"/>
      <c r="BB302" s="9"/>
      <c r="BC302" s="9"/>
      <c r="BD302" s="9"/>
      <c r="BE302" s="9"/>
      <c r="BF302" s="9"/>
      <c r="BG302" s="9"/>
      <c r="BH302" s="9"/>
      <c r="BI302" s="9"/>
      <c r="BJ302" s="9"/>
      <c r="BK302" s="9"/>
      <c r="BL302" s="9"/>
      <c r="BM302" s="9"/>
      <c r="BN302" s="9"/>
      <c r="BO302" s="9"/>
      <c r="BP302" s="9"/>
      <c r="BQ302" s="9"/>
      <c r="BR302" s="9"/>
      <c r="BS302" s="9"/>
      <c r="BT302" s="53"/>
      <c r="BU302" s="25"/>
    </row>
    <row r="303" spans="1:73" s="8" customFormat="1" ht="12.75" customHeight="1" x14ac:dyDescent="0.25">
      <c r="A303"/>
      <c r="B303" s="115">
        <f>B299+1</f>
        <v>135</v>
      </c>
      <c r="C303" s="337" t="str">
        <f>HYPERLINK("https://sites.wustl.edu/meteoritesite/items/lm_nwa_04898/",Q303)</f>
        <v>Northwest Africa 4898</v>
      </c>
      <c r="D303" s="337"/>
      <c r="E303" s="337"/>
      <c r="F303" s="337"/>
      <c r="G303" s="92">
        <v>2007</v>
      </c>
      <c r="H303" s="240" t="s">
        <v>545</v>
      </c>
      <c r="I303" s="240"/>
      <c r="J303" s="92">
        <v>137</v>
      </c>
      <c r="K303" s="207" t="s">
        <v>39</v>
      </c>
      <c r="L303" s="207"/>
      <c r="M303" s="47">
        <v>17.2</v>
      </c>
      <c r="N303" s="47">
        <v>0.4</v>
      </c>
      <c r="O303" s="15"/>
      <c r="P303" s="125">
        <f>SUM(V303:BQ303)</f>
        <v>137</v>
      </c>
      <c r="Q303" s="54" t="s">
        <v>144</v>
      </c>
      <c r="R303" s="48">
        <v>17.2</v>
      </c>
      <c r="S303" s="49">
        <v>0.4</v>
      </c>
      <c r="T303" s="50">
        <f t="shared" ref="T303:T313" si="31">J303-P303</f>
        <v>0</v>
      </c>
      <c r="U303" s="9"/>
      <c r="V303" s="51">
        <v>137</v>
      </c>
      <c r="W303" s="51"/>
      <c r="X303" s="51"/>
      <c r="Y303" s="51"/>
      <c r="Z303" s="51"/>
      <c r="AA303" s="51"/>
      <c r="AB303" s="51"/>
      <c r="AC303" s="51"/>
      <c r="AD303" s="51"/>
      <c r="AE303" s="51"/>
      <c r="AF303" s="51"/>
      <c r="AG303" s="51"/>
      <c r="AH303" s="51"/>
      <c r="AI303" s="51"/>
      <c r="AJ303" s="51"/>
      <c r="AK303" s="51"/>
      <c r="AL303" s="51"/>
      <c r="AM303" s="51"/>
      <c r="AN303" s="51"/>
      <c r="AO303" s="51"/>
      <c r="AP303" s="51"/>
      <c r="AQ303" s="51"/>
      <c r="AR303" s="51"/>
      <c r="AS303" s="51"/>
      <c r="AT303" s="51"/>
      <c r="AU303" s="51"/>
      <c r="AV303" s="51"/>
      <c r="AW303" s="51"/>
      <c r="AX303" s="51"/>
      <c r="AY303" s="51"/>
      <c r="AZ303" s="51"/>
      <c r="BA303" s="51"/>
      <c r="BB303" s="51"/>
      <c r="BC303" s="51"/>
      <c r="BD303" s="51"/>
      <c r="BE303" s="51"/>
      <c r="BF303" s="51"/>
      <c r="BG303" s="51"/>
      <c r="BH303" s="51"/>
      <c r="BI303" s="51"/>
      <c r="BJ303" s="51"/>
      <c r="BK303" s="51"/>
      <c r="BL303" s="51"/>
      <c r="BM303" s="51"/>
      <c r="BN303" s="51"/>
      <c r="BO303" s="51"/>
      <c r="BP303" s="51"/>
      <c r="BQ303" s="51"/>
      <c r="BR303" s="9">
        <f t="shared" si="22"/>
        <v>1</v>
      </c>
      <c r="BS303" s="9"/>
      <c r="BT303" s="53" t="str">
        <f t="shared" si="23"/>
        <v>Northwest Africa 4898</v>
      </c>
      <c r="BU303" s="25" t="s">
        <v>230</v>
      </c>
    </row>
    <row r="304" spans="1:73" s="8" customFormat="1" ht="12.75" customHeight="1" x14ac:dyDescent="0.25">
      <c r="A304"/>
      <c r="B304" s="115">
        <f>B303+1</f>
        <v>136</v>
      </c>
      <c r="C304" s="337" t="str">
        <f>HYPERLINK("https://sites.wustl.edu/meteoritesite/items/lm_nwa_12008/",Q304)</f>
        <v>Northwest Africa 12008</v>
      </c>
      <c r="D304" s="337"/>
      <c r="E304" s="337"/>
      <c r="F304" s="337"/>
      <c r="G304" s="7">
        <v>2018</v>
      </c>
      <c r="H304" s="240" t="s">
        <v>545</v>
      </c>
      <c r="I304" s="240"/>
      <c r="J304" s="92">
        <v>577</v>
      </c>
      <c r="K304" s="207" t="s">
        <v>35</v>
      </c>
      <c r="L304" s="207"/>
      <c r="M304" s="68">
        <v>22.7</v>
      </c>
      <c r="N304" s="68">
        <v>1.8</v>
      </c>
      <c r="O304" s="15"/>
      <c r="P304" s="125">
        <f>SUM(V304:BQ304)</f>
        <v>577</v>
      </c>
      <c r="Q304" s="54" t="s">
        <v>290</v>
      </c>
      <c r="R304" s="48">
        <v>22.7</v>
      </c>
      <c r="S304" s="48">
        <v>1.8</v>
      </c>
      <c r="T304" s="50">
        <f t="shared" si="31"/>
        <v>0</v>
      </c>
      <c r="U304" s="9"/>
      <c r="V304" s="51">
        <v>577</v>
      </c>
      <c r="W304" s="51"/>
      <c r="X304" s="51"/>
      <c r="Y304" s="52"/>
      <c r="Z304" s="51"/>
      <c r="AA304" s="51"/>
      <c r="AB304" s="51"/>
      <c r="AC304" s="51"/>
      <c r="AD304" s="51"/>
      <c r="AE304" s="51"/>
      <c r="AF304" s="51"/>
      <c r="AG304" s="51"/>
      <c r="AH304" s="51"/>
      <c r="AI304" s="51"/>
      <c r="AJ304" s="51"/>
      <c r="AK304" s="51"/>
      <c r="AL304" s="51"/>
      <c r="AM304" s="51"/>
      <c r="AN304" s="51"/>
      <c r="AO304" s="51"/>
      <c r="AP304" s="51"/>
      <c r="AQ304" s="51"/>
      <c r="AR304" s="51"/>
      <c r="AS304" s="51"/>
      <c r="AT304" s="51"/>
      <c r="AU304" s="51"/>
      <c r="AV304" s="51"/>
      <c r="AW304" s="51"/>
      <c r="AX304" s="51"/>
      <c r="AY304" s="51"/>
      <c r="AZ304" s="51"/>
      <c r="BA304" s="51"/>
      <c r="BB304" s="51"/>
      <c r="BC304" s="51"/>
      <c r="BD304" s="51"/>
      <c r="BE304" s="51"/>
      <c r="BF304" s="51"/>
      <c r="BG304" s="51"/>
      <c r="BH304" s="51"/>
      <c r="BI304" s="51"/>
      <c r="BJ304" s="51"/>
      <c r="BK304" s="51"/>
      <c r="BL304" s="51"/>
      <c r="BM304" s="51"/>
      <c r="BN304" s="51"/>
      <c r="BO304" s="51"/>
      <c r="BP304" s="51"/>
      <c r="BQ304" s="51"/>
      <c r="BR304" s="9">
        <f t="shared" si="22"/>
        <v>1</v>
      </c>
      <c r="BS304" s="9"/>
      <c r="BT304" s="53" t="str">
        <f t="shared" si="23"/>
        <v>Northwest Africa 12008</v>
      </c>
      <c r="BU304" s="25"/>
    </row>
    <row r="305" spans="1:73" s="8" customFormat="1" ht="12.75" customHeight="1" x14ac:dyDescent="0.25">
      <c r="A305"/>
      <c r="B305" s="115">
        <f t="shared" ref="B305:B314" si="32">B304+1</f>
        <v>137</v>
      </c>
      <c r="C305" s="337" t="str">
        <f>HYPERLINK("https://sites.wustl.edu/meteoritesite/items/lap_02205/",Q305)</f>
        <v>LaPaz Icefield 02205/ 02224/ 02226/ 02436/ 03632/ 04841</v>
      </c>
      <c r="D305" s="337"/>
      <c r="E305" s="337"/>
      <c r="F305" s="337"/>
      <c r="G305" s="92" t="s">
        <v>76</v>
      </c>
      <c r="H305" s="240" t="s">
        <v>545</v>
      </c>
      <c r="I305" s="240"/>
      <c r="J305" s="5">
        <v>1930.4279999999999</v>
      </c>
      <c r="K305" s="287" t="s">
        <v>42</v>
      </c>
      <c r="L305" s="287"/>
      <c r="M305" s="47">
        <v>22.5</v>
      </c>
      <c r="N305" s="47">
        <v>2.2000000000000002</v>
      </c>
      <c r="O305" s="15"/>
      <c r="P305" s="125">
        <f>SUM(V305:BQ305)</f>
        <v>1930.4279999999999</v>
      </c>
      <c r="Q305" s="54" t="s">
        <v>279</v>
      </c>
      <c r="R305" s="48">
        <v>22.5</v>
      </c>
      <c r="S305" s="49">
        <v>2.2000000000000002</v>
      </c>
      <c r="T305" s="50">
        <f t="shared" si="31"/>
        <v>0</v>
      </c>
      <c r="U305" s="9"/>
      <c r="V305" s="51">
        <v>1226.3</v>
      </c>
      <c r="W305" s="51">
        <v>252.5</v>
      </c>
      <c r="X305" s="51">
        <v>244.1</v>
      </c>
      <c r="Y305" s="52">
        <v>58.97</v>
      </c>
      <c r="Z305" s="51">
        <v>92.566000000000003</v>
      </c>
      <c r="AA305" s="51">
        <v>55.991999999999997</v>
      </c>
      <c r="AB305" s="51"/>
      <c r="AC305" s="51"/>
      <c r="AD305" s="51"/>
      <c r="AE305" s="51"/>
      <c r="AF305" s="51"/>
      <c r="AG305" s="51"/>
      <c r="AH305" s="51"/>
      <c r="AI305" s="51"/>
      <c r="AJ305" s="51"/>
      <c r="AK305" s="51"/>
      <c r="AL305" s="51"/>
      <c r="AM305" s="51"/>
      <c r="AN305" s="51"/>
      <c r="AO305" s="51"/>
      <c r="AP305" s="51"/>
      <c r="AQ305" s="51"/>
      <c r="AR305" s="51"/>
      <c r="AS305" s="51"/>
      <c r="AT305" s="51"/>
      <c r="AU305" s="51"/>
      <c r="AV305" s="51"/>
      <c r="AW305" s="51"/>
      <c r="AX305" s="51"/>
      <c r="AY305" s="51"/>
      <c r="AZ305" s="51"/>
      <c r="BA305" s="51"/>
      <c r="BB305" s="51"/>
      <c r="BC305" s="51"/>
      <c r="BD305" s="51"/>
      <c r="BE305" s="51"/>
      <c r="BF305" s="51"/>
      <c r="BG305" s="51"/>
      <c r="BH305" s="51"/>
      <c r="BI305" s="51"/>
      <c r="BJ305" s="51"/>
      <c r="BK305" s="51"/>
      <c r="BL305" s="51"/>
      <c r="BM305" s="51"/>
      <c r="BN305" s="51"/>
      <c r="BO305" s="51"/>
      <c r="BP305" s="51"/>
      <c r="BQ305" s="51"/>
      <c r="BR305" s="9">
        <f t="shared" si="22"/>
        <v>6</v>
      </c>
      <c r="BS305" s="9"/>
      <c r="BT305" s="53" t="str">
        <f t="shared" si="23"/>
        <v>LaPaz Icefield 02205/ 02224/ 02226/ 02436/ 03632/ 04841</v>
      </c>
      <c r="BU305" s="25" t="s">
        <v>230</v>
      </c>
    </row>
    <row r="306" spans="1:73" s="8" customFormat="1" ht="12.75" customHeight="1" x14ac:dyDescent="0.25">
      <c r="A306"/>
      <c r="B306" s="115">
        <f t="shared" si="32"/>
        <v>138</v>
      </c>
      <c r="C306" s="337" t="str">
        <f>HYPERLINK("https://sites.wustl.edu/meteoritesite/items/lm_nwa_04734-10597/",Q306)</f>
        <v>Northwest Africa 4734/ 10597</v>
      </c>
      <c r="D306" s="337"/>
      <c r="E306" s="337"/>
      <c r="F306" s="337"/>
      <c r="G306" s="92" t="s">
        <v>198</v>
      </c>
      <c r="H306" s="240" t="s">
        <v>545</v>
      </c>
      <c r="I306" s="240"/>
      <c r="J306" s="92">
        <v>1722</v>
      </c>
      <c r="K306" s="207" t="s">
        <v>35</v>
      </c>
      <c r="L306" s="207"/>
      <c r="M306" s="47">
        <v>21.9</v>
      </c>
      <c r="N306" s="47">
        <v>1.9</v>
      </c>
      <c r="O306" s="15"/>
      <c r="P306" s="125">
        <f t="shared" ref="P306:P311" si="33">SUM(V306:BQ306)</f>
        <v>1722</v>
      </c>
      <c r="Q306" s="54" t="s">
        <v>280</v>
      </c>
      <c r="R306" s="48">
        <v>21.9</v>
      </c>
      <c r="S306" s="49">
        <v>1.9</v>
      </c>
      <c r="T306" s="50">
        <f t="shared" si="31"/>
        <v>0</v>
      </c>
      <c r="U306" s="9"/>
      <c r="V306" s="51">
        <f>477+895</f>
        <v>1372</v>
      </c>
      <c r="W306" s="51">
        <v>350</v>
      </c>
      <c r="X306" s="51"/>
      <c r="Y306" s="51"/>
      <c r="Z306" s="51"/>
      <c r="AA306" s="51"/>
      <c r="AB306" s="51"/>
      <c r="AC306" s="51"/>
      <c r="AD306" s="51"/>
      <c r="AE306" s="51"/>
      <c r="AF306" s="51"/>
      <c r="AG306" s="51"/>
      <c r="AH306" s="51"/>
      <c r="AI306" s="51"/>
      <c r="AJ306" s="51"/>
      <c r="AK306" s="51"/>
      <c r="AL306" s="51"/>
      <c r="AM306" s="51"/>
      <c r="AN306" s="51"/>
      <c r="AO306" s="51"/>
      <c r="AP306" s="51"/>
      <c r="AQ306" s="51"/>
      <c r="AR306" s="51"/>
      <c r="AS306" s="51"/>
      <c r="AT306" s="51"/>
      <c r="AU306" s="51"/>
      <c r="AV306" s="51"/>
      <c r="AW306" s="51"/>
      <c r="AX306" s="51"/>
      <c r="AY306" s="51"/>
      <c r="AZ306" s="51"/>
      <c r="BA306" s="51"/>
      <c r="BB306" s="51"/>
      <c r="BC306" s="51"/>
      <c r="BD306" s="51"/>
      <c r="BE306" s="51"/>
      <c r="BF306" s="51"/>
      <c r="BG306" s="51"/>
      <c r="BH306" s="51"/>
      <c r="BI306" s="51"/>
      <c r="BJ306" s="51"/>
      <c r="BK306" s="51"/>
      <c r="BL306" s="51"/>
      <c r="BM306" s="51"/>
      <c r="BN306" s="51"/>
      <c r="BO306" s="51"/>
      <c r="BP306" s="51"/>
      <c r="BQ306" s="51"/>
      <c r="BR306" s="9">
        <f t="shared" si="22"/>
        <v>2</v>
      </c>
      <c r="BS306" s="9"/>
      <c r="BT306" s="53" t="str">
        <f t="shared" si="23"/>
        <v>Northwest Africa 4734/ 10597</v>
      </c>
      <c r="BU306" s="25" t="s">
        <v>230</v>
      </c>
    </row>
    <row r="307" spans="1:73" s="8" customFormat="1" ht="12.75" customHeight="1" x14ac:dyDescent="0.25">
      <c r="A307"/>
      <c r="B307" s="115">
        <f t="shared" si="32"/>
        <v>139</v>
      </c>
      <c r="C307" s="337" t="str">
        <f>HYPERLINK("https://sites.wustl.edu/meteoritesite/items/lm_nwa_793169/",Q307)</f>
        <v>Yamato 793169</v>
      </c>
      <c r="D307" s="337"/>
      <c r="E307" s="337"/>
      <c r="F307" s="337"/>
      <c r="G307" s="92">
        <v>1979</v>
      </c>
      <c r="H307" s="240" t="s">
        <v>545</v>
      </c>
      <c r="I307" s="240"/>
      <c r="J307" s="5">
        <v>6.1</v>
      </c>
      <c r="K307" s="287" t="s">
        <v>42</v>
      </c>
      <c r="L307" s="287"/>
      <c r="M307" s="47">
        <v>21.7</v>
      </c>
      <c r="N307" s="47">
        <v>0.7</v>
      </c>
      <c r="O307" s="15"/>
      <c r="P307" s="125">
        <f t="shared" si="33"/>
        <v>6.1</v>
      </c>
      <c r="Q307" s="54" t="s">
        <v>164</v>
      </c>
      <c r="R307" s="48">
        <v>21.7</v>
      </c>
      <c r="S307" s="49">
        <v>0.7</v>
      </c>
      <c r="T307" s="50">
        <f t="shared" si="31"/>
        <v>0</v>
      </c>
      <c r="U307" s="9"/>
      <c r="V307" s="51">
        <v>6.1</v>
      </c>
      <c r="W307" s="51"/>
      <c r="X307" s="51"/>
      <c r="Y307" s="52"/>
      <c r="Z307" s="51"/>
      <c r="AA307" s="51"/>
      <c r="AB307" s="51"/>
      <c r="AC307" s="51"/>
      <c r="AD307" s="51"/>
      <c r="AE307" s="51"/>
      <c r="AF307" s="51"/>
      <c r="AG307" s="51"/>
      <c r="AH307" s="51"/>
      <c r="AI307" s="51"/>
      <c r="AJ307" s="51"/>
      <c r="AK307" s="51"/>
      <c r="AL307" s="51"/>
      <c r="AM307" s="51"/>
      <c r="AN307" s="51"/>
      <c r="AO307" s="51"/>
      <c r="AP307" s="51"/>
      <c r="AQ307" s="51"/>
      <c r="AR307" s="51"/>
      <c r="AS307" s="51"/>
      <c r="AT307" s="51"/>
      <c r="AU307" s="51"/>
      <c r="AV307" s="51"/>
      <c r="AW307" s="51"/>
      <c r="AX307" s="51"/>
      <c r="AY307" s="51"/>
      <c r="AZ307" s="51"/>
      <c r="BA307" s="51"/>
      <c r="BB307" s="51"/>
      <c r="BC307" s="51"/>
      <c r="BD307" s="51"/>
      <c r="BE307" s="51"/>
      <c r="BF307" s="51"/>
      <c r="BG307" s="51"/>
      <c r="BH307" s="51"/>
      <c r="BI307" s="51"/>
      <c r="BJ307" s="51"/>
      <c r="BK307" s="51"/>
      <c r="BL307" s="51"/>
      <c r="BM307" s="51"/>
      <c r="BN307" s="51"/>
      <c r="BO307" s="51"/>
      <c r="BP307" s="51"/>
      <c r="BQ307" s="51"/>
      <c r="BR307" s="9">
        <f t="shared" si="22"/>
        <v>1</v>
      </c>
      <c r="BS307" s="9"/>
      <c r="BT307" s="53" t="str">
        <f t="shared" si="23"/>
        <v>Yamato 793169</v>
      </c>
      <c r="BU307" s="25" t="s">
        <v>230</v>
      </c>
    </row>
    <row r="308" spans="1:73" s="8" customFormat="1" ht="12.75" customHeight="1" x14ac:dyDescent="0.25">
      <c r="A308"/>
      <c r="B308" s="115">
        <f t="shared" si="32"/>
        <v>140</v>
      </c>
      <c r="C308" s="337" t="str">
        <f>HYPERLINK("https://sites.wustl.edu/meteoritesite/items/lm_nea_003/",Q308)</f>
        <v>Northeast Africa 003</v>
      </c>
      <c r="D308" s="337"/>
      <c r="E308" s="337"/>
      <c r="F308" s="337"/>
      <c r="G308" s="92" t="s">
        <v>78</v>
      </c>
      <c r="H308" s="240" t="s">
        <v>546</v>
      </c>
      <c r="I308" s="240"/>
      <c r="J308" s="92">
        <v>124</v>
      </c>
      <c r="K308" s="207" t="s">
        <v>50</v>
      </c>
      <c r="L308" s="207"/>
      <c r="M308" s="47" t="s">
        <v>84</v>
      </c>
      <c r="N308" s="47" t="s">
        <v>85</v>
      </c>
      <c r="O308" s="15"/>
      <c r="P308" s="125">
        <f>SUM(V308:BQ308)</f>
        <v>124</v>
      </c>
      <c r="Q308" s="54" t="s">
        <v>146</v>
      </c>
      <c r="R308" s="48" t="s">
        <v>84</v>
      </c>
      <c r="S308" s="49" t="s">
        <v>85</v>
      </c>
      <c r="T308" s="50">
        <f t="shared" si="31"/>
        <v>0</v>
      </c>
      <c r="U308" s="9"/>
      <c r="V308" s="51">
        <v>124</v>
      </c>
      <c r="W308" s="51"/>
      <c r="X308" s="51"/>
      <c r="Y308" s="51"/>
      <c r="Z308" s="51"/>
      <c r="AA308" s="51"/>
      <c r="AB308" s="51"/>
      <c r="AC308" s="51"/>
      <c r="AD308" s="51"/>
      <c r="AE308" s="51"/>
      <c r="AF308" s="51"/>
      <c r="AG308" s="51"/>
      <c r="AH308" s="51"/>
      <c r="AI308" s="51"/>
      <c r="AJ308" s="51"/>
      <c r="AK308" s="51"/>
      <c r="AL308" s="51"/>
      <c r="AM308" s="51"/>
      <c r="AN308" s="51"/>
      <c r="AO308" s="51"/>
      <c r="AP308" s="51"/>
      <c r="AQ308" s="51"/>
      <c r="AR308" s="51"/>
      <c r="AS308" s="51"/>
      <c r="AT308" s="51"/>
      <c r="AU308" s="51"/>
      <c r="AV308" s="51"/>
      <c r="AW308" s="51"/>
      <c r="AX308" s="51"/>
      <c r="AY308" s="51"/>
      <c r="AZ308" s="51"/>
      <c r="BA308" s="51"/>
      <c r="BB308" s="51"/>
      <c r="BC308" s="51"/>
      <c r="BD308" s="51"/>
      <c r="BE308" s="51"/>
      <c r="BF308" s="51"/>
      <c r="BG308" s="51"/>
      <c r="BH308" s="51"/>
      <c r="BI308" s="51"/>
      <c r="BJ308" s="51"/>
      <c r="BK308" s="51"/>
      <c r="BL308" s="51"/>
      <c r="BM308" s="51"/>
      <c r="BN308" s="51"/>
      <c r="BO308" s="51"/>
      <c r="BP308" s="51"/>
      <c r="BQ308" s="51"/>
      <c r="BR308" s="9">
        <f t="shared" si="22"/>
        <v>1</v>
      </c>
      <c r="BS308" s="9"/>
      <c r="BT308" s="53" t="str">
        <f t="shared" si="23"/>
        <v>Northeast Africa 003</v>
      </c>
      <c r="BU308" s="25" t="s">
        <v>230</v>
      </c>
    </row>
    <row r="309" spans="1:73" s="8" customFormat="1" ht="12.75" customHeight="1" x14ac:dyDescent="0.25">
      <c r="A309"/>
      <c r="B309" s="115">
        <f t="shared" si="32"/>
        <v>141</v>
      </c>
      <c r="C309" s="337" t="str">
        <f>HYPERLINK("https://sites.wustl.edu/meteoritesite/items/lm_dho_0287/",Q309)</f>
        <v>Dhofar 287</v>
      </c>
      <c r="D309" s="337"/>
      <c r="E309" s="337"/>
      <c r="F309" s="337"/>
      <c r="G309" s="92">
        <v>2001</v>
      </c>
      <c r="H309" s="240" t="s">
        <v>547</v>
      </c>
      <c r="I309" s="240"/>
      <c r="J309" s="92">
        <v>154</v>
      </c>
      <c r="K309" s="286" t="s">
        <v>37</v>
      </c>
      <c r="L309" s="286"/>
      <c r="M309" s="47" t="s">
        <v>82</v>
      </c>
      <c r="N309" s="47" t="s">
        <v>83</v>
      </c>
      <c r="O309" s="15"/>
      <c r="P309" s="125">
        <f t="shared" si="33"/>
        <v>154</v>
      </c>
      <c r="Q309" s="54" t="s">
        <v>154</v>
      </c>
      <c r="R309" s="48" t="s">
        <v>82</v>
      </c>
      <c r="S309" s="49" t="s">
        <v>83</v>
      </c>
      <c r="T309" s="50">
        <f t="shared" si="31"/>
        <v>0</v>
      </c>
      <c r="U309" s="9"/>
      <c r="V309" s="51">
        <v>154</v>
      </c>
      <c r="W309" s="51"/>
      <c r="X309" s="51"/>
      <c r="Y309" s="51"/>
      <c r="Z309" s="51"/>
      <c r="AA309" s="51"/>
      <c r="AB309" s="51"/>
      <c r="AC309" s="51"/>
      <c r="AD309" s="51"/>
      <c r="AE309" s="51"/>
      <c r="AF309" s="51"/>
      <c r="AG309" s="51"/>
      <c r="AH309" s="51"/>
      <c r="AI309" s="51"/>
      <c r="AJ309" s="51"/>
      <c r="AK309" s="51"/>
      <c r="AL309" s="51"/>
      <c r="AM309" s="51"/>
      <c r="AN309" s="51"/>
      <c r="AO309" s="51"/>
      <c r="AP309" s="51"/>
      <c r="AQ309" s="51"/>
      <c r="AR309" s="51"/>
      <c r="AS309" s="51"/>
      <c r="AT309" s="51"/>
      <c r="AU309" s="51"/>
      <c r="AV309" s="51"/>
      <c r="AW309" s="51"/>
      <c r="AX309" s="51"/>
      <c r="AY309" s="51"/>
      <c r="AZ309" s="51"/>
      <c r="BA309" s="51"/>
      <c r="BB309" s="51"/>
      <c r="BC309" s="51"/>
      <c r="BD309" s="51"/>
      <c r="BE309" s="51"/>
      <c r="BF309" s="51"/>
      <c r="BG309" s="51"/>
      <c r="BH309" s="51"/>
      <c r="BI309" s="51"/>
      <c r="BJ309" s="51"/>
      <c r="BK309" s="51"/>
      <c r="BL309" s="51"/>
      <c r="BM309" s="51"/>
      <c r="BN309" s="51"/>
      <c r="BO309" s="51"/>
      <c r="BP309" s="51"/>
      <c r="BQ309" s="51"/>
      <c r="BR309" s="9">
        <f t="shared" si="22"/>
        <v>1</v>
      </c>
      <c r="BS309" s="9"/>
      <c r="BT309" s="53" t="str">
        <f t="shared" si="23"/>
        <v>Dhofar 287</v>
      </c>
      <c r="BU309" s="25" t="s">
        <v>230</v>
      </c>
    </row>
    <row r="310" spans="1:73" s="8" customFormat="1" ht="12.75" customHeight="1" x14ac:dyDescent="0.25">
      <c r="A310"/>
      <c r="B310" s="115">
        <f t="shared" si="32"/>
        <v>142</v>
      </c>
      <c r="C310" s="337" t="str">
        <f>HYPERLINK("https://sites.wustl.edu/meteoritesite/items/lm_nwa_00032-479",Q310)</f>
        <v>Northwest Africa 032/ 479</v>
      </c>
      <c r="D310" s="337"/>
      <c r="E310" s="337"/>
      <c r="F310" s="337"/>
      <c r="G310" s="92" t="s">
        <v>77</v>
      </c>
      <c r="H310" s="240" t="s">
        <v>545</v>
      </c>
      <c r="I310" s="240"/>
      <c r="J310" s="92">
        <v>456</v>
      </c>
      <c r="K310" s="207" t="s">
        <v>35</v>
      </c>
      <c r="L310" s="207"/>
      <c r="M310" s="47">
        <v>22.4</v>
      </c>
      <c r="N310" s="47">
        <v>1.9</v>
      </c>
      <c r="O310" s="15"/>
      <c r="P310" s="125">
        <f t="shared" si="33"/>
        <v>456</v>
      </c>
      <c r="Q310" s="54" t="s">
        <v>281</v>
      </c>
      <c r="R310" s="48">
        <v>22.4</v>
      </c>
      <c r="S310" s="49">
        <v>1.9</v>
      </c>
      <c r="T310" s="50">
        <f t="shared" si="31"/>
        <v>0</v>
      </c>
      <c r="U310" s="9"/>
      <c r="V310" s="51">
        <v>300</v>
      </c>
      <c r="W310" s="51">
        <v>156</v>
      </c>
      <c r="X310" s="51"/>
      <c r="Y310" s="51"/>
      <c r="Z310" s="51"/>
      <c r="AA310" s="51"/>
      <c r="AB310" s="51"/>
      <c r="AC310" s="51"/>
      <c r="AD310" s="51"/>
      <c r="AE310" s="51"/>
      <c r="AF310" s="51"/>
      <c r="AG310" s="51"/>
      <c r="AH310" s="51"/>
      <c r="AI310" s="51"/>
      <c r="AJ310" s="51"/>
      <c r="AK310" s="51"/>
      <c r="AL310" s="51"/>
      <c r="AM310" s="51"/>
      <c r="AN310" s="51"/>
      <c r="AO310" s="51"/>
      <c r="AP310" s="51"/>
      <c r="AQ310" s="51"/>
      <c r="AR310" s="51"/>
      <c r="AS310" s="51"/>
      <c r="AT310" s="51"/>
      <c r="AU310" s="51"/>
      <c r="AV310" s="51"/>
      <c r="AW310" s="51"/>
      <c r="AX310" s="51"/>
      <c r="AY310" s="51"/>
      <c r="AZ310" s="51"/>
      <c r="BA310" s="51"/>
      <c r="BB310" s="51"/>
      <c r="BC310" s="51"/>
      <c r="BD310" s="51"/>
      <c r="BE310" s="51"/>
      <c r="BF310" s="51"/>
      <c r="BG310" s="51"/>
      <c r="BH310" s="51"/>
      <c r="BI310" s="51"/>
      <c r="BJ310" s="51"/>
      <c r="BK310" s="51"/>
      <c r="BL310" s="51"/>
      <c r="BM310" s="51"/>
      <c r="BN310" s="51"/>
      <c r="BO310" s="51"/>
      <c r="BP310" s="51"/>
      <c r="BQ310" s="51"/>
      <c r="BR310" s="9">
        <f t="shared" si="22"/>
        <v>2</v>
      </c>
      <c r="BS310" s="9"/>
      <c r="BT310" s="53" t="str">
        <f t="shared" si="23"/>
        <v>Northwest Africa 032/ 479</v>
      </c>
      <c r="BU310" s="25" t="s">
        <v>230</v>
      </c>
    </row>
    <row r="311" spans="1:73" s="8" customFormat="1" ht="12.75" customHeight="1" x14ac:dyDescent="0.25">
      <c r="A311"/>
      <c r="B311" s="115">
        <f t="shared" si="32"/>
        <v>143</v>
      </c>
      <c r="C311" s="337" t="str">
        <f>HYPERLINK("https://sites.wustl.edu/meteoritesite/items/lm_nwa_08632/",Q311)</f>
        <v>Northwest Africa 8632</v>
      </c>
      <c r="D311" s="337"/>
      <c r="E311" s="337"/>
      <c r="F311" s="337"/>
      <c r="G311" s="92">
        <v>2014</v>
      </c>
      <c r="H311" s="240" t="s">
        <v>545</v>
      </c>
      <c r="I311" s="240"/>
      <c r="J311" s="92">
        <v>23.8</v>
      </c>
      <c r="K311" s="207" t="s">
        <v>35</v>
      </c>
      <c r="L311" s="207"/>
      <c r="M311" s="47">
        <v>22.7</v>
      </c>
      <c r="N311" s="47">
        <v>1.2</v>
      </c>
      <c r="O311" s="15"/>
      <c r="P311" s="125">
        <f t="shared" si="33"/>
        <v>23.8</v>
      </c>
      <c r="Q311" s="54" t="s">
        <v>145</v>
      </c>
      <c r="R311" s="48">
        <v>22.7</v>
      </c>
      <c r="S311" s="49">
        <v>1.2</v>
      </c>
      <c r="T311" s="50">
        <f t="shared" si="31"/>
        <v>0</v>
      </c>
      <c r="U311" s="9"/>
      <c r="V311" s="51">
        <v>23.8</v>
      </c>
      <c r="W311" s="51"/>
      <c r="X311" s="51"/>
      <c r="Y311" s="51"/>
      <c r="Z311" s="51"/>
      <c r="AA311" s="51"/>
      <c r="AB311" s="51"/>
      <c r="AC311" s="51"/>
      <c r="AD311" s="51"/>
      <c r="AE311" s="51"/>
      <c r="AF311" s="51"/>
      <c r="AG311" s="51"/>
      <c r="AH311" s="51"/>
      <c r="AI311" s="51"/>
      <c r="AJ311" s="51"/>
      <c r="AK311" s="51"/>
      <c r="AL311" s="51"/>
      <c r="AM311" s="51"/>
      <c r="AN311" s="51"/>
      <c r="AO311" s="51"/>
      <c r="AP311" s="51"/>
      <c r="AQ311" s="51"/>
      <c r="AR311" s="51"/>
      <c r="AS311" s="51"/>
      <c r="AT311" s="51"/>
      <c r="AU311" s="51"/>
      <c r="AV311" s="51"/>
      <c r="AW311" s="51"/>
      <c r="AX311" s="51"/>
      <c r="AY311" s="51"/>
      <c r="AZ311" s="51"/>
      <c r="BA311" s="51"/>
      <c r="BB311" s="51"/>
      <c r="BC311" s="51"/>
      <c r="BD311" s="51"/>
      <c r="BE311" s="51"/>
      <c r="BF311" s="51"/>
      <c r="BG311" s="51"/>
      <c r="BH311" s="51"/>
      <c r="BI311" s="51"/>
      <c r="BJ311" s="51"/>
      <c r="BK311" s="51"/>
      <c r="BL311" s="51"/>
      <c r="BM311" s="51"/>
      <c r="BN311" s="51"/>
      <c r="BO311" s="51"/>
      <c r="BP311" s="51"/>
      <c r="BQ311" s="51"/>
      <c r="BR311" s="9">
        <f t="shared" si="22"/>
        <v>1</v>
      </c>
      <c r="BS311" s="9"/>
      <c r="BT311" s="53" t="str">
        <f t="shared" si="23"/>
        <v>Northwest Africa 8632</v>
      </c>
      <c r="BU311" s="25" t="s">
        <v>230</v>
      </c>
    </row>
    <row r="312" spans="1:73" s="8" customFormat="1" ht="12.75" customHeight="1" x14ac:dyDescent="0.25">
      <c r="A312"/>
      <c r="B312" s="115">
        <f t="shared" si="32"/>
        <v>144</v>
      </c>
      <c r="C312" s="337" t="str">
        <f>HYPERLINK("https://sites.wustl.edu/meteoritesite/items/lm_mil_05035",Q312)</f>
        <v>Miller Range 05035</v>
      </c>
      <c r="D312" s="337"/>
      <c r="E312" s="337"/>
      <c r="F312" s="337"/>
      <c r="G312" s="92">
        <v>2005</v>
      </c>
      <c r="H312" s="240" t="s">
        <v>548</v>
      </c>
      <c r="I312" s="240"/>
      <c r="J312" s="82">
        <v>142.21600000000001</v>
      </c>
      <c r="K312" s="287" t="s">
        <v>42</v>
      </c>
      <c r="L312" s="287"/>
      <c r="M312" s="47">
        <v>21.8</v>
      </c>
      <c r="N312" s="47">
        <v>0.5</v>
      </c>
      <c r="O312" s="15"/>
      <c r="P312" s="125">
        <f t="shared" ref="P312:P314" si="34">SUM(V312:BQ312)</f>
        <v>142.21600000000001</v>
      </c>
      <c r="Q312" s="54" t="s">
        <v>168</v>
      </c>
      <c r="R312" s="48">
        <v>21.8</v>
      </c>
      <c r="S312" s="49">
        <v>0.5</v>
      </c>
      <c r="T312" s="50">
        <f t="shared" si="31"/>
        <v>0</v>
      </c>
      <c r="U312" s="9"/>
      <c r="V312" s="51">
        <v>142.21600000000001</v>
      </c>
      <c r="W312" s="51"/>
      <c r="X312" s="51"/>
      <c r="Y312" s="52"/>
      <c r="Z312" s="51"/>
      <c r="AA312" s="51"/>
      <c r="AB312" s="51"/>
      <c r="AC312" s="51"/>
      <c r="AD312" s="51"/>
      <c r="AE312" s="51"/>
      <c r="AF312" s="51"/>
      <c r="AG312" s="51"/>
      <c r="AH312" s="51"/>
      <c r="AI312" s="51"/>
      <c r="AJ312" s="51"/>
      <c r="AK312" s="51"/>
      <c r="AL312" s="51"/>
      <c r="AM312" s="51"/>
      <c r="AN312" s="51"/>
      <c r="AO312" s="51"/>
      <c r="AP312" s="51"/>
      <c r="AQ312" s="51"/>
      <c r="AR312" s="51"/>
      <c r="AS312" s="51"/>
      <c r="AT312" s="51"/>
      <c r="AU312" s="51"/>
      <c r="AV312" s="51"/>
      <c r="AW312" s="51"/>
      <c r="AX312" s="51"/>
      <c r="AY312" s="51"/>
      <c r="AZ312" s="51"/>
      <c r="BA312" s="51"/>
      <c r="BB312" s="51"/>
      <c r="BC312" s="51"/>
      <c r="BD312" s="51"/>
      <c r="BE312" s="51"/>
      <c r="BF312" s="51"/>
      <c r="BG312" s="51"/>
      <c r="BH312" s="51"/>
      <c r="BI312" s="51"/>
      <c r="BJ312" s="51"/>
      <c r="BK312" s="51"/>
      <c r="BL312" s="51"/>
      <c r="BM312" s="51"/>
      <c r="BN312" s="51"/>
      <c r="BO312" s="51"/>
      <c r="BP312" s="51"/>
      <c r="BQ312" s="51"/>
      <c r="BR312" s="9">
        <f t="shared" si="22"/>
        <v>1</v>
      </c>
      <c r="BS312" s="9"/>
      <c r="BT312" s="53" t="str">
        <f t="shared" si="23"/>
        <v>Miller Range 05035</v>
      </c>
      <c r="BU312" s="25" t="s">
        <v>230</v>
      </c>
    </row>
    <row r="313" spans="1:73" s="8" customFormat="1" ht="12.75" customHeight="1" x14ac:dyDescent="0.25">
      <c r="A313"/>
      <c r="B313" s="115">
        <f t="shared" si="32"/>
        <v>145</v>
      </c>
      <c r="C313" s="337" t="str">
        <f>HYPERLINK("https://sites.wustl.edu/meteoritesite/items/lm_asuka_881757/",Q313)</f>
        <v>Asuka 881757</v>
      </c>
      <c r="D313" s="337"/>
      <c r="E313" s="337"/>
      <c r="F313" s="337"/>
      <c r="G313" s="92">
        <v>1988</v>
      </c>
      <c r="H313" s="240" t="s">
        <v>548</v>
      </c>
      <c r="I313" s="240"/>
      <c r="J313" s="83">
        <v>442</v>
      </c>
      <c r="K313" s="287" t="s">
        <v>42</v>
      </c>
      <c r="L313" s="287"/>
      <c r="M313" s="47">
        <v>22.5</v>
      </c>
      <c r="N313" s="47">
        <v>0.4</v>
      </c>
      <c r="O313" s="15"/>
      <c r="P313" s="125">
        <f t="shared" si="34"/>
        <v>442</v>
      </c>
      <c r="Q313" s="54" t="s">
        <v>182</v>
      </c>
      <c r="R313" s="48">
        <v>22.5</v>
      </c>
      <c r="S313" s="49">
        <v>0.4</v>
      </c>
      <c r="T313" s="50">
        <f t="shared" si="31"/>
        <v>0</v>
      </c>
      <c r="U313" s="9"/>
      <c r="V313" s="51">
        <v>442</v>
      </c>
      <c r="W313" s="51"/>
      <c r="X313" s="51"/>
      <c r="Y313" s="52"/>
      <c r="Z313" s="51"/>
      <c r="AA313" s="51"/>
      <c r="AB313" s="51"/>
      <c r="AC313" s="51"/>
      <c r="AD313" s="51"/>
      <c r="AE313" s="51"/>
      <c r="AF313" s="51"/>
      <c r="AG313" s="51"/>
      <c r="AH313" s="51"/>
      <c r="AI313" s="51"/>
      <c r="AJ313" s="51"/>
      <c r="AK313" s="51"/>
      <c r="AL313" s="51"/>
      <c r="AM313" s="51"/>
      <c r="AN313" s="51"/>
      <c r="AO313" s="51"/>
      <c r="AP313" s="51"/>
      <c r="AQ313" s="51"/>
      <c r="AR313" s="51"/>
      <c r="AS313" s="51"/>
      <c r="AT313" s="51"/>
      <c r="AU313" s="51"/>
      <c r="AV313" s="51"/>
      <c r="AW313" s="51"/>
      <c r="AX313" s="51"/>
      <c r="AY313" s="51"/>
      <c r="AZ313" s="51"/>
      <c r="BA313" s="51"/>
      <c r="BB313" s="51"/>
      <c r="BC313" s="51"/>
      <c r="BD313" s="51"/>
      <c r="BE313" s="51"/>
      <c r="BF313" s="51"/>
      <c r="BG313" s="51"/>
      <c r="BH313" s="51"/>
      <c r="BI313" s="51"/>
      <c r="BJ313" s="51"/>
      <c r="BK313" s="51"/>
      <c r="BL313" s="51"/>
      <c r="BM313" s="51"/>
      <c r="BN313" s="51"/>
      <c r="BO313" s="51"/>
      <c r="BP313" s="51"/>
      <c r="BQ313" s="51"/>
      <c r="BR313" s="9">
        <f t="shared" si="22"/>
        <v>1</v>
      </c>
      <c r="BS313" s="9"/>
      <c r="BT313" s="53" t="str">
        <f t="shared" si="23"/>
        <v>Asuka 881757</v>
      </c>
      <c r="BU313" s="25" t="s">
        <v>230</v>
      </c>
    </row>
    <row r="314" spans="1:73" s="8" customFormat="1" ht="12.75" customHeight="1" x14ac:dyDescent="0.25">
      <c r="A314"/>
      <c r="B314" s="115">
        <f t="shared" si="32"/>
        <v>146</v>
      </c>
      <c r="C314" s="337" t="str">
        <f>HYPERLINK("https://sites.wustl.edu/meteoritesite/items/lm_rf_532/",Q314)</f>
        <v>Ramlat Fasad 532/ 535</v>
      </c>
      <c r="D314" s="337"/>
      <c r="E314" s="337"/>
      <c r="F314" s="337"/>
      <c r="G314" s="92" t="s">
        <v>506</v>
      </c>
      <c r="H314" s="240" t="s">
        <v>548</v>
      </c>
      <c r="I314" s="240"/>
      <c r="J314" s="82">
        <v>361.41300000000001</v>
      </c>
      <c r="K314" s="286" t="s">
        <v>37</v>
      </c>
      <c r="L314" s="286"/>
      <c r="M314" s="47">
        <v>20.8</v>
      </c>
      <c r="N314" s="47">
        <v>0.5</v>
      </c>
      <c r="O314" s="15"/>
      <c r="P314" s="125">
        <f t="shared" si="34"/>
        <v>361.41300000000001</v>
      </c>
      <c r="Q314" s="54" t="s">
        <v>769</v>
      </c>
      <c r="R314" s="48">
        <v>22.5</v>
      </c>
      <c r="S314" s="49">
        <v>0.4</v>
      </c>
      <c r="T314" s="50">
        <f t="shared" ref="T314" si="35">J314-P314</f>
        <v>0</v>
      </c>
      <c r="U314" s="9"/>
      <c r="V314" s="51">
        <v>245.202</v>
      </c>
      <c r="W314" s="51">
        <v>116.211</v>
      </c>
      <c r="X314" s="51"/>
      <c r="Y314" s="52"/>
      <c r="Z314" s="51"/>
      <c r="AA314" s="51"/>
      <c r="AB314" s="51"/>
      <c r="AC314" s="51"/>
      <c r="AD314" s="51"/>
      <c r="AE314" s="51"/>
      <c r="AF314" s="51"/>
      <c r="AG314" s="51"/>
      <c r="AH314" s="51"/>
      <c r="AI314" s="51"/>
      <c r="AJ314" s="51"/>
      <c r="AK314" s="51"/>
      <c r="AL314" s="51"/>
      <c r="AM314" s="51"/>
      <c r="AN314" s="51"/>
      <c r="AO314" s="51"/>
      <c r="AP314" s="51"/>
      <c r="AQ314" s="51"/>
      <c r="AR314" s="51"/>
      <c r="AS314" s="51"/>
      <c r="AT314" s="51"/>
      <c r="AU314" s="51"/>
      <c r="AV314" s="51"/>
      <c r="AW314" s="51"/>
      <c r="AX314" s="51"/>
      <c r="AY314" s="51"/>
      <c r="AZ314" s="51"/>
      <c r="BA314" s="51"/>
      <c r="BB314" s="51"/>
      <c r="BC314" s="51"/>
      <c r="BD314" s="51"/>
      <c r="BE314" s="51"/>
      <c r="BF314" s="51"/>
      <c r="BG314" s="51"/>
      <c r="BH314" s="51"/>
      <c r="BI314" s="51"/>
      <c r="BJ314" s="51"/>
      <c r="BK314" s="51"/>
      <c r="BL314" s="51"/>
      <c r="BM314" s="51"/>
      <c r="BN314" s="51"/>
      <c r="BO314" s="51"/>
      <c r="BP314" s="51"/>
      <c r="BQ314" s="51"/>
      <c r="BR314" s="9">
        <f t="shared" si="22"/>
        <v>2</v>
      </c>
      <c r="BS314" s="9"/>
      <c r="BT314" s="53" t="str">
        <f t="shared" si="23"/>
        <v>Ramlat Fasad 532/ 535</v>
      </c>
      <c r="BU314" s="25" t="s">
        <v>230</v>
      </c>
    </row>
    <row r="315" spans="1:73" s="1" customFormat="1" ht="12.75" customHeight="1" x14ac:dyDescent="0.25">
      <c r="A315"/>
      <c r="B315" s="243" t="s">
        <v>28</v>
      </c>
      <c r="C315" s="230" t="s">
        <v>29</v>
      </c>
      <c r="D315" s="231"/>
      <c r="E315" s="231"/>
      <c r="F315" s="232"/>
      <c r="G315" s="241" t="s">
        <v>282</v>
      </c>
      <c r="H315" s="219" t="s">
        <v>249</v>
      </c>
      <c r="I315" s="220"/>
      <c r="J315" s="241" t="s">
        <v>30</v>
      </c>
      <c r="K315" s="219" t="s">
        <v>31</v>
      </c>
      <c r="L315" s="220"/>
      <c r="M315" s="223" t="s">
        <v>245</v>
      </c>
      <c r="N315" s="225" t="s">
        <v>32</v>
      </c>
      <c r="O315" s="15"/>
      <c r="P315" s="127"/>
      <c r="Q315" s="15"/>
      <c r="R315" s="15"/>
      <c r="S315" s="15"/>
      <c r="T315" s="50"/>
      <c r="U315" s="9"/>
      <c r="V315" s="42"/>
      <c r="W315" s="42"/>
      <c r="X315" s="42"/>
      <c r="Y315" s="42"/>
      <c r="Z315" s="42"/>
      <c r="AA315" s="42"/>
      <c r="AB315" s="42"/>
      <c r="AC315" s="42"/>
      <c r="AD315" s="42"/>
      <c r="AE315" s="42"/>
      <c r="AF315" s="42"/>
      <c r="AG315" s="42"/>
      <c r="AH315" s="42"/>
      <c r="AI315" s="42"/>
      <c r="AJ315" s="42"/>
      <c r="AK315" s="42"/>
      <c r="AL315" s="42"/>
      <c r="AM315" s="42"/>
      <c r="AN315" s="42"/>
      <c r="AO315" s="42"/>
      <c r="AP315" s="42"/>
      <c r="AQ315" s="42"/>
      <c r="AR315" s="42"/>
      <c r="AS315" s="42"/>
      <c r="AT315" s="42"/>
      <c r="AU315" s="42"/>
      <c r="AV315" s="42"/>
      <c r="AW315" s="42"/>
      <c r="AX315" s="42"/>
      <c r="AY315" s="42"/>
      <c r="AZ315" s="42"/>
      <c r="BA315" s="42"/>
      <c r="BB315" s="42"/>
      <c r="BC315" s="42"/>
      <c r="BD315" s="42"/>
      <c r="BE315" s="42"/>
      <c r="BF315" s="42"/>
      <c r="BG315" s="42"/>
      <c r="BH315" s="42"/>
      <c r="BI315" s="42"/>
      <c r="BJ315" s="42"/>
      <c r="BK315" s="42"/>
      <c r="BL315" s="42"/>
      <c r="BM315" s="42"/>
      <c r="BN315" s="42"/>
      <c r="BO315" s="42"/>
      <c r="BP315" s="42"/>
      <c r="BQ315" s="42"/>
      <c r="BR315" s="9"/>
      <c r="BS315" s="42"/>
      <c r="BT315" s="53"/>
      <c r="BU315" s="25"/>
    </row>
    <row r="316" spans="1:73" s="1" customFormat="1" ht="12.75" customHeight="1" x14ac:dyDescent="0.25">
      <c r="A316"/>
      <c r="B316" s="229"/>
      <c r="C316" s="233"/>
      <c r="D316" s="234"/>
      <c r="E316" s="234"/>
      <c r="F316" s="235"/>
      <c r="G316" s="242"/>
      <c r="H316" s="221"/>
      <c r="I316" s="222"/>
      <c r="J316" s="242"/>
      <c r="K316" s="221"/>
      <c r="L316" s="222"/>
      <c r="M316" s="224"/>
      <c r="N316" s="226"/>
      <c r="O316" s="15"/>
      <c r="P316" s="127"/>
      <c r="Q316" s="15"/>
      <c r="R316" s="15"/>
      <c r="S316" s="15"/>
      <c r="T316" s="50"/>
      <c r="U316" s="9"/>
      <c r="V316" s="42"/>
      <c r="W316" s="42"/>
      <c r="X316" s="42"/>
      <c r="Y316" s="42"/>
      <c r="Z316" s="42"/>
      <c r="AA316" s="42"/>
      <c r="AB316" s="42"/>
      <c r="AC316" s="42"/>
      <c r="AD316" s="42"/>
      <c r="AE316" s="42"/>
      <c r="AF316" s="42"/>
      <c r="AG316" s="42"/>
      <c r="AH316" s="42"/>
      <c r="AI316" s="42"/>
      <c r="AJ316" s="42"/>
      <c r="AK316" s="42"/>
      <c r="AL316" s="42"/>
      <c r="AM316" s="42"/>
      <c r="AN316" s="42"/>
      <c r="AO316" s="42"/>
      <c r="AP316" s="42"/>
      <c r="AQ316" s="42"/>
      <c r="AR316" s="42"/>
      <c r="AS316" s="42"/>
      <c r="AT316" s="42"/>
      <c r="AU316" s="42"/>
      <c r="AV316" s="42"/>
      <c r="AW316" s="42"/>
      <c r="AX316" s="42"/>
      <c r="AY316" s="42"/>
      <c r="AZ316" s="42"/>
      <c r="BA316" s="42"/>
      <c r="BB316" s="42"/>
      <c r="BC316" s="42"/>
      <c r="BD316" s="42"/>
      <c r="BE316" s="42"/>
      <c r="BF316" s="42"/>
      <c r="BG316" s="42"/>
      <c r="BH316" s="42"/>
      <c r="BI316" s="42"/>
      <c r="BJ316" s="42"/>
      <c r="BK316" s="42"/>
      <c r="BL316" s="42"/>
      <c r="BM316" s="42"/>
      <c r="BN316" s="42"/>
      <c r="BO316" s="42"/>
      <c r="BP316" s="42"/>
      <c r="BQ316" s="42"/>
      <c r="BR316" s="9"/>
      <c r="BS316" s="42"/>
      <c r="BT316" s="53"/>
      <c r="BU316" s="25"/>
    </row>
    <row r="317" spans="1:73" s="1" customFormat="1" ht="12.75" customHeight="1" x14ac:dyDescent="0.25">
      <c r="A317"/>
      <c r="B317" s="263" t="s">
        <v>611</v>
      </c>
      <c r="C317" s="264"/>
      <c r="D317" s="264"/>
      <c r="E317" s="264"/>
      <c r="F317" s="264"/>
      <c r="G317" s="264"/>
      <c r="H317" s="264"/>
      <c r="I317" s="264"/>
      <c r="J317" s="264"/>
      <c r="K317" s="264"/>
      <c r="L317" s="264"/>
      <c r="M317" s="264"/>
      <c r="N317" s="264"/>
      <c r="O317" s="15"/>
      <c r="P317" s="127"/>
      <c r="Q317" s="15"/>
      <c r="R317" s="15"/>
      <c r="S317" s="15"/>
      <c r="T317" s="50"/>
      <c r="U317" s="9"/>
      <c r="V317" s="42"/>
      <c r="W317" s="42"/>
      <c r="X317" s="42"/>
      <c r="Y317" s="42"/>
      <c r="Z317" s="42"/>
      <c r="AA317" s="42"/>
      <c r="AB317" s="42"/>
      <c r="AC317" s="42"/>
      <c r="AD317" s="42"/>
      <c r="AE317" s="42"/>
      <c r="AF317" s="42"/>
      <c r="AG317" s="42"/>
      <c r="AH317" s="42"/>
      <c r="AI317" s="42"/>
      <c r="AJ317" s="42"/>
      <c r="AK317" s="42"/>
      <c r="AL317" s="42"/>
      <c r="AM317" s="42"/>
      <c r="AN317" s="42"/>
      <c r="AO317" s="42"/>
      <c r="AP317" s="42"/>
      <c r="AQ317" s="42"/>
      <c r="AR317" s="42"/>
      <c r="AS317" s="42"/>
      <c r="AT317" s="42"/>
      <c r="AU317" s="42"/>
      <c r="AV317" s="42"/>
      <c r="AW317" s="42"/>
      <c r="AX317" s="42"/>
      <c r="AY317" s="42"/>
      <c r="AZ317" s="42"/>
      <c r="BA317" s="42"/>
      <c r="BB317" s="42"/>
      <c r="BC317" s="42"/>
      <c r="BD317" s="42"/>
      <c r="BE317" s="42"/>
      <c r="BF317" s="42"/>
      <c r="BG317" s="42"/>
      <c r="BH317" s="42"/>
      <c r="BI317" s="42"/>
      <c r="BJ317" s="42"/>
      <c r="BK317" s="42"/>
      <c r="BL317" s="42"/>
      <c r="BM317" s="42"/>
      <c r="BN317" s="42"/>
      <c r="BO317" s="42"/>
      <c r="BP317" s="42"/>
      <c r="BQ317" s="42"/>
      <c r="BR317" s="9"/>
      <c r="BS317" s="42"/>
      <c r="BT317" s="53"/>
      <c r="BU317" s="25"/>
    </row>
    <row r="318" spans="1:73" ht="12.75" customHeight="1" x14ac:dyDescent="0.25">
      <c r="B318" s="23"/>
      <c r="C318" s="209" t="str">
        <f>HYPERLINK("https://sites.wustl.edu/meteoritesite/items/lm_adrar_012/",Q318)</f>
        <v>Adrar 012</v>
      </c>
      <c r="D318" s="210"/>
      <c r="E318" s="210"/>
      <c r="F318" s="211"/>
      <c r="G318" s="89">
        <v>2021</v>
      </c>
      <c r="H318" s="208" t="s">
        <v>41</v>
      </c>
      <c r="I318" s="208"/>
      <c r="J318" s="32">
        <v>941.3</v>
      </c>
      <c r="K318" s="207" t="s">
        <v>66</v>
      </c>
      <c r="L318" s="207"/>
      <c r="M318" s="32" t="s">
        <v>40</v>
      </c>
      <c r="N318" s="32" t="s">
        <v>40</v>
      </c>
      <c r="P318" s="125">
        <f t="shared" ref="P318" si="36">SUM(V318:BQ318)</f>
        <v>941.3</v>
      </c>
      <c r="Q318" s="54" t="s">
        <v>667</v>
      </c>
      <c r="R318" s="48"/>
      <c r="S318" s="49"/>
      <c r="T318" s="50">
        <f t="shared" ref="T318" si="37">J318-P318</f>
        <v>0</v>
      </c>
      <c r="V318" s="51">
        <v>941.3</v>
      </c>
      <c r="W318" s="51"/>
      <c r="X318" s="51"/>
      <c r="Y318" s="51"/>
      <c r="Z318" s="51"/>
      <c r="AA318" s="51"/>
      <c r="AB318" s="51"/>
      <c r="AC318" s="51"/>
      <c r="AD318" s="51"/>
      <c r="AE318" s="51"/>
      <c r="AF318" s="51"/>
      <c r="AG318" s="51"/>
      <c r="AH318" s="51"/>
      <c r="AI318" s="51"/>
      <c r="AJ318" s="51"/>
      <c r="AK318" s="51"/>
      <c r="AL318" s="51"/>
      <c r="AM318" s="51"/>
      <c r="AN318" s="51"/>
      <c r="AO318" s="51"/>
      <c r="AP318" s="51"/>
      <c r="AQ318" s="51"/>
      <c r="AR318" s="51"/>
      <c r="AS318" s="51"/>
      <c r="AT318" s="51"/>
      <c r="AU318" s="51"/>
      <c r="AV318" s="51"/>
      <c r="AW318" s="51"/>
      <c r="AX318" s="51"/>
      <c r="AY318" s="51"/>
      <c r="AZ318" s="51"/>
      <c r="BA318" s="51"/>
      <c r="BB318" s="51"/>
      <c r="BC318" s="51"/>
      <c r="BD318" s="51"/>
      <c r="BE318" s="51"/>
      <c r="BF318" s="51"/>
      <c r="BG318" s="51"/>
      <c r="BH318" s="51"/>
      <c r="BI318" s="51"/>
      <c r="BJ318" s="51"/>
      <c r="BK318" s="51"/>
      <c r="BL318" s="51"/>
      <c r="BM318" s="51"/>
      <c r="BN318" s="51"/>
      <c r="BO318" s="51"/>
      <c r="BP318" s="51"/>
      <c r="BQ318" s="51"/>
      <c r="BR318" s="9">
        <f t="shared" ref="BR318" si="38">COUNT(V318:BQ318)</f>
        <v>1</v>
      </c>
      <c r="BT318" s="53" t="str">
        <f t="shared" ref="BT318" si="39">Q318</f>
        <v>Adrar 012</v>
      </c>
      <c r="BU318" s="25"/>
    </row>
    <row r="319" spans="1:73" ht="12.75" customHeight="1" x14ac:dyDescent="0.25">
      <c r="B319" s="23"/>
      <c r="C319" s="209" t="str">
        <f>HYPERLINK("https://sites.wustl.edu/meteoritesite/items/lm_adrar_013/",Q319)</f>
        <v>Adrar 013/ 014</v>
      </c>
      <c r="D319" s="210"/>
      <c r="E319" s="210"/>
      <c r="F319" s="211"/>
      <c r="G319" s="89">
        <v>2023</v>
      </c>
      <c r="H319" s="208" t="s">
        <v>616</v>
      </c>
      <c r="I319" s="208"/>
      <c r="J319" s="33">
        <v>3362</v>
      </c>
      <c r="K319" s="207" t="s">
        <v>66</v>
      </c>
      <c r="L319" s="207"/>
      <c r="M319" s="32" t="s">
        <v>40</v>
      </c>
      <c r="N319" s="32" t="s">
        <v>40</v>
      </c>
      <c r="P319" s="125">
        <f t="shared" ref="P319:P320" si="40">SUM(V319:BQ319)</f>
        <v>3362</v>
      </c>
      <c r="Q319" s="54" t="s">
        <v>735</v>
      </c>
      <c r="R319" s="48"/>
      <c r="S319" s="49"/>
      <c r="T319" s="50">
        <f t="shared" ref="T319:T320" si="41">J319-P319</f>
        <v>0</v>
      </c>
      <c r="V319" s="51">
        <v>3150</v>
      </c>
      <c r="W319" s="51">
        <v>212</v>
      </c>
      <c r="X319" s="51"/>
      <c r="Y319" s="51"/>
      <c r="Z319" s="51"/>
      <c r="AA319" s="51"/>
      <c r="AB319" s="51"/>
      <c r="AC319" s="51"/>
      <c r="AD319" s="51"/>
      <c r="AE319" s="51"/>
      <c r="AF319" s="51"/>
      <c r="AG319" s="51"/>
      <c r="AH319" s="51"/>
      <c r="AI319" s="51"/>
      <c r="AJ319" s="51"/>
      <c r="AK319" s="51"/>
      <c r="AL319" s="51"/>
      <c r="AM319" s="51"/>
      <c r="AN319" s="51"/>
      <c r="AO319" s="51"/>
      <c r="AP319" s="51"/>
      <c r="AQ319" s="51"/>
      <c r="AR319" s="51"/>
      <c r="AS319" s="51"/>
      <c r="AT319" s="51"/>
      <c r="AU319" s="51"/>
      <c r="AV319" s="51"/>
      <c r="AW319" s="51"/>
      <c r="AX319" s="51"/>
      <c r="AY319" s="51"/>
      <c r="AZ319" s="51"/>
      <c r="BA319" s="51"/>
      <c r="BB319" s="51"/>
      <c r="BC319" s="51"/>
      <c r="BD319" s="51"/>
      <c r="BE319" s="51"/>
      <c r="BF319" s="51"/>
      <c r="BG319" s="51"/>
      <c r="BH319" s="51"/>
      <c r="BI319" s="51"/>
      <c r="BJ319" s="51"/>
      <c r="BK319" s="51"/>
      <c r="BL319" s="51"/>
      <c r="BM319" s="51"/>
      <c r="BN319" s="51"/>
      <c r="BO319" s="51"/>
      <c r="BP319" s="51"/>
      <c r="BQ319" s="51"/>
      <c r="BR319" s="9">
        <f t="shared" ref="BR319:BR320" si="42">COUNT(V319:BQ319)</f>
        <v>2</v>
      </c>
      <c r="BT319" s="53" t="str">
        <f t="shared" ref="BT319:BT320" si="43">Q319</f>
        <v>Adrar 013/ 014</v>
      </c>
      <c r="BU319" s="25"/>
    </row>
    <row r="320" spans="1:73" ht="12.75" customHeight="1" x14ac:dyDescent="0.25">
      <c r="B320" s="23"/>
      <c r="C320" s="209" t="str">
        <f>HYPERLINK("https://sites.wustl.edu/meteoritesite/items/lm_adrar_017/",Q320)</f>
        <v>Adrar 017</v>
      </c>
      <c r="D320" s="210"/>
      <c r="E320" s="210"/>
      <c r="F320" s="211"/>
      <c r="G320" s="89">
        <v>2025</v>
      </c>
      <c r="H320" s="208" t="s">
        <v>510</v>
      </c>
      <c r="I320" s="208"/>
      <c r="J320" s="31">
        <v>18200</v>
      </c>
      <c r="K320" s="207" t="s">
        <v>66</v>
      </c>
      <c r="L320" s="207"/>
      <c r="M320" s="32" t="s">
        <v>40</v>
      </c>
      <c r="N320" s="32" t="s">
        <v>40</v>
      </c>
      <c r="P320" s="125">
        <f t="shared" si="40"/>
        <v>18200</v>
      </c>
      <c r="Q320" s="54" t="s">
        <v>870</v>
      </c>
      <c r="R320" s="48"/>
      <c r="S320" s="49"/>
      <c r="T320" s="50">
        <f t="shared" si="41"/>
        <v>0</v>
      </c>
      <c r="V320" s="51">
        <v>18200</v>
      </c>
      <c r="W320" s="51"/>
      <c r="X320" s="51"/>
      <c r="Y320" s="51"/>
      <c r="Z320" s="51"/>
      <c r="AA320" s="51"/>
      <c r="AB320" s="51"/>
      <c r="AC320" s="51"/>
      <c r="AD320" s="51"/>
      <c r="AE320" s="51"/>
      <c r="AF320" s="51"/>
      <c r="AG320" s="51"/>
      <c r="AH320" s="51"/>
      <c r="AI320" s="51"/>
      <c r="AJ320" s="51"/>
      <c r="AK320" s="51"/>
      <c r="AL320" s="51"/>
      <c r="AM320" s="51"/>
      <c r="AN320" s="51"/>
      <c r="AO320" s="51"/>
      <c r="AP320" s="51"/>
      <c r="AQ320" s="51"/>
      <c r="AR320" s="51"/>
      <c r="AS320" s="51"/>
      <c r="AT320" s="51"/>
      <c r="AU320" s="51"/>
      <c r="AV320" s="51"/>
      <c r="AW320" s="51"/>
      <c r="AX320" s="51"/>
      <c r="AY320" s="51"/>
      <c r="AZ320" s="51"/>
      <c r="BA320" s="51"/>
      <c r="BB320" s="51"/>
      <c r="BC320" s="51"/>
      <c r="BD320" s="51"/>
      <c r="BE320" s="51"/>
      <c r="BF320" s="51"/>
      <c r="BG320" s="51"/>
      <c r="BH320" s="51"/>
      <c r="BI320" s="51"/>
      <c r="BJ320" s="51"/>
      <c r="BK320" s="51"/>
      <c r="BL320" s="51"/>
      <c r="BM320" s="51"/>
      <c r="BN320" s="51"/>
      <c r="BO320" s="51"/>
      <c r="BP320" s="51"/>
      <c r="BQ320" s="51"/>
      <c r="BR320" s="9">
        <f t="shared" si="42"/>
        <v>1</v>
      </c>
      <c r="BT320" s="53" t="str">
        <f t="shared" si="43"/>
        <v>Adrar 017</v>
      </c>
      <c r="BU320" s="25"/>
    </row>
    <row r="321" spans="2:73" ht="12.75" customHeight="1" x14ac:dyDescent="0.25">
      <c r="B321" s="23"/>
      <c r="C321" s="209" t="str">
        <f>HYPERLINK("https://sites.wustl.edu/meteoritesite/items/lm_aef_001/",Q321)</f>
        <v>Agator el Feroua 001</v>
      </c>
      <c r="D321" s="210"/>
      <c r="E321" s="210"/>
      <c r="F321" s="211"/>
      <c r="G321" s="89">
        <v>2022</v>
      </c>
      <c r="H321" s="240" t="s">
        <v>545</v>
      </c>
      <c r="I321" s="240"/>
      <c r="J321" s="33">
        <v>2187</v>
      </c>
      <c r="K321" s="207" t="s">
        <v>58</v>
      </c>
      <c r="L321" s="207"/>
      <c r="M321" s="32" t="s">
        <v>342</v>
      </c>
      <c r="N321" s="32" t="s">
        <v>40</v>
      </c>
      <c r="P321" s="125">
        <f t="shared" ref="P321:P325" si="44">SUM(V321:BQ321)</f>
        <v>2187</v>
      </c>
      <c r="Q321" s="54" t="s">
        <v>623</v>
      </c>
      <c r="R321" s="48"/>
      <c r="S321" s="49"/>
      <c r="T321" s="50">
        <f t="shared" ref="T321:T323" si="45">J321-P321</f>
        <v>0</v>
      </c>
      <c r="V321" s="51">
        <v>2187</v>
      </c>
      <c r="W321" s="51"/>
      <c r="X321" s="51"/>
      <c r="Y321" s="51"/>
      <c r="Z321" s="51"/>
      <c r="AA321" s="51"/>
      <c r="AB321" s="51"/>
      <c r="AC321" s="51"/>
      <c r="AD321" s="51"/>
      <c r="AE321" s="51"/>
      <c r="AF321" s="51"/>
      <c r="AG321" s="51"/>
      <c r="AH321" s="51"/>
      <c r="AI321" s="51"/>
      <c r="AJ321" s="51"/>
      <c r="AK321" s="51"/>
      <c r="AL321" s="51"/>
      <c r="AM321" s="51"/>
      <c r="AN321" s="51"/>
      <c r="AO321" s="51"/>
      <c r="AP321" s="51"/>
      <c r="AQ321" s="51"/>
      <c r="AR321" s="51"/>
      <c r="AS321" s="51"/>
      <c r="AT321" s="51"/>
      <c r="AU321" s="51"/>
      <c r="AV321" s="51"/>
      <c r="AW321" s="51"/>
      <c r="AX321" s="51"/>
      <c r="AY321" s="51"/>
      <c r="AZ321" s="51"/>
      <c r="BA321" s="51"/>
      <c r="BB321" s="51"/>
      <c r="BC321" s="51"/>
      <c r="BD321" s="51"/>
      <c r="BE321" s="51"/>
      <c r="BF321" s="51"/>
      <c r="BG321" s="51"/>
      <c r="BH321" s="51"/>
      <c r="BI321" s="51"/>
      <c r="BJ321" s="51"/>
      <c r="BK321" s="51"/>
      <c r="BL321" s="51"/>
      <c r="BM321" s="51"/>
      <c r="BN321" s="51"/>
      <c r="BO321" s="51"/>
      <c r="BP321" s="51"/>
      <c r="BQ321" s="51"/>
      <c r="BR321" s="9">
        <f t="shared" ref="BR321:BR323" si="46">COUNT(V321:BQ321)</f>
        <v>1</v>
      </c>
      <c r="BT321" s="53" t="str">
        <f t="shared" ref="BT321:BT323" si="47">Q321</f>
        <v>Agator el Feroua 001</v>
      </c>
      <c r="BU321" s="25"/>
    </row>
    <row r="322" spans="2:73" ht="12.75" customHeight="1" x14ac:dyDescent="0.25">
      <c r="B322" s="23"/>
      <c r="C322" s="209" t="str">
        <f>HYPERLINK("https://sites.wustl.edu/meteoritesite/items/lm_agueltmahba_001/",Q322)</f>
        <v>Aguelt Mahba 001/ 002</v>
      </c>
      <c r="D322" s="210"/>
      <c r="E322" s="210"/>
      <c r="F322" s="211"/>
      <c r="G322" s="89">
        <v>2023</v>
      </c>
      <c r="H322" s="208" t="s">
        <v>510</v>
      </c>
      <c r="I322" s="208"/>
      <c r="J322" s="31">
        <v>14500</v>
      </c>
      <c r="K322" s="207" t="s">
        <v>51</v>
      </c>
      <c r="L322" s="207"/>
      <c r="M322" s="32" t="s">
        <v>40</v>
      </c>
      <c r="N322" s="32" t="s">
        <v>40</v>
      </c>
      <c r="P322" s="125">
        <f t="shared" ref="P322" si="48">SUM(V322:BQ322)</f>
        <v>14500</v>
      </c>
      <c r="Q322" s="54" t="s">
        <v>785</v>
      </c>
      <c r="R322" s="48"/>
      <c r="S322" s="49"/>
      <c r="T322" s="50">
        <f t="shared" ref="T322" si="49">J322-P322</f>
        <v>0</v>
      </c>
      <c r="V322" s="51">
        <v>4000</v>
      </c>
      <c r="W322" s="51">
        <v>10500</v>
      </c>
      <c r="X322" s="51"/>
      <c r="Y322" s="51"/>
      <c r="Z322" s="51"/>
      <c r="AA322" s="51"/>
      <c r="AB322" s="51"/>
      <c r="AC322" s="51"/>
      <c r="AD322" s="51"/>
      <c r="AE322" s="51"/>
      <c r="AF322" s="51"/>
      <c r="AG322" s="51"/>
      <c r="AH322" s="51"/>
      <c r="AI322" s="51"/>
      <c r="AJ322" s="51"/>
      <c r="AK322" s="51"/>
      <c r="AL322" s="51"/>
      <c r="AM322" s="51"/>
      <c r="AN322" s="51"/>
      <c r="AO322" s="51"/>
      <c r="AP322" s="51"/>
      <c r="AQ322" s="51"/>
      <c r="AR322" s="51"/>
      <c r="AS322" s="51"/>
      <c r="AT322" s="51"/>
      <c r="AU322" s="51"/>
      <c r="AV322" s="51"/>
      <c r="AW322" s="51"/>
      <c r="AX322" s="51"/>
      <c r="AY322" s="51"/>
      <c r="AZ322" s="51"/>
      <c r="BA322" s="51"/>
      <c r="BB322" s="51"/>
      <c r="BC322" s="51"/>
      <c r="BD322" s="51"/>
      <c r="BE322" s="51"/>
      <c r="BF322" s="51"/>
      <c r="BG322" s="51"/>
      <c r="BH322" s="51"/>
      <c r="BI322" s="51"/>
      <c r="BJ322" s="51"/>
      <c r="BK322" s="51"/>
      <c r="BL322" s="51"/>
      <c r="BM322" s="51"/>
      <c r="BN322" s="51"/>
      <c r="BO322" s="51"/>
      <c r="BP322" s="51"/>
      <c r="BQ322" s="51"/>
      <c r="BR322" s="9">
        <f t="shared" ref="BR322" si="50">COUNT(V322:BQ322)</f>
        <v>2</v>
      </c>
      <c r="BT322" s="53" t="str">
        <f t="shared" ref="BT322" si="51">Q322</f>
        <v>Aguelt Mahba 001/ 002</v>
      </c>
      <c r="BU322" s="25"/>
    </row>
    <row r="323" spans="2:73" ht="12.75" customHeight="1" x14ac:dyDescent="0.25">
      <c r="B323" s="23"/>
      <c r="C323" s="209" t="str">
        <f>HYPERLINK("https://sites.wustl.edu/meteoritesite/items/lm_ajdabiya_001/",Q323)</f>
        <v>Ajdabiya 001</v>
      </c>
      <c r="D323" s="210"/>
      <c r="E323" s="210"/>
      <c r="F323" s="211"/>
      <c r="G323" s="89">
        <v>2021</v>
      </c>
      <c r="H323" s="208" t="s">
        <v>616</v>
      </c>
      <c r="I323" s="208"/>
      <c r="J323" s="31">
        <v>28800</v>
      </c>
      <c r="K323" s="207" t="s">
        <v>50</v>
      </c>
      <c r="L323" s="207"/>
      <c r="M323" s="32" t="s">
        <v>40</v>
      </c>
      <c r="N323" s="32" t="s">
        <v>40</v>
      </c>
      <c r="P323" s="125">
        <f t="shared" si="44"/>
        <v>28800</v>
      </c>
      <c r="Q323" s="54" t="s">
        <v>718</v>
      </c>
      <c r="R323" s="48"/>
      <c r="S323" s="49"/>
      <c r="T323" s="50">
        <f t="shared" si="45"/>
        <v>0</v>
      </c>
      <c r="V323" s="51">
        <v>28800</v>
      </c>
      <c r="W323" s="51"/>
      <c r="X323" s="51"/>
      <c r="Y323" s="51"/>
      <c r="Z323" s="51"/>
      <c r="AA323" s="51"/>
      <c r="AB323" s="51"/>
      <c r="AC323" s="51"/>
      <c r="AD323" s="51"/>
      <c r="AE323" s="51"/>
      <c r="AF323" s="51"/>
      <c r="AG323" s="51"/>
      <c r="AH323" s="51"/>
      <c r="AI323" s="51"/>
      <c r="AJ323" s="51"/>
      <c r="AK323" s="51"/>
      <c r="AL323" s="51"/>
      <c r="AM323" s="51"/>
      <c r="AN323" s="51"/>
      <c r="AO323" s="51"/>
      <c r="AP323" s="51"/>
      <c r="AQ323" s="51"/>
      <c r="AR323" s="51"/>
      <c r="AS323" s="51"/>
      <c r="AT323" s="51"/>
      <c r="AU323" s="51"/>
      <c r="AV323" s="51"/>
      <c r="AW323" s="51"/>
      <c r="AX323" s="51"/>
      <c r="AY323" s="51"/>
      <c r="AZ323" s="51"/>
      <c r="BA323" s="51"/>
      <c r="BB323" s="51"/>
      <c r="BC323" s="51"/>
      <c r="BD323" s="51"/>
      <c r="BE323" s="51"/>
      <c r="BF323" s="51"/>
      <c r="BG323" s="51"/>
      <c r="BH323" s="51"/>
      <c r="BI323" s="51"/>
      <c r="BJ323" s="51"/>
      <c r="BK323" s="51"/>
      <c r="BL323" s="51"/>
      <c r="BM323" s="51"/>
      <c r="BN323" s="51"/>
      <c r="BO323" s="51"/>
      <c r="BP323" s="51"/>
      <c r="BQ323" s="51"/>
      <c r="BR323" s="9">
        <f t="shared" si="46"/>
        <v>1</v>
      </c>
      <c r="BT323" s="53" t="str">
        <f t="shared" si="47"/>
        <v>Ajdabiya 001</v>
      </c>
      <c r="BU323" s="25"/>
    </row>
    <row r="324" spans="2:73" ht="12.75" customHeight="1" x14ac:dyDescent="0.25">
      <c r="B324" s="23"/>
      <c r="C324" s="209" t="str">
        <f>HYPERLINK("https://sites.wustl.edu/meteoritesite/items/lm_ajdabiya_001/",Q324)</f>
        <v>Ajdabiya 007</v>
      </c>
      <c r="D324" s="210"/>
      <c r="E324" s="210"/>
      <c r="F324" s="211"/>
      <c r="G324" s="89">
        <v>2024</v>
      </c>
      <c r="H324" s="208" t="s">
        <v>38</v>
      </c>
      <c r="I324" s="208"/>
      <c r="J324" s="33">
        <v>330</v>
      </c>
      <c r="K324" s="207" t="s">
        <v>50</v>
      </c>
      <c r="L324" s="207"/>
      <c r="M324" s="32" t="s">
        <v>40</v>
      </c>
      <c r="N324" s="32" t="s">
        <v>40</v>
      </c>
      <c r="P324" s="125">
        <f t="shared" si="44"/>
        <v>330</v>
      </c>
      <c r="Q324" s="54" t="s">
        <v>843</v>
      </c>
      <c r="R324" s="48"/>
      <c r="S324" s="49"/>
      <c r="T324" s="50">
        <f t="shared" ref="T324" si="52">J324-P324</f>
        <v>0</v>
      </c>
      <c r="V324" s="51">
        <v>330</v>
      </c>
      <c r="W324" s="51"/>
      <c r="X324" s="51"/>
      <c r="Y324" s="51"/>
      <c r="Z324" s="51"/>
      <c r="AA324" s="51"/>
      <c r="AB324" s="51"/>
      <c r="AC324" s="51"/>
      <c r="AD324" s="51"/>
      <c r="AE324" s="51"/>
      <c r="AF324" s="51"/>
      <c r="AG324" s="51"/>
      <c r="AH324" s="51"/>
      <c r="AI324" s="51"/>
      <c r="AJ324" s="51"/>
      <c r="AK324" s="51"/>
      <c r="AL324" s="51"/>
      <c r="AM324" s="51"/>
      <c r="AN324" s="51"/>
      <c r="AO324" s="51"/>
      <c r="AP324" s="51"/>
      <c r="AQ324" s="51"/>
      <c r="AR324" s="51"/>
      <c r="AS324" s="51"/>
      <c r="AT324" s="51"/>
      <c r="AU324" s="51"/>
      <c r="AV324" s="51"/>
      <c r="AW324" s="51"/>
      <c r="AX324" s="51"/>
      <c r="AY324" s="51"/>
      <c r="AZ324" s="51"/>
      <c r="BA324" s="51"/>
      <c r="BB324" s="51"/>
      <c r="BC324" s="51"/>
      <c r="BD324" s="51"/>
      <c r="BE324" s="51"/>
      <c r="BF324" s="51"/>
      <c r="BG324" s="51"/>
      <c r="BH324" s="51"/>
      <c r="BI324" s="51"/>
      <c r="BJ324" s="51"/>
      <c r="BK324" s="51"/>
      <c r="BL324" s="51"/>
      <c r="BM324" s="51"/>
      <c r="BN324" s="51"/>
      <c r="BO324" s="51"/>
      <c r="BP324" s="51"/>
      <c r="BQ324" s="51"/>
      <c r="BR324" s="9">
        <f t="shared" ref="BR324" si="53">COUNT(V324:BQ324)</f>
        <v>1</v>
      </c>
      <c r="BT324" s="53" t="str">
        <f t="shared" ref="BT324" si="54">Q324</f>
        <v>Ajdabiya 007</v>
      </c>
      <c r="BU324" s="25"/>
    </row>
    <row r="325" spans="2:73" ht="12.75" customHeight="1" x14ac:dyDescent="0.25">
      <c r="B325" s="23"/>
      <c r="C325" s="209" t="str">
        <f>HYPERLINK("https://sites.wustl.edu/meteoritesite/items/lm_alaweinat/",Q325)</f>
        <v xml:space="preserve">Al ’Aweinat </v>
      </c>
      <c r="D325" s="210"/>
      <c r="E325" s="210"/>
      <c r="F325" s="211"/>
      <c r="G325" s="89">
        <v>2021</v>
      </c>
      <c r="H325" s="342" t="s">
        <v>38</v>
      </c>
      <c r="I325" s="343"/>
      <c r="J325" s="33">
        <v>120</v>
      </c>
      <c r="K325" s="207" t="s">
        <v>59</v>
      </c>
      <c r="L325" s="207"/>
      <c r="M325" s="32" t="s">
        <v>536</v>
      </c>
      <c r="N325" s="32" t="s">
        <v>40</v>
      </c>
      <c r="P325" s="125">
        <f t="shared" si="44"/>
        <v>120</v>
      </c>
      <c r="Q325" s="54" t="s">
        <v>687</v>
      </c>
      <c r="R325" s="48"/>
      <c r="S325" s="49"/>
      <c r="T325" s="50">
        <f t="shared" ref="T325:T430" si="55">J325-P325</f>
        <v>0</v>
      </c>
      <c r="V325" s="51">
        <v>120</v>
      </c>
      <c r="W325" s="51"/>
      <c r="X325" s="51"/>
      <c r="Y325" s="51"/>
      <c r="Z325" s="51"/>
      <c r="AA325" s="51"/>
      <c r="AB325" s="51"/>
      <c r="AC325" s="51"/>
      <c r="AD325" s="51"/>
      <c r="AE325" s="51"/>
      <c r="AF325" s="51"/>
      <c r="AG325" s="51"/>
      <c r="AH325" s="51"/>
      <c r="AI325" s="51"/>
      <c r="AJ325" s="51"/>
      <c r="AK325" s="51"/>
      <c r="AL325" s="51"/>
      <c r="AM325" s="51"/>
      <c r="AN325" s="51"/>
      <c r="AO325" s="51"/>
      <c r="AP325" s="51"/>
      <c r="AQ325" s="51"/>
      <c r="AR325" s="51"/>
      <c r="AS325" s="51"/>
      <c r="AT325" s="51"/>
      <c r="AU325" s="51"/>
      <c r="AV325" s="51"/>
      <c r="AW325" s="51"/>
      <c r="AX325" s="51"/>
      <c r="AY325" s="51"/>
      <c r="AZ325" s="51"/>
      <c r="BA325" s="51"/>
      <c r="BB325" s="51"/>
      <c r="BC325" s="51"/>
      <c r="BD325" s="51"/>
      <c r="BE325" s="51"/>
      <c r="BF325" s="51"/>
      <c r="BG325" s="51"/>
      <c r="BH325" s="51"/>
      <c r="BI325" s="51"/>
      <c r="BJ325" s="51"/>
      <c r="BK325" s="51"/>
      <c r="BL325" s="51"/>
      <c r="BM325" s="51"/>
      <c r="BN325" s="51"/>
      <c r="BO325" s="51"/>
      <c r="BP325" s="51"/>
      <c r="BQ325" s="51"/>
      <c r="BT325" s="53"/>
      <c r="BU325" s="25"/>
    </row>
    <row r="326" spans="2:73" ht="12.75" customHeight="1" x14ac:dyDescent="0.25">
      <c r="B326" s="23"/>
      <c r="C326" s="209" t="str">
        <f>HYPERLINK("https://sites.wustl.edu/meteoritesite/items/lm_aqs_001/",Q326)</f>
        <v>Al Qaryah al Sharqiyah 001/ 002</v>
      </c>
      <c r="D326" s="210"/>
      <c r="E326" s="210"/>
      <c r="F326" s="211"/>
      <c r="G326" s="89" t="s">
        <v>847</v>
      </c>
      <c r="H326" s="208" t="s">
        <v>616</v>
      </c>
      <c r="I326" s="208"/>
      <c r="J326" s="33">
        <v>9418</v>
      </c>
      <c r="K326" s="207" t="s">
        <v>50</v>
      </c>
      <c r="L326" s="207"/>
      <c r="M326" s="32" t="s">
        <v>40</v>
      </c>
      <c r="N326" s="32" t="s">
        <v>40</v>
      </c>
      <c r="P326" s="125">
        <f t="shared" ref="P326" si="56">SUM(V326:BQ326)</f>
        <v>9418</v>
      </c>
      <c r="Q326" s="54" t="s">
        <v>848</v>
      </c>
      <c r="R326" s="48"/>
      <c r="S326" s="49"/>
      <c r="T326" s="50">
        <f t="shared" si="55"/>
        <v>0</v>
      </c>
      <c r="V326" s="51">
        <v>9025</v>
      </c>
      <c r="W326" s="51">
        <v>393</v>
      </c>
      <c r="X326" s="51"/>
      <c r="Y326" s="51"/>
      <c r="Z326" s="51"/>
      <c r="AA326" s="51"/>
      <c r="AB326" s="51"/>
      <c r="AC326" s="51"/>
      <c r="AD326" s="51"/>
      <c r="AE326" s="51"/>
      <c r="AF326" s="51"/>
      <c r="AG326" s="51"/>
      <c r="AH326" s="51"/>
      <c r="AI326" s="51"/>
      <c r="AJ326" s="51"/>
      <c r="AK326" s="51"/>
      <c r="AL326" s="51"/>
      <c r="AM326" s="51"/>
      <c r="AN326" s="51"/>
      <c r="AO326" s="51"/>
      <c r="AP326" s="51"/>
      <c r="AQ326" s="51"/>
      <c r="AR326" s="51"/>
      <c r="AS326" s="51"/>
      <c r="AT326" s="51"/>
      <c r="AU326" s="51"/>
      <c r="AV326" s="51"/>
      <c r="AW326" s="51"/>
      <c r="AX326" s="51"/>
      <c r="AY326" s="51"/>
      <c r="AZ326" s="51"/>
      <c r="BA326" s="51"/>
      <c r="BB326" s="51"/>
      <c r="BC326" s="51"/>
      <c r="BD326" s="51"/>
      <c r="BE326" s="51"/>
      <c r="BF326" s="51"/>
      <c r="BG326" s="51"/>
      <c r="BH326" s="51"/>
      <c r="BI326" s="51"/>
      <c r="BJ326" s="51"/>
      <c r="BK326" s="51"/>
      <c r="BL326" s="51"/>
      <c r="BM326" s="51"/>
      <c r="BN326" s="51"/>
      <c r="BO326" s="51"/>
      <c r="BP326" s="51"/>
      <c r="BQ326" s="51"/>
      <c r="BR326" s="9">
        <f t="shared" ref="BR326" si="57">COUNT(V326:BQ326)</f>
        <v>2</v>
      </c>
      <c r="BT326" s="53" t="str">
        <f t="shared" ref="BT326" si="58">Q326</f>
        <v>Al Qaryah al Sharqiyah 001/ 002</v>
      </c>
      <c r="BU326" s="25"/>
    </row>
    <row r="327" spans="2:73" ht="12.75" customHeight="1" x14ac:dyDescent="0.25">
      <c r="B327" s="23"/>
      <c r="C327" s="209" t="str">
        <f>HYPERLINK("https://sites.wustl.edu/meteoritesite/items/lm_ap_007/",Q327)</f>
        <v>Arabian Peninsula 007</v>
      </c>
      <c r="D327" s="210"/>
      <c r="E327" s="210"/>
      <c r="F327" s="211"/>
      <c r="G327" s="89">
        <v>2017</v>
      </c>
      <c r="H327" s="208" t="s">
        <v>38</v>
      </c>
      <c r="I327" s="208"/>
      <c r="J327" s="33">
        <v>1337</v>
      </c>
      <c r="K327" s="286" t="s">
        <v>43</v>
      </c>
      <c r="L327" s="286"/>
      <c r="M327" s="32" t="s">
        <v>40</v>
      </c>
      <c r="N327" s="32" t="s">
        <v>40</v>
      </c>
      <c r="P327" s="125">
        <f>SUM(V327:BQ327)</f>
        <v>1337</v>
      </c>
      <c r="Q327" s="54" t="s">
        <v>347</v>
      </c>
      <c r="R327" s="48"/>
      <c r="S327" s="49"/>
      <c r="T327" s="50">
        <f t="shared" si="55"/>
        <v>0</v>
      </c>
      <c r="V327" s="51">
        <v>1337</v>
      </c>
      <c r="W327" s="51"/>
      <c r="X327" s="51"/>
      <c r="Y327" s="51"/>
      <c r="Z327" s="51"/>
      <c r="AA327" s="51"/>
      <c r="AB327" s="51"/>
      <c r="AC327" s="51"/>
      <c r="AD327" s="51"/>
      <c r="AE327" s="51"/>
      <c r="AF327" s="51"/>
      <c r="AG327" s="51"/>
      <c r="AH327" s="51"/>
      <c r="AI327" s="51"/>
      <c r="AJ327" s="51"/>
      <c r="AK327" s="51"/>
      <c r="AL327" s="51"/>
      <c r="AM327" s="51"/>
      <c r="AN327" s="51"/>
      <c r="AO327" s="51"/>
      <c r="AP327" s="51"/>
      <c r="AQ327" s="51"/>
      <c r="AR327" s="51"/>
      <c r="AS327" s="51"/>
      <c r="AT327" s="51"/>
      <c r="AU327" s="51"/>
      <c r="AV327" s="51"/>
      <c r="AW327" s="51"/>
      <c r="AX327" s="51"/>
      <c r="AY327" s="51"/>
      <c r="AZ327" s="51"/>
      <c r="BA327" s="51"/>
      <c r="BB327" s="51"/>
      <c r="BC327" s="51"/>
      <c r="BD327" s="51"/>
      <c r="BE327" s="51"/>
      <c r="BF327" s="51"/>
      <c r="BG327" s="51"/>
      <c r="BH327" s="51"/>
      <c r="BI327" s="51"/>
      <c r="BJ327" s="51"/>
      <c r="BK327" s="51"/>
      <c r="BL327" s="51"/>
      <c r="BM327" s="51"/>
      <c r="BN327" s="51"/>
      <c r="BO327" s="51"/>
      <c r="BP327" s="51"/>
      <c r="BQ327" s="51"/>
      <c r="BR327" s="9">
        <f t="shared" ref="BR327:BR427" si="59">COUNT(V327:BQ327)</f>
        <v>1</v>
      </c>
      <c r="BT327" s="53" t="str">
        <f t="shared" ref="BT327:BT427" si="60">Q327</f>
        <v>Arabian Peninsula 007</v>
      </c>
      <c r="BU327" s="25" t="s">
        <v>230</v>
      </c>
    </row>
    <row r="328" spans="2:73" ht="12.75" customHeight="1" x14ac:dyDescent="0.25">
      <c r="B328" s="23"/>
      <c r="C328" s="209" t="str">
        <f>HYPERLINK("https://sites.wustl.edu/meteoritesite/items/lm_araouane_001/",Q328)</f>
        <v>Araouane 001</v>
      </c>
      <c r="D328" s="210"/>
      <c r="E328" s="210"/>
      <c r="F328" s="211"/>
      <c r="G328" s="89">
        <v>2024</v>
      </c>
      <c r="H328" s="208" t="s">
        <v>38</v>
      </c>
      <c r="I328" s="208"/>
      <c r="J328" s="33">
        <v>374</v>
      </c>
      <c r="K328" s="207" t="s">
        <v>58</v>
      </c>
      <c r="L328" s="207"/>
      <c r="M328" s="32" t="s">
        <v>40</v>
      </c>
      <c r="N328" s="32" t="s">
        <v>40</v>
      </c>
      <c r="P328" s="125">
        <f>SUM(V328:BQ328)</f>
        <v>374</v>
      </c>
      <c r="Q328" s="54" t="s">
        <v>845</v>
      </c>
      <c r="R328" s="48"/>
      <c r="S328" s="49"/>
      <c r="T328" s="50">
        <f t="shared" ref="T328" si="61">J328-P328</f>
        <v>0</v>
      </c>
      <c r="V328" s="51">
        <v>374</v>
      </c>
      <c r="W328" s="51"/>
      <c r="X328" s="51"/>
      <c r="Y328" s="51"/>
      <c r="Z328" s="51"/>
      <c r="AA328" s="51"/>
      <c r="AB328" s="51"/>
      <c r="AC328" s="51"/>
      <c r="AD328" s="51"/>
      <c r="AE328" s="51"/>
      <c r="AF328" s="51"/>
      <c r="AG328" s="51"/>
      <c r="AH328" s="51"/>
      <c r="AI328" s="51"/>
      <c r="AJ328" s="51"/>
      <c r="AK328" s="51"/>
      <c r="AL328" s="51"/>
      <c r="AM328" s="51"/>
      <c r="AN328" s="51"/>
      <c r="AO328" s="51"/>
      <c r="AP328" s="51"/>
      <c r="AQ328" s="51"/>
      <c r="AR328" s="51"/>
      <c r="AS328" s="51"/>
      <c r="AT328" s="51"/>
      <c r="AU328" s="51"/>
      <c r="AV328" s="51"/>
      <c r="AW328" s="51"/>
      <c r="AX328" s="51"/>
      <c r="AY328" s="51"/>
      <c r="AZ328" s="51"/>
      <c r="BA328" s="51"/>
      <c r="BB328" s="51"/>
      <c r="BC328" s="51"/>
      <c r="BD328" s="51"/>
      <c r="BE328" s="51"/>
      <c r="BF328" s="51"/>
      <c r="BG328" s="51"/>
      <c r="BH328" s="51"/>
      <c r="BI328" s="51"/>
      <c r="BJ328" s="51"/>
      <c r="BK328" s="51"/>
      <c r="BL328" s="51"/>
      <c r="BM328" s="51"/>
      <c r="BN328" s="51"/>
      <c r="BO328" s="51"/>
      <c r="BP328" s="51"/>
      <c r="BQ328" s="51"/>
      <c r="BR328" s="9">
        <f t="shared" si="59"/>
        <v>1</v>
      </c>
      <c r="BT328" s="53"/>
      <c r="BU328" s="25"/>
    </row>
    <row r="329" spans="2:73" ht="12.75" customHeight="1" x14ac:dyDescent="0.25">
      <c r="B329" s="23"/>
      <c r="C329" s="209" t="str">
        <f>HYPERLINK("https://sites.wustl.edu/meteoritesite/items/lm_arguin_002/",Q329)</f>
        <v>Arguin 002</v>
      </c>
      <c r="D329" s="210"/>
      <c r="E329" s="210"/>
      <c r="F329" s="211"/>
      <c r="G329" s="89">
        <v>2021</v>
      </c>
      <c r="H329" s="214" t="s">
        <v>669</v>
      </c>
      <c r="I329" s="215"/>
      <c r="J329" s="33">
        <v>1146</v>
      </c>
      <c r="K329" s="207" t="s">
        <v>51</v>
      </c>
      <c r="L329" s="207"/>
      <c r="M329" s="32" t="s">
        <v>674</v>
      </c>
      <c r="N329" s="32" t="s">
        <v>40</v>
      </c>
      <c r="P329" s="125">
        <f t="shared" ref="P329" si="62">SUM(V329:BQ329)</f>
        <v>1146</v>
      </c>
      <c r="Q329" s="54" t="s">
        <v>668</v>
      </c>
      <c r="R329" s="48"/>
      <c r="S329" s="49"/>
      <c r="T329" s="50">
        <f t="shared" ref="T329" si="63">J329-P329</f>
        <v>0</v>
      </c>
      <c r="V329" s="51">
        <v>1146</v>
      </c>
      <c r="W329" s="51"/>
      <c r="X329" s="51"/>
      <c r="Y329" s="51"/>
      <c r="Z329" s="51"/>
      <c r="AA329" s="51"/>
      <c r="AB329" s="51"/>
      <c r="AC329" s="51"/>
      <c r="AD329" s="51"/>
      <c r="AE329" s="51"/>
      <c r="AF329" s="51"/>
      <c r="AG329" s="51"/>
      <c r="AH329" s="51"/>
      <c r="AI329" s="51"/>
      <c r="AJ329" s="51"/>
      <c r="AK329" s="51"/>
      <c r="AL329" s="51"/>
      <c r="AM329" s="51"/>
      <c r="AN329" s="51"/>
      <c r="AO329" s="51"/>
      <c r="AP329" s="51"/>
      <c r="AQ329" s="51"/>
      <c r="AR329" s="51"/>
      <c r="AS329" s="51"/>
      <c r="AT329" s="51"/>
      <c r="AU329" s="51"/>
      <c r="AV329" s="51"/>
      <c r="AW329" s="51"/>
      <c r="AX329" s="51"/>
      <c r="AY329" s="51"/>
      <c r="AZ329" s="51"/>
      <c r="BA329" s="51"/>
      <c r="BB329" s="51"/>
      <c r="BC329" s="51"/>
      <c r="BD329" s="51"/>
      <c r="BE329" s="51"/>
      <c r="BF329" s="51"/>
      <c r="BG329" s="51"/>
      <c r="BH329" s="51"/>
      <c r="BI329" s="51"/>
      <c r="BJ329" s="51"/>
      <c r="BK329" s="51"/>
      <c r="BL329" s="51"/>
      <c r="BM329" s="51"/>
      <c r="BN329" s="51"/>
      <c r="BO329" s="51"/>
      <c r="BP329" s="51"/>
      <c r="BQ329" s="51"/>
      <c r="BR329" s="9">
        <f t="shared" ref="BR329" si="64">COUNT(V329:BQ329)</f>
        <v>1</v>
      </c>
      <c r="BT329" s="53" t="str">
        <f t="shared" ref="BT329" si="65">Q329</f>
        <v>Arguin 002</v>
      </c>
      <c r="BU329" s="25"/>
    </row>
    <row r="330" spans="2:73" ht="12.75" customHeight="1" x14ac:dyDescent="0.25">
      <c r="B330" s="23"/>
      <c r="C330" s="209" t="str">
        <f>HYPERLINK("https://sites.wustl.edu/meteoritesite/items/lm_aridal_019/",Q330)</f>
        <v>Aridal 019</v>
      </c>
      <c r="D330" s="210"/>
      <c r="E330" s="210"/>
      <c r="F330" s="211"/>
      <c r="G330" s="89">
        <v>2022</v>
      </c>
      <c r="H330" s="214" t="s">
        <v>396</v>
      </c>
      <c r="I330" s="215"/>
      <c r="J330" s="33">
        <v>1368</v>
      </c>
      <c r="K330" s="207" t="s">
        <v>44</v>
      </c>
      <c r="L330" s="207"/>
      <c r="M330" s="32" t="s">
        <v>40</v>
      </c>
      <c r="N330" s="32" t="s">
        <v>40</v>
      </c>
      <c r="P330" s="125">
        <f t="shared" ref="P330:P335" si="66">SUM(V330:BQ330)</f>
        <v>1368</v>
      </c>
      <c r="Q330" s="54" t="s">
        <v>592</v>
      </c>
      <c r="R330" s="48"/>
      <c r="S330" s="49"/>
      <c r="T330" s="50">
        <f t="shared" ref="T330:T335" si="67">J330-P330</f>
        <v>0</v>
      </c>
      <c r="V330" s="51">
        <v>1368</v>
      </c>
      <c r="W330" s="51"/>
      <c r="X330" s="51"/>
      <c r="Y330" s="51"/>
      <c r="Z330" s="51"/>
      <c r="AA330" s="51"/>
      <c r="AB330" s="51"/>
      <c r="AC330" s="51"/>
      <c r="AD330" s="51"/>
      <c r="AE330" s="51"/>
      <c r="AF330" s="51"/>
      <c r="AG330" s="51"/>
      <c r="AH330" s="51"/>
      <c r="AI330" s="51"/>
      <c r="AJ330" s="51"/>
      <c r="AK330" s="51"/>
      <c r="AL330" s="51"/>
      <c r="AM330" s="51"/>
      <c r="AN330" s="51"/>
      <c r="AO330" s="51"/>
      <c r="AP330" s="51"/>
      <c r="AQ330" s="51"/>
      <c r="AR330" s="51"/>
      <c r="AS330" s="51"/>
      <c r="AT330" s="51"/>
      <c r="AU330" s="51"/>
      <c r="AV330" s="51"/>
      <c r="AW330" s="51"/>
      <c r="AX330" s="51"/>
      <c r="AY330" s="51"/>
      <c r="AZ330" s="51"/>
      <c r="BA330" s="51"/>
      <c r="BB330" s="51"/>
      <c r="BC330" s="51"/>
      <c r="BD330" s="51"/>
      <c r="BE330" s="51"/>
      <c r="BF330" s="51"/>
      <c r="BG330" s="51"/>
      <c r="BH330" s="51"/>
      <c r="BI330" s="51"/>
      <c r="BJ330" s="51"/>
      <c r="BK330" s="51"/>
      <c r="BL330" s="51"/>
      <c r="BM330" s="51"/>
      <c r="BN330" s="51"/>
      <c r="BO330" s="51"/>
      <c r="BP330" s="51"/>
      <c r="BQ330" s="51"/>
      <c r="BR330" s="9">
        <f t="shared" ref="BR330:BR335" si="68">COUNT(V330:BQ330)</f>
        <v>1</v>
      </c>
      <c r="BT330" s="53" t="str">
        <f t="shared" ref="BT330:BT335" si="69">Q330</f>
        <v>Aridal 019</v>
      </c>
      <c r="BU330" s="25"/>
    </row>
    <row r="331" spans="2:73" ht="12.75" customHeight="1" x14ac:dyDescent="0.25">
      <c r="B331" s="23"/>
      <c r="C331" s="209" t="str">
        <f>HYPERLINK("https://sites.wustl.edu/meteoritesite/items/lm_aridal_019/",Q331)</f>
        <v>Aridal 020</v>
      </c>
      <c r="D331" s="210"/>
      <c r="E331" s="210"/>
      <c r="F331" s="211"/>
      <c r="G331" s="89">
        <v>2022</v>
      </c>
      <c r="H331" s="214" t="s">
        <v>396</v>
      </c>
      <c r="I331" s="215"/>
      <c r="J331" s="32">
        <v>157.1</v>
      </c>
      <c r="K331" s="207" t="s">
        <v>44</v>
      </c>
      <c r="L331" s="207"/>
      <c r="M331" s="32" t="s">
        <v>40</v>
      </c>
      <c r="N331" s="32" t="s">
        <v>40</v>
      </c>
      <c r="P331" s="125">
        <f t="shared" ref="P331" si="70">SUM(V331:BQ331)</f>
        <v>157.1</v>
      </c>
      <c r="Q331" s="54" t="s">
        <v>645</v>
      </c>
      <c r="R331" s="48"/>
      <c r="S331" s="49"/>
      <c r="T331" s="50">
        <f t="shared" ref="T331" si="71">J331-P331</f>
        <v>0</v>
      </c>
      <c r="V331" s="51">
        <v>157.1</v>
      </c>
      <c r="W331" s="51"/>
      <c r="X331" s="51"/>
      <c r="Y331" s="51"/>
      <c r="Z331" s="51"/>
      <c r="AA331" s="51"/>
      <c r="AB331" s="51"/>
      <c r="AC331" s="51"/>
      <c r="AD331" s="51"/>
      <c r="AE331" s="51"/>
      <c r="AF331" s="51"/>
      <c r="AG331" s="51"/>
      <c r="AH331" s="51"/>
      <c r="AI331" s="51"/>
      <c r="AJ331" s="51"/>
      <c r="AK331" s="51"/>
      <c r="AL331" s="51"/>
      <c r="AM331" s="51"/>
      <c r="AN331" s="51"/>
      <c r="AO331" s="51"/>
      <c r="AP331" s="51"/>
      <c r="AQ331" s="51"/>
      <c r="AR331" s="51"/>
      <c r="AS331" s="51"/>
      <c r="AT331" s="51"/>
      <c r="AU331" s="51"/>
      <c r="AV331" s="51"/>
      <c r="AW331" s="51"/>
      <c r="AX331" s="51"/>
      <c r="AY331" s="51"/>
      <c r="AZ331" s="51"/>
      <c r="BA331" s="51"/>
      <c r="BB331" s="51"/>
      <c r="BC331" s="51"/>
      <c r="BD331" s="51"/>
      <c r="BE331" s="51"/>
      <c r="BF331" s="51"/>
      <c r="BG331" s="51"/>
      <c r="BH331" s="51"/>
      <c r="BI331" s="51"/>
      <c r="BJ331" s="51"/>
      <c r="BK331" s="51"/>
      <c r="BL331" s="51"/>
      <c r="BM331" s="51"/>
      <c r="BN331" s="51"/>
      <c r="BO331" s="51"/>
      <c r="BP331" s="51"/>
      <c r="BQ331" s="51"/>
      <c r="BR331" s="9">
        <f t="shared" ref="BR331" si="72">COUNT(V331:BQ331)</f>
        <v>1</v>
      </c>
      <c r="BT331" s="53" t="str">
        <f t="shared" ref="BT331" si="73">Q331</f>
        <v>Aridal 020</v>
      </c>
      <c r="BU331" s="25"/>
    </row>
    <row r="332" spans="2:73" ht="12.75" customHeight="1" x14ac:dyDescent="0.25">
      <c r="B332" s="23"/>
      <c r="C332" s="209" t="str">
        <f>HYPERLINK("https://sites.wustl.edu/meteoritesite/items/lm_aridal_019/",Q332)</f>
        <v>Aridal 022</v>
      </c>
      <c r="D332" s="210"/>
      <c r="E332" s="210"/>
      <c r="F332" s="211"/>
      <c r="G332" s="89">
        <v>2022</v>
      </c>
      <c r="H332" s="208" t="s">
        <v>38</v>
      </c>
      <c r="I332" s="208"/>
      <c r="J332" s="33">
        <v>895</v>
      </c>
      <c r="K332" s="207" t="s">
        <v>44</v>
      </c>
      <c r="L332" s="207"/>
      <c r="M332" s="32" t="s">
        <v>40</v>
      </c>
      <c r="N332" s="32" t="s">
        <v>40</v>
      </c>
      <c r="P332" s="125">
        <f t="shared" ref="P332:P333" si="74">SUM(V332:BQ332)</f>
        <v>895</v>
      </c>
      <c r="Q332" s="54" t="s">
        <v>835</v>
      </c>
      <c r="R332" s="48"/>
      <c r="S332" s="49"/>
      <c r="T332" s="50">
        <f t="shared" ref="T332" si="75">J332-P332</f>
        <v>0</v>
      </c>
      <c r="V332" s="51">
        <v>895</v>
      </c>
      <c r="W332" s="51"/>
      <c r="X332" s="51"/>
      <c r="Y332" s="51"/>
      <c r="Z332" s="51"/>
      <c r="AA332" s="51"/>
      <c r="AB332" s="51"/>
      <c r="AC332" s="51"/>
      <c r="AD332" s="51"/>
      <c r="AE332" s="51"/>
      <c r="AF332" s="51"/>
      <c r="AG332" s="51"/>
      <c r="AH332" s="51"/>
      <c r="AI332" s="51"/>
      <c r="AJ332" s="51"/>
      <c r="AK332" s="51"/>
      <c r="AL332" s="51"/>
      <c r="AM332" s="51"/>
      <c r="AN332" s="51"/>
      <c r="AO332" s="51"/>
      <c r="AP332" s="51"/>
      <c r="AQ332" s="51"/>
      <c r="AR332" s="51"/>
      <c r="AS332" s="51"/>
      <c r="AT332" s="51"/>
      <c r="AU332" s="51"/>
      <c r="AV332" s="51"/>
      <c r="AW332" s="51"/>
      <c r="AX332" s="51"/>
      <c r="AY332" s="51"/>
      <c r="AZ332" s="51"/>
      <c r="BA332" s="51"/>
      <c r="BB332" s="51"/>
      <c r="BC332" s="51"/>
      <c r="BD332" s="51"/>
      <c r="BE332" s="51"/>
      <c r="BF332" s="51"/>
      <c r="BG332" s="51"/>
      <c r="BH332" s="51"/>
      <c r="BI332" s="51"/>
      <c r="BJ332" s="51"/>
      <c r="BK332" s="51"/>
      <c r="BL332" s="51"/>
      <c r="BM332" s="51"/>
      <c r="BN332" s="51"/>
      <c r="BO332" s="51"/>
      <c r="BP332" s="51"/>
      <c r="BQ332" s="51"/>
      <c r="BR332" s="9">
        <f t="shared" ref="BR332:BR333" si="76">COUNT(V332:BQ332)</f>
        <v>1</v>
      </c>
      <c r="BT332" s="53" t="str">
        <f t="shared" ref="BT332:BT333" si="77">Q332</f>
        <v>Aridal 022</v>
      </c>
      <c r="BU332" s="25"/>
    </row>
    <row r="333" spans="2:73" ht="12.75" customHeight="1" x14ac:dyDescent="0.25">
      <c r="B333" s="23"/>
      <c r="C333" s="209" t="str">
        <f>HYPERLINK("https://sites.wustl.edu/meteoritesite/items/lm_ashshaqq_002/",Q333)</f>
        <v>Ash Shaqqah 002</v>
      </c>
      <c r="D333" s="210"/>
      <c r="E333" s="210"/>
      <c r="F333" s="211"/>
      <c r="G333" s="89">
        <v>2024</v>
      </c>
      <c r="H333" s="208" t="s">
        <v>510</v>
      </c>
      <c r="I333" s="208"/>
      <c r="J333" s="31">
        <v>329000</v>
      </c>
      <c r="K333" s="207" t="s">
        <v>50</v>
      </c>
      <c r="L333" s="207"/>
      <c r="M333" s="32" t="s">
        <v>40</v>
      </c>
      <c r="N333" s="32" t="s">
        <v>40</v>
      </c>
      <c r="P333" s="125">
        <f t="shared" si="74"/>
        <v>329000</v>
      </c>
      <c r="Q333" s="54" t="s">
        <v>860</v>
      </c>
      <c r="R333" s="48"/>
      <c r="S333" s="49"/>
      <c r="T333" s="50">
        <f t="shared" ref="T333" si="78">J333-P333</f>
        <v>0</v>
      </c>
      <c r="V333" s="51">
        <v>329000</v>
      </c>
      <c r="W333" s="51"/>
      <c r="X333" s="51"/>
      <c r="Y333" s="51"/>
      <c r="Z333" s="51"/>
      <c r="AA333" s="51"/>
      <c r="AB333" s="51"/>
      <c r="AC333" s="51"/>
      <c r="AD333" s="51"/>
      <c r="AE333" s="51"/>
      <c r="AF333" s="51"/>
      <c r="AG333" s="51"/>
      <c r="AH333" s="51"/>
      <c r="AI333" s="51"/>
      <c r="AJ333" s="51"/>
      <c r="AK333" s="51"/>
      <c r="AL333" s="51"/>
      <c r="AM333" s="51"/>
      <c r="AN333" s="51"/>
      <c r="AO333" s="51"/>
      <c r="AP333" s="51"/>
      <c r="AQ333" s="51"/>
      <c r="AR333" s="51"/>
      <c r="AS333" s="51"/>
      <c r="AT333" s="51"/>
      <c r="AU333" s="51"/>
      <c r="AV333" s="51"/>
      <c r="AW333" s="51"/>
      <c r="AX333" s="51"/>
      <c r="AY333" s="51"/>
      <c r="AZ333" s="51"/>
      <c r="BA333" s="51"/>
      <c r="BB333" s="51"/>
      <c r="BC333" s="51"/>
      <c r="BD333" s="51"/>
      <c r="BE333" s="51"/>
      <c r="BF333" s="51"/>
      <c r="BG333" s="51"/>
      <c r="BH333" s="51"/>
      <c r="BI333" s="51"/>
      <c r="BJ333" s="51"/>
      <c r="BK333" s="51"/>
      <c r="BL333" s="51"/>
      <c r="BM333" s="51"/>
      <c r="BN333" s="51"/>
      <c r="BO333" s="51"/>
      <c r="BP333" s="51"/>
      <c r="BQ333" s="51"/>
      <c r="BR333" s="9">
        <f t="shared" si="76"/>
        <v>1</v>
      </c>
      <c r="BT333" s="53" t="str">
        <f t="shared" si="77"/>
        <v>Ash Shaqqah 002</v>
      </c>
      <c r="BU333" s="25"/>
    </row>
    <row r="334" spans="2:73" ht="12.75" customHeight="1" x14ac:dyDescent="0.25">
      <c r="B334" s="23"/>
      <c r="C334" s="209" t="str">
        <f>HYPERLINK("https://sites.wustl.edu/meteoritesite/items/lm_bechar_003/",Q334)</f>
        <v>Bechar 003/ 006/ 007/ 009/ 010/ 011/ 012/ 013</v>
      </c>
      <c r="D334" s="210"/>
      <c r="E334" s="210"/>
      <c r="F334" s="211"/>
      <c r="G334" s="89" t="s">
        <v>651</v>
      </c>
      <c r="H334" s="214" t="s">
        <v>396</v>
      </c>
      <c r="I334" s="215"/>
      <c r="J334" s="31">
        <v>14932.18</v>
      </c>
      <c r="K334" s="207" t="s">
        <v>66</v>
      </c>
      <c r="L334" s="207"/>
      <c r="M334" s="32" t="s">
        <v>40</v>
      </c>
      <c r="N334" s="32" t="s">
        <v>40</v>
      </c>
      <c r="P334" s="125">
        <f t="shared" si="66"/>
        <v>14932.18</v>
      </c>
      <c r="Q334" s="54" t="s">
        <v>749</v>
      </c>
      <c r="R334" s="48"/>
      <c r="S334" s="49"/>
      <c r="T334" s="50">
        <f t="shared" si="67"/>
        <v>0</v>
      </c>
      <c r="V334" s="51">
        <v>1084</v>
      </c>
      <c r="W334" s="51">
        <v>7208</v>
      </c>
      <c r="X334" s="51">
        <v>4000</v>
      </c>
      <c r="Y334" s="51">
        <v>897</v>
      </c>
      <c r="Z334" s="51">
        <v>681</v>
      </c>
      <c r="AA334" s="51">
        <v>354.18</v>
      </c>
      <c r="AB334" s="51">
        <v>497</v>
      </c>
      <c r="AC334" s="51">
        <v>211</v>
      </c>
      <c r="AD334" s="51"/>
      <c r="AE334" s="51"/>
      <c r="AF334" s="51"/>
      <c r="AG334" s="51"/>
      <c r="AH334" s="51"/>
      <c r="AI334" s="51"/>
      <c r="AJ334" s="51"/>
      <c r="AK334" s="51"/>
      <c r="AL334" s="51"/>
      <c r="AM334" s="51"/>
      <c r="AN334" s="51"/>
      <c r="AO334" s="51"/>
      <c r="AP334" s="51"/>
      <c r="AQ334" s="51"/>
      <c r="AR334" s="51"/>
      <c r="AS334" s="51"/>
      <c r="AT334" s="51"/>
      <c r="AU334" s="51"/>
      <c r="AV334" s="51"/>
      <c r="AW334" s="51"/>
      <c r="AX334" s="51"/>
      <c r="AY334" s="51"/>
      <c r="AZ334" s="51"/>
      <c r="BA334" s="51"/>
      <c r="BB334" s="51"/>
      <c r="BC334" s="51"/>
      <c r="BD334" s="51"/>
      <c r="BE334" s="51"/>
      <c r="BF334" s="51"/>
      <c r="BG334" s="51"/>
      <c r="BH334" s="51"/>
      <c r="BI334" s="51"/>
      <c r="BJ334" s="51"/>
      <c r="BK334" s="51"/>
      <c r="BL334" s="51"/>
      <c r="BM334" s="51"/>
      <c r="BN334" s="51"/>
      <c r="BO334" s="51"/>
      <c r="BP334" s="51"/>
      <c r="BQ334" s="51"/>
      <c r="BR334" s="9">
        <f t="shared" si="68"/>
        <v>8</v>
      </c>
      <c r="BT334" s="53" t="str">
        <f t="shared" si="69"/>
        <v>Bechar 003/ 006/ 007/ 009/ 010/ 011/ 012/ 013</v>
      </c>
      <c r="BU334" s="25"/>
    </row>
    <row r="335" spans="2:73" ht="12.75" customHeight="1" x14ac:dyDescent="0.25">
      <c r="B335" s="23"/>
      <c r="C335" s="209" t="str">
        <f>HYPERLINK("https://sites.wustl.edu/meteoritesite/items/lm_big_003/",Q335)</f>
        <v>Bir Moghrein 003</v>
      </c>
      <c r="D335" s="210"/>
      <c r="E335" s="210"/>
      <c r="F335" s="211"/>
      <c r="G335" s="89">
        <v>2023</v>
      </c>
      <c r="H335" s="214" t="s">
        <v>616</v>
      </c>
      <c r="I335" s="215"/>
      <c r="J335" s="31">
        <v>1400</v>
      </c>
      <c r="K335" s="207" t="s">
        <v>51</v>
      </c>
      <c r="L335" s="207"/>
      <c r="M335" s="32" t="s">
        <v>40</v>
      </c>
      <c r="N335" s="32" t="s">
        <v>40</v>
      </c>
      <c r="P335" s="125">
        <f t="shared" si="66"/>
        <v>1400</v>
      </c>
      <c r="Q335" s="54" t="s">
        <v>708</v>
      </c>
      <c r="R335" s="48"/>
      <c r="S335" s="49"/>
      <c r="T335" s="50">
        <f t="shared" si="67"/>
        <v>0</v>
      </c>
      <c r="V335" s="51">
        <v>1400</v>
      </c>
      <c r="W335" s="51"/>
      <c r="X335" s="51"/>
      <c r="Y335" s="51"/>
      <c r="Z335" s="51"/>
      <c r="AA335" s="51"/>
      <c r="AB335" s="51"/>
      <c r="AC335" s="51"/>
      <c r="AD335" s="51"/>
      <c r="AE335" s="51"/>
      <c r="AF335" s="51"/>
      <c r="AG335" s="51"/>
      <c r="AH335" s="51"/>
      <c r="AI335" s="51"/>
      <c r="AJ335" s="51"/>
      <c r="AK335" s="51"/>
      <c r="AL335" s="51"/>
      <c r="AM335" s="51"/>
      <c r="AN335" s="51"/>
      <c r="AO335" s="51"/>
      <c r="AP335" s="51"/>
      <c r="AQ335" s="51"/>
      <c r="AR335" s="51"/>
      <c r="AS335" s="51"/>
      <c r="AT335" s="51"/>
      <c r="AU335" s="51"/>
      <c r="AV335" s="51"/>
      <c r="AW335" s="51"/>
      <c r="AX335" s="51"/>
      <c r="AY335" s="51"/>
      <c r="AZ335" s="51"/>
      <c r="BA335" s="51"/>
      <c r="BB335" s="51"/>
      <c r="BC335" s="51"/>
      <c r="BD335" s="51"/>
      <c r="BE335" s="51"/>
      <c r="BF335" s="51"/>
      <c r="BG335" s="51"/>
      <c r="BH335" s="51"/>
      <c r="BI335" s="51"/>
      <c r="BJ335" s="51"/>
      <c r="BK335" s="51"/>
      <c r="BL335" s="51"/>
      <c r="BM335" s="51"/>
      <c r="BN335" s="51"/>
      <c r="BO335" s="51"/>
      <c r="BP335" s="51"/>
      <c r="BQ335" s="51"/>
      <c r="BR335" s="9">
        <f t="shared" si="68"/>
        <v>1</v>
      </c>
      <c r="BT335" s="53" t="str">
        <f t="shared" si="69"/>
        <v>Bir Moghrein 003</v>
      </c>
      <c r="BU335" s="25"/>
    </row>
    <row r="336" spans="2:73" ht="12.75" customHeight="1" x14ac:dyDescent="0.25">
      <c r="B336" s="23"/>
      <c r="C336" s="209" t="str">
        <f>HYPERLINK("https://sites.wustl.edu/meteoritesite/items/lm_bir_ounane_005/",Q336)</f>
        <v>Bir Ounane 005</v>
      </c>
      <c r="D336" s="210"/>
      <c r="E336" s="210"/>
      <c r="F336" s="211"/>
      <c r="G336" s="89">
        <v>2022</v>
      </c>
      <c r="H336" s="208" t="s">
        <v>41</v>
      </c>
      <c r="I336" s="208"/>
      <c r="J336" s="31">
        <v>20</v>
      </c>
      <c r="K336" s="207" t="s">
        <v>58</v>
      </c>
      <c r="L336" s="207"/>
      <c r="M336" s="32" t="s">
        <v>40</v>
      </c>
      <c r="N336" s="32" t="s">
        <v>40</v>
      </c>
      <c r="P336" s="125">
        <f t="shared" ref="P336" si="79">SUM(V336:BQ336)</f>
        <v>20</v>
      </c>
      <c r="Q336" s="54" t="s">
        <v>751</v>
      </c>
      <c r="R336" s="48"/>
      <c r="S336" s="49"/>
      <c r="T336" s="50">
        <f t="shared" ref="T336" si="80">J336-P336</f>
        <v>0</v>
      </c>
      <c r="V336" s="51">
        <v>20</v>
      </c>
      <c r="W336" s="51"/>
      <c r="X336" s="51"/>
      <c r="Y336" s="51"/>
      <c r="Z336" s="51"/>
      <c r="AA336" s="51"/>
      <c r="AB336" s="51"/>
      <c r="AC336" s="51"/>
      <c r="AD336" s="51"/>
      <c r="AE336" s="51"/>
      <c r="AF336" s="51"/>
      <c r="AG336" s="51"/>
      <c r="AH336" s="51"/>
      <c r="AI336" s="51"/>
      <c r="AJ336" s="51"/>
      <c r="AK336" s="51"/>
      <c r="AL336" s="51"/>
      <c r="AM336" s="51"/>
      <c r="AN336" s="51"/>
      <c r="AO336" s="51"/>
      <c r="AP336" s="51"/>
      <c r="AQ336" s="51"/>
      <c r="AR336" s="51"/>
      <c r="AS336" s="51"/>
      <c r="AT336" s="51"/>
      <c r="AU336" s="51"/>
      <c r="AV336" s="51"/>
      <c r="AW336" s="51"/>
      <c r="AX336" s="51"/>
      <c r="AY336" s="51"/>
      <c r="AZ336" s="51"/>
      <c r="BA336" s="51"/>
      <c r="BB336" s="51"/>
      <c r="BC336" s="51"/>
      <c r="BD336" s="51"/>
      <c r="BE336" s="51"/>
      <c r="BF336" s="51"/>
      <c r="BG336" s="51"/>
      <c r="BH336" s="51"/>
      <c r="BI336" s="51"/>
      <c r="BJ336" s="51"/>
      <c r="BK336" s="51"/>
      <c r="BL336" s="51"/>
      <c r="BM336" s="51"/>
      <c r="BN336" s="51"/>
      <c r="BO336" s="51"/>
      <c r="BP336" s="51"/>
      <c r="BQ336" s="51"/>
      <c r="BR336" s="9">
        <f t="shared" ref="BR336" si="81">COUNT(V336:BQ336)</f>
        <v>1</v>
      </c>
      <c r="BT336" s="53" t="str">
        <f t="shared" ref="BT336" si="82">Q336</f>
        <v>Bir Ounane 005</v>
      </c>
      <c r="BU336" s="25"/>
    </row>
    <row r="337" spans="1:73" ht="12.75" customHeight="1" x14ac:dyDescent="0.25">
      <c r="B337" s="23"/>
      <c r="C337" s="209" t="str">
        <f>HYPERLINK("https://sites.wustl.edu/meteoritesite/items/lm_choum_001/",Q337)</f>
        <v>Choum 001</v>
      </c>
      <c r="D337" s="210"/>
      <c r="E337" s="210"/>
      <c r="F337" s="211"/>
      <c r="G337" s="89">
        <v>2021</v>
      </c>
      <c r="H337" s="214" t="s">
        <v>616</v>
      </c>
      <c r="I337" s="215"/>
      <c r="J337" s="31">
        <v>39000</v>
      </c>
      <c r="K337" s="207" t="s">
        <v>51</v>
      </c>
      <c r="L337" s="207"/>
      <c r="M337" s="32" t="s">
        <v>40</v>
      </c>
      <c r="N337" s="32" t="s">
        <v>40</v>
      </c>
      <c r="P337" s="125">
        <f t="shared" ref="P337:P431" si="83">SUM(V337:BQ337)</f>
        <v>39000</v>
      </c>
      <c r="Q337" s="54" t="s">
        <v>554</v>
      </c>
      <c r="R337" s="48"/>
      <c r="S337" s="49"/>
      <c r="T337" s="50">
        <f t="shared" si="55"/>
        <v>0</v>
      </c>
      <c r="V337" s="51">
        <v>39000</v>
      </c>
      <c r="W337" s="51"/>
      <c r="X337" s="51"/>
      <c r="Y337" s="51"/>
      <c r="Z337" s="51"/>
      <c r="AA337" s="51"/>
      <c r="AB337" s="51"/>
      <c r="AC337" s="51"/>
      <c r="AD337" s="51"/>
      <c r="AE337" s="51"/>
      <c r="AF337" s="51"/>
      <c r="AG337" s="51"/>
      <c r="AH337" s="51"/>
      <c r="AI337" s="51"/>
      <c r="AJ337" s="51"/>
      <c r="AK337" s="51"/>
      <c r="AL337" s="51"/>
      <c r="AM337" s="51"/>
      <c r="AN337" s="51"/>
      <c r="AO337" s="51"/>
      <c r="AP337" s="51"/>
      <c r="AQ337" s="51"/>
      <c r="AR337" s="51"/>
      <c r="AS337" s="51"/>
      <c r="AT337" s="51"/>
      <c r="AU337" s="51"/>
      <c r="AV337" s="51"/>
      <c r="AW337" s="51"/>
      <c r="AX337" s="51"/>
      <c r="AY337" s="51"/>
      <c r="AZ337" s="51"/>
      <c r="BA337" s="51"/>
      <c r="BB337" s="51"/>
      <c r="BC337" s="51"/>
      <c r="BD337" s="51"/>
      <c r="BE337" s="51"/>
      <c r="BF337" s="51"/>
      <c r="BG337" s="51"/>
      <c r="BH337" s="51"/>
      <c r="BI337" s="51"/>
      <c r="BJ337" s="51"/>
      <c r="BK337" s="51"/>
      <c r="BL337" s="51"/>
      <c r="BM337" s="51"/>
      <c r="BN337" s="51"/>
      <c r="BO337" s="51"/>
      <c r="BP337" s="51"/>
      <c r="BQ337" s="51"/>
      <c r="BR337" s="9">
        <f t="shared" si="59"/>
        <v>1</v>
      </c>
      <c r="BT337" s="53" t="str">
        <f t="shared" si="60"/>
        <v>Choum 001</v>
      </c>
      <c r="BU337" s="25"/>
    </row>
    <row r="338" spans="1:73" ht="12.75" customHeight="1" x14ac:dyDescent="0.25">
      <c r="B338" s="23"/>
      <c r="C338" s="209" t="str">
        <f>HYPERLINK("https://sites.wustl.edu/meteoritesite/items/lm_dayer-el-aam_003/",Q338)</f>
        <v>Dayet el Aam 003</v>
      </c>
      <c r="D338" s="210"/>
      <c r="E338" s="210"/>
      <c r="F338" s="211"/>
      <c r="G338" s="89">
        <v>2022</v>
      </c>
      <c r="H338" s="214" t="s">
        <v>396</v>
      </c>
      <c r="I338" s="215"/>
      <c r="J338" s="31">
        <v>225</v>
      </c>
      <c r="K338" s="207" t="s">
        <v>51</v>
      </c>
      <c r="L338" s="207"/>
      <c r="M338" s="32" t="s">
        <v>40</v>
      </c>
      <c r="N338" s="32" t="s">
        <v>40</v>
      </c>
      <c r="P338" s="125">
        <f t="shared" ref="P338" si="84">SUM(V338:BQ338)</f>
        <v>225</v>
      </c>
      <c r="Q338" s="54" t="s">
        <v>777</v>
      </c>
      <c r="R338" s="48"/>
      <c r="S338" s="49"/>
      <c r="T338" s="50">
        <f t="shared" ref="T338" si="85">J338-P338</f>
        <v>0</v>
      </c>
      <c r="V338" s="51">
        <v>225</v>
      </c>
      <c r="W338" s="51"/>
      <c r="X338" s="51"/>
      <c r="Y338" s="51"/>
      <c r="Z338" s="51"/>
      <c r="AA338" s="51"/>
      <c r="AB338" s="51"/>
      <c r="AC338" s="51"/>
      <c r="AD338" s="51"/>
      <c r="AE338" s="51"/>
      <c r="AF338" s="51"/>
      <c r="AG338" s="51"/>
      <c r="AH338" s="51"/>
      <c r="AI338" s="51"/>
      <c r="AJ338" s="51"/>
      <c r="AK338" s="51"/>
      <c r="AL338" s="51"/>
      <c r="AM338" s="51"/>
      <c r="AN338" s="51"/>
      <c r="AO338" s="51"/>
      <c r="AP338" s="51"/>
      <c r="AQ338" s="51"/>
      <c r="AR338" s="51"/>
      <c r="AS338" s="51"/>
      <c r="AT338" s="51"/>
      <c r="AU338" s="51"/>
      <c r="AV338" s="51"/>
      <c r="AW338" s="51"/>
      <c r="AX338" s="51"/>
      <c r="AY338" s="51"/>
      <c r="AZ338" s="51"/>
      <c r="BA338" s="51"/>
      <c r="BB338" s="51"/>
      <c r="BC338" s="51"/>
      <c r="BD338" s="51"/>
      <c r="BE338" s="51"/>
      <c r="BF338" s="51"/>
      <c r="BG338" s="51"/>
      <c r="BH338" s="51"/>
      <c r="BI338" s="51"/>
      <c r="BJ338" s="51"/>
      <c r="BK338" s="51"/>
      <c r="BL338" s="51"/>
      <c r="BM338" s="51"/>
      <c r="BN338" s="51"/>
      <c r="BO338" s="51"/>
      <c r="BP338" s="51"/>
      <c r="BQ338" s="51"/>
      <c r="BR338" s="9">
        <f t="shared" ref="BR338" si="86">COUNT(V338:BQ338)</f>
        <v>1</v>
      </c>
      <c r="BT338" s="53" t="str">
        <f t="shared" ref="BT338" si="87">Q338</f>
        <v>Dayet el Aam 003</v>
      </c>
      <c r="BU338" s="25"/>
    </row>
    <row r="339" spans="1:73" ht="12.75" customHeight="1" x14ac:dyDescent="0.25">
      <c r="B339" s="23"/>
      <c r="C339" s="209" t="str">
        <f>HYPERLINK("https://sites.wustl.edu/meteoritesite/items/lm_dho_2122/",Q339)</f>
        <v>Dhofar 2122</v>
      </c>
      <c r="D339" s="210"/>
      <c r="E339" s="210"/>
      <c r="F339" s="211"/>
      <c r="G339" s="89">
        <v>2021</v>
      </c>
      <c r="H339" s="214" t="s">
        <v>396</v>
      </c>
      <c r="I339" s="215"/>
      <c r="J339" s="114">
        <v>62.843000000000004</v>
      </c>
      <c r="K339" s="286" t="s">
        <v>37</v>
      </c>
      <c r="L339" s="286"/>
      <c r="M339" s="32" t="s">
        <v>40</v>
      </c>
      <c r="N339" s="32" t="s">
        <v>40</v>
      </c>
      <c r="P339" s="125">
        <f t="shared" si="83"/>
        <v>62.843000000000004</v>
      </c>
      <c r="Q339" s="54" t="s">
        <v>517</v>
      </c>
      <c r="R339" s="48"/>
      <c r="S339" s="49"/>
      <c r="T339" s="50">
        <f t="shared" si="55"/>
        <v>0</v>
      </c>
      <c r="V339" s="51">
        <v>62.843000000000004</v>
      </c>
      <c r="W339" s="51"/>
      <c r="X339" s="51"/>
      <c r="Y339" s="51"/>
      <c r="Z339" s="51"/>
      <c r="AA339" s="51"/>
      <c r="AB339" s="51"/>
      <c r="AC339" s="51"/>
      <c r="AD339" s="51"/>
      <c r="AE339" s="51"/>
      <c r="AF339" s="51"/>
      <c r="AG339" s="51"/>
      <c r="AH339" s="51"/>
      <c r="AI339" s="51"/>
      <c r="AJ339" s="51"/>
      <c r="AK339" s="51"/>
      <c r="AL339" s="51"/>
      <c r="AM339" s="51"/>
      <c r="AN339" s="51"/>
      <c r="AO339" s="51"/>
      <c r="AP339" s="51"/>
      <c r="AQ339" s="51"/>
      <c r="AR339" s="51"/>
      <c r="AS339" s="51"/>
      <c r="AT339" s="51"/>
      <c r="AU339" s="51"/>
      <c r="AV339" s="51"/>
      <c r="AW339" s="51"/>
      <c r="AX339" s="51"/>
      <c r="AY339" s="51"/>
      <c r="AZ339" s="51"/>
      <c r="BA339" s="51"/>
      <c r="BB339" s="51"/>
      <c r="BC339" s="51"/>
      <c r="BD339" s="51"/>
      <c r="BE339" s="51"/>
      <c r="BF339" s="51"/>
      <c r="BG339" s="51"/>
      <c r="BH339" s="51"/>
      <c r="BI339" s="51"/>
      <c r="BJ339" s="51"/>
      <c r="BK339" s="51"/>
      <c r="BL339" s="51"/>
      <c r="BM339" s="51"/>
      <c r="BN339" s="51"/>
      <c r="BO339" s="51"/>
      <c r="BP339" s="51"/>
      <c r="BQ339" s="51"/>
      <c r="BR339" s="9">
        <f t="shared" si="59"/>
        <v>1</v>
      </c>
      <c r="BT339" s="53" t="str">
        <f t="shared" si="60"/>
        <v>Dhofar 2122</v>
      </c>
      <c r="BU339" s="25"/>
    </row>
    <row r="340" spans="1:73" s="8" customFormat="1" ht="12.75" customHeight="1" x14ac:dyDescent="0.25">
      <c r="A340"/>
      <c r="B340" s="23"/>
      <c r="C340" s="209" t="str">
        <f>HYPERLINK("https://sites.wustl.edu/meteoritesite/items/lm_dom_18262_clan/",Q340)</f>
        <v xml:space="preserve">Dominion Range 18242/ 18244/  18262/ 18509/ 18543/ 18545/ 18666/ 18678 </v>
      </c>
      <c r="D340" s="210"/>
      <c r="E340" s="210"/>
      <c r="F340" s="211"/>
      <c r="G340" s="89">
        <v>2018</v>
      </c>
      <c r="H340" s="249" t="s">
        <v>38</v>
      </c>
      <c r="I340" s="249"/>
      <c r="J340" s="62">
        <v>140.84700000000004</v>
      </c>
      <c r="K340" s="287" t="s">
        <v>42</v>
      </c>
      <c r="L340" s="287"/>
      <c r="M340" s="32" t="s">
        <v>342</v>
      </c>
      <c r="N340" s="32" t="str">
        <f>HYPERLINK("chemclass/icons/sp_NWA_unn134.jpg",S340)</f>
        <v>?</v>
      </c>
      <c r="O340" s="15"/>
      <c r="P340" s="125">
        <f t="shared" si="83"/>
        <v>140.84700000000004</v>
      </c>
      <c r="Q340" s="54" t="s">
        <v>607</v>
      </c>
      <c r="R340" s="48" t="s">
        <v>40</v>
      </c>
      <c r="S340" s="49" t="s">
        <v>40</v>
      </c>
      <c r="T340" s="50">
        <f t="shared" si="55"/>
        <v>0</v>
      </c>
      <c r="U340" s="9"/>
      <c r="V340" s="51">
        <v>15.92</v>
      </c>
      <c r="W340" s="51">
        <v>25.07</v>
      </c>
      <c r="X340" s="51">
        <v>6.7770000000000001</v>
      </c>
      <c r="Y340" s="51">
        <v>16.52</v>
      </c>
      <c r="Z340" s="51">
        <v>13.59</v>
      </c>
      <c r="AA340" s="51">
        <v>45.87</v>
      </c>
      <c r="AB340" s="51">
        <v>5.46</v>
      </c>
      <c r="AC340" s="51">
        <v>11.64</v>
      </c>
      <c r="AD340" s="51"/>
      <c r="AE340" s="51"/>
      <c r="AF340" s="51"/>
      <c r="AG340" s="51"/>
      <c r="AH340" s="51"/>
      <c r="AI340" s="51"/>
      <c r="AJ340" s="51"/>
      <c r="AK340" s="51"/>
      <c r="AL340" s="51"/>
      <c r="AM340" s="51"/>
      <c r="AN340" s="51"/>
      <c r="AO340" s="51"/>
      <c r="AP340" s="51"/>
      <c r="AQ340" s="51"/>
      <c r="AR340" s="51"/>
      <c r="AS340" s="51"/>
      <c r="AT340" s="51"/>
      <c r="AU340" s="51"/>
      <c r="AV340" s="51"/>
      <c r="AW340" s="51"/>
      <c r="AX340" s="51"/>
      <c r="AY340" s="51"/>
      <c r="AZ340" s="51"/>
      <c r="BA340" s="51"/>
      <c r="BB340" s="51"/>
      <c r="BC340" s="51"/>
      <c r="BD340" s="51"/>
      <c r="BE340" s="51"/>
      <c r="BF340" s="51"/>
      <c r="BG340" s="51"/>
      <c r="BH340" s="51"/>
      <c r="BI340" s="51"/>
      <c r="BJ340" s="51"/>
      <c r="BK340" s="51"/>
      <c r="BL340" s="51"/>
      <c r="BM340" s="51"/>
      <c r="BN340" s="51"/>
      <c r="BO340" s="51"/>
      <c r="BP340" s="51"/>
      <c r="BQ340" s="51"/>
      <c r="BR340" s="9">
        <f t="shared" si="59"/>
        <v>8</v>
      </c>
      <c r="BS340" s="9"/>
      <c r="BT340" s="53" t="str">
        <f t="shared" si="60"/>
        <v xml:space="preserve">Dominion Range 18242/ 18244/  18262/ 18509/ 18543/ 18545/ 18666/ 18678 </v>
      </c>
      <c r="BU340" s="25"/>
    </row>
    <row r="341" spans="1:73" ht="12.75" customHeight="1" x14ac:dyDescent="0.25">
      <c r="B341" s="23"/>
      <c r="C341" s="209" t="str">
        <f>HYPERLINK("https://sites.wustl.edu/meteoritesite/items/lm_elatchane_024/",Q341)</f>
        <v>El Atchane 024</v>
      </c>
      <c r="D341" s="210"/>
      <c r="E341" s="210"/>
      <c r="F341" s="211"/>
      <c r="G341" s="89">
        <v>2023</v>
      </c>
      <c r="H341" s="214" t="s">
        <v>616</v>
      </c>
      <c r="I341" s="215"/>
      <c r="J341" s="33">
        <v>4831</v>
      </c>
      <c r="K341" s="207" t="s">
        <v>66</v>
      </c>
      <c r="L341" s="207"/>
      <c r="M341" s="32" t="s">
        <v>40</v>
      </c>
      <c r="N341" s="32" t="s">
        <v>40</v>
      </c>
      <c r="P341" s="125">
        <f>SUM(V341:BQ341)</f>
        <v>4831</v>
      </c>
      <c r="Q341" s="54" t="s">
        <v>871</v>
      </c>
      <c r="R341" s="48"/>
      <c r="S341" s="49"/>
      <c r="T341" s="50">
        <f>J341-P341</f>
        <v>0</v>
      </c>
      <c r="V341" s="51">
        <v>4831</v>
      </c>
      <c r="W341" s="51"/>
      <c r="X341" s="51"/>
      <c r="Y341" s="51"/>
      <c r="Z341" s="51"/>
      <c r="AA341" s="51"/>
      <c r="AB341" s="51"/>
      <c r="AC341" s="51"/>
      <c r="AD341" s="51"/>
      <c r="AE341" s="51"/>
      <c r="AF341" s="51"/>
      <c r="AG341" s="51"/>
      <c r="AH341" s="51"/>
      <c r="AI341" s="51"/>
      <c r="AJ341" s="51"/>
      <c r="AK341" s="51"/>
      <c r="AL341" s="51"/>
      <c r="AM341" s="51"/>
      <c r="AN341" s="51"/>
      <c r="AO341" s="51"/>
      <c r="AP341" s="51"/>
      <c r="AQ341" s="51"/>
      <c r="AR341" s="51"/>
      <c r="AS341" s="51"/>
      <c r="AT341" s="51"/>
      <c r="AU341" s="51"/>
      <c r="AV341" s="51"/>
      <c r="AW341" s="51"/>
      <c r="AX341" s="51"/>
      <c r="AY341" s="51"/>
      <c r="AZ341" s="51"/>
      <c r="BA341" s="51"/>
      <c r="BB341" s="51"/>
      <c r="BC341" s="51"/>
      <c r="BD341" s="51"/>
      <c r="BE341" s="51"/>
      <c r="BF341" s="51"/>
      <c r="BG341" s="51"/>
      <c r="BH341" s="51"/>
      <c r="BI341" s="51"/>
      <c r="BJ341" s="51"/>
      <c r="BK341" s="51"/>
      <c r="BL341" s="51"/>
      <c r="BM341" s="51"/>
      <c r="BN341" s="51"/>
      <c r="BO341" s="51"/>
      <c r="BP341" s="51"/>
      <c r="BQ341" s="51"/>
      <c r="BR341" s="9">
        <f t="shared" si="59"/>
        <v>1</v>
      </c>
      <c r="BT341" s="53" t="str">
        <f t="shared" si="60"/>
        <v>El Atchane 024</v>
      </c>
      <c r="BU341" s="25"/>
    </row>
    <row r="342" spans="1:73" ht="12.75" customHeight="1" x14ac:dyDescent="0.25">
      <c r="B342" s="23"/>
      <c r="C342" s="209" t="str">
        <f>HYPERLINK("https://sites.wustl.edu/meteoritesite/items/lm_elh_001/",Q342)</f>
        <v>El Hareicha 001</v>
      </c>
      <c r="D342" s="210"/>
      <c r="E342" s="210"/>
      <c r="F342" s="211"/>
      <c r="G342" s="89">
        <v>2022</v>
      </c>
      <c r="H342" s="214" t="s">
        <v>396</v>
      </c>
      <c r="I342" s="215"/>
      <c r="J342" s="31">
        <v>365</v>
      </c>
      <c r="K342" s="207" t="s">
        <v>58</v>
      </c>
      <c r="L342" s="207"/>
      <c r="M342" s="32" t="s">
        <v>40</v>
      </c>
      <c r="N342" s="32" t="s">
        <v>40</v>
      </c>
      <c r="P342" s="125">
        <f>SUM(V342:BQ342)</f>
        <v>365</v>
      </c>
      <c r="Q342" s="54" t="s">
        <v>609</v>
      </c>
      <c r="R342" s="48"/>
      <c r="S342" s="49"/>
      <c r="T342" s="50">
        <f>J342-P342</f>
        <v>0</v>
      </c>
      <c r="V342" s="51">
        <v>365</v>
      </c>
      <c r="W342" s="51"/>
      <c r="X342" s="51"/>
      <c r="Y342" s="51"/>
      <c r="Z342" s="51"/>
      <c r="AA342" s="51"/>
      <c r="AB342" s="51"/>
      <c r="AC342" s="51"/>
      <c r="AD342" s="51"/>
      <c r="AE342" s="51"/>
      <c r="AF342" s="51"/>
      <c r="AG342" s="51"/>
      <c r="AH342" s="51"/>
      <c r="AI342" s="51"/>
      <c r="AJ342" s="51"/>
      <c r="AK342" s="51"/>
      <c r="AL342" s="51"/>
      <c r="AM342" s="51"/>
      <c r="AN342" s="51"/>
      <c r="AO342" s="51"/>
      <c r="AP342" s="51"/>
      <c r="AQ342" s="51"/>
      <c r="AR342" s="51"/>
      <c r="AS342" s="51"/>
      <c r="AT342" s="51"/>
      <c r="AU342" s="51"/>
      <c r="AV342" s="51"/>
      <c r="AW342" s="51"/>
      <c r="AX342" s="51"/>
      <c r="AY342" s="51"/>
      <c r="AZ342" s="51"/>
      <c r="BA342" s="51"/>
      <c r="BB342" s="51"/>
      <c r="BC342" s="51"/>
      <c r="BD342" s="51"/>
      <c r="BE342" s="51"/>
      <c r="BF342" s="51"/>
      <c r="BG342" s="51"/>
      <c r="BH342" s="51"/>
      <c r="BI342" s="51"/>
      <c r="BJ342" s="51"/>
      <c r="BK342" s="51"/>
      <c r="BL342" s="51"/>
      <c r="BM342" s="51"/>
      <c r="BN342" s="51"/>
      <c r="BO342" s="51"/>
      <c r="BP342" s="51"/>
      <c r="BQ342" s="51"/>
      <c r="BR342" s="9">
        <f t="shared" ref="BR342" si="88">COUNT(V342:BQ342)</f>
        <v>1</v>
      </c>
      <c r="BT342" s="53" t="str">
        <f t="shared" ref="BT342" si="89">Q342</f>
        <v>El Hareicha 001</v>
      </c>
      <c r="BU342" s="25"/>
    </row>
    <row r="343" spans="1:73" ht="12.75" customHeight="1" x14ac:dyDescent="0.25">
      <c r="B343" s="23"/>
      <c r="C343" s="209" t="str">
        <f>HYPERLINK("https://sites.wustl.edu/meteoritesite/items/lm_el_mlhas_001/",Q343)</f>
        <v>El Milhas 001</v>
      </c>
      <c r="D343" s="210"/>
      <c r="E343" s="210"/>
      <c r="F343" s="211"/>
      <c r="G343" s="89">
        <v>2022</v>
      </c>
      <c r="H343" s="214" t="s">
        <v>396</v>
      </c>
      <c r="I343" s="215"/>
      <c r="J343" s="32">
        <v>385.3</v>
      </c>
      <c r="K343" s="207" t="s">
        <v>51</v>
      </c>
      <c r="L343" s="207"/>
      <c r="M343" s="32" t="s">
        <v>40</v>
      </c>
      <c r="N343" s="32" t="s">
        <v>40</v>
      </c>
      <c r="P343" s="125">
        <f t="shared" ref="P343:P344" si="90">SUM(V343:BQ343)</f>
        <v>385.3</v>
      </c>
      <c r="Q343" s="54" t="s">
        <v>603</v>
      </c>
      <c r="R343" s="48"/>
      <c r="S343" s="49"/>
      <c r="T343" s="50">
        <f t="shared" ref="T343:T344" si="91">J343-P343</f>
        <v>0</v>
      </c>
      <c r="V343" s="51">
        <v>385.3</v>
      </c>
      <c r="W343" s="51"/>
      <c r="X343" s="51"/>
      <c r="Y343" s="51"/>
      <c r="Z343" s="51"/>
      <c r="AA343" s="51"/>
      <c r="AB343" s="51"/>
      <c r="AC343" s="51"/>
      <c r="AD343" s="51"/>
      <c r="AE343" s="51"/>
      <c r="AF343" s="51"/>
      <c r="AG343" s="51"/>
      <c r="AH343" s="51"/>
      <c r="AI343" s="51"/>
      <c r="AJ343" s="51"/>
      <c r="AK343" s="51"/>
      <c r="AL343" s="51"/>
      <c r="AM343" s="51"/>
      <c r="AN343" s="51"/>
      <c r="AO343" s="51"/>
      <c r="AP343" s="51"/>
      <c r="AQ343" s="51"/>
      <c r="AR343" s="51"/>
      <c r="AS343" s="51"/>
      <c r="AT343" s="51"/>
      <c r="AU343" s="51"/>
      <c r="AV343" s="51"/>
      <c r="AW343" s="51"/>
      <c r="AX343" s="51"/>
      <c r="AY343" s="51"/>
      <c r="AZ343" s="51"/>
      <c r="BA343" s="51"/>
      <c r="BB343" s="51"/>
      <c r="BC343" s="51"/>
      <c r="BD343" s="51"/>
      <c r="BE343" s="51"/>
      <c r="BF343" s="51"/>
      <c r="BG343" s="51"/>
      <c r="BH343" s="51"/>
      <c r="BI343" s="51"/>
      <c r="BJ343" s="51"/>
      <c r="BK343" s="51"/>
      <c r="BL343" s="51"/>
      <c r="BM343" s="51"/>
      <c r="BN343" s="51"/>
      <c r="BO343" s="51"/>
      <c r="BP343" s="51"/>
      <c r="BQ343" s="51"/>
      <c r="BR343" s="9">
        <f t="shared" ref="BR343" si="92">COUNT(V343:BQ343)</f>
        <v>1</v>
      </c>
      <c r="BT343" s="53" t="str">
        <f t="shared" ref="BT343" si="93">Q343</f>
        <v>El Milhas 001</v>
      </c>
      <c r="BU343" s="25" t="s">
        <v>230</v>
      </c>
    </row>
    <row r="344" spans="1:73" ht="12.75" customHeight="1" x14ac:dyDescent="0.25">
      <c r="B344" s="23"/>
      <c r="C344" s="209" t="str">
        <f>HYPERLINK("https://sites.wustl.edu/meteoritesite/items/lm_el_mlhas_002/",Q344)</f>
        <v>El Milhas 002</v>
      </c>
      <c r="D344" s="210"/>
      <c r="E344" s="210"/>
      <c r="F344" s="211"/>
      <c r="G344" s="89">
        <v>2022</v>
      </c>
      <c r="H344" s="214" t="s">
        <v>396</v>
      </c>
      <c r="I344" s="215"/>
      <c r="J344" s="33">
        <v>9853</v>
      </c>
      <c r="K344" s="207" t="s">
        <v>51</v>
      </c>
      <c r="L344" s="207"/>
      <c r="M344" s="32" t="s">
        <v>40</v>
      </c>
      <c r="N344" s="32" t="s">
        <v>40</v>
      </c>
      <c r="P344" s="125">
        <f t="shared" si="90"/>
        <v>9853</v>
      </c>
      <c r="Q344" s="54" t="s">
        <v>610</v>
      </c>
      <c r="R344" s="48"/>
      <c r="S344" s="49"/>
      <c r="T344" s="50">
        <f t="shared" si="91"/>
        <v>0</v>
      </c>
      <c r="V344" s="51">
        <v>9853</v>
      </c>
      <c r="W344" s="51"/>
      <c r="X344" s="51"/>
      <c r="Y344" s="51"/>
      <c r="Z344" s="51"/>
      <c r="AA344" s="51"/>
      <c r="AB344" s="51"/>
      <c r="AC344" s="51"/>
      <c r="AD344" s="51"/>
      <c r="AE344" s="51"/>
      <c r="AF344" s="51"/>
      <c r="AG344" s="51"/>
      <c r="AH344" s="51"/>
      <c r="AI344" s="51"/>
      <c r="AJ344" s="51"/>
      <c r="AK344" s="51"/>
      <c r="AL344" s="51"/>
      <c r="AM344" s="51"/>
      <c r="AN344" s="51"/>
      <c r="AO344" s="51"/>
      <c r="AP344" s="51"/>
      <c r="AQ344" s="51"/>
      <c r="AR344" s="51"/>
      <c r="AS344" s="51"/>
      <c r="AT344" s="51"/>
      <c r="AU344" s="51"/>
      <c r="AV344" s="51"/>
      <c r="AW344" s="51"/>
      <c r="AX344" s="51"/>
      <c r="AY344" s="51"/>
      <c r="AZ344" s="51"/>
      <c r="BA344" s="51"/>
      <c r="BB344" s="51"/>
      <c r="BC344" s="51"/>
      <c r="BD344" s="51"/>
      <c r="BE344" s="51"/>
      <c r="BF344" s="51"/>
      <c r="BG344" s="51"/>
      <c r="BH344" s="51"/>
      <c r="BI344" s="51"/>
      <c r="BJ344" s="51"/>
      <c r="BK344" s="51"/>
      <c r="BL344" s="51"/>
      <c r="BM344" s="51"/>
      <c r="BN344" s="51"/>
      <c r="BO344" s="51"/>
      <c r="BP344" s="51"/>
      <c r="BQ344" s="51"/>
      <c r="BT344" s="53"/>
      <c r="BU344" s="25"/>
    </row>
    <row r="345" spans="1:73" ht="12.75" customHeight="1" x14ac:dyDescent="0.25">
      <c r="B345" s="23"/>
      <c r="C345" s="209" t="str">
        <f>HYPERLINK("https://sites.wustl.edu/meteoritesite/items/lm_el_mlhas_007/",Q345)</f>
        <v>El Milhas 007</v>
      </c>
      <c r="D345" s="210"/>
      <c r="E345" s="210"/>
      <c r="F345" s="211"/>
      <c r="G345" s="89">
        <v>2023</v>
      </c>
      <c r="H345" s="214" t="s">
        <v>762</v>
      </c>
      <c r="I345" s="215"/>
      <c r="J345" s="32">
        <v>318.5</v>
      </c>
      <c r="K345" s="207" t="s">
        <v>51</v>
      </c>
      <c r="L345" s="207"/>
      <c r="M345" s="32" t="s">
        <v>40</v>
      </c>
      <c r="N345" s="32" t="s">
        <v>40</v>
      </c>
      <c r="P345" s="125">
        <f t="shared" ref="P345" si="94">SUM(V345:BQ345)</f>
        <v>318.5</v>
      </c>
      <c r="Q345" s="54" t="s">
        <v>761</v>
      </c>
      <c r="R345" s="48"/>
      <c r="S345" s="49"/>
      <c r="T345" s="50">
        <f t="shared" ref="T345" si="95">J345-P345</f>
        <v>0</v>
      </c>
      <c r="V345" s="51">
        <v>318.5</v>
      </c>
      <c r="W345" s="51"/>
      <c r="X345" s="51"/>
      <c r="Y345" s="51"/>
      <c r="Z345" s="51"/>
      <c r="AA345" s="51"/>
      <c r="AB345" s="51"/>
      <c r="AC345" s="51"/>
      <c r="AD345" s="51"/>
      <c r="AE345" s="51"/>
      <c r="AF345" s="51"/>
      <c r="AG345" s="51"/>
      <c r="AH345" s="51"/>
      <c r="AI345" s="51"/>
      <c r="AJ345" s="51"/>
      <c r="AK345" s="51"/>
      <c r="AL345" s="51"/>
      <c r="AM345" s="51"/>
      <c r="AN345" s="51"/>
      <c r="AO345" s="51"/>
      <c r="AP345" s="51"/>
      <c r="AQ345" s="51"/>
      <c r="AR345" s="51"/>
      <c r="AS345" s="51"/>
      <c r="AT345" s="51"/>
      <c r="AU345" s="51"/>
      <c r="AV345" s="51"/>
      <c r="AW345" s="51"/>
      <c r="AX345" s="51"/>
      <c r="AY345" s="51"/>
      <c r="AZ345" s="51"/>
      <c r="BA345" s="51"/>
      <c r="BB345" s="51"/>
      <c r="BC345" s="51"/>
      <c r="BD345" s="51"/>
      <c r="BE345" s="51"/>
      <c r="BF345" s="51"/>
      <c r="BG345" s="51"/>
      <c r="BH345" s="51"/>
      <c r="BI345" s="51"/>
      <c r="BJ345" s="51"/>
      <c r="BK345" s="51"/>
      <c r="BL345" s="51"/>
      <c r="BM345" s="51"/>
      <c r="BN345" s="51"/>
      <c r="BO345" s="51"/>
      <c r="BP345" s="51"/>
      <c r="BQ345" s="51"/>
      <c r="BT345" s="53"/>
      <c r="BU345" s="25"/>
    </row>
    <row r="346" spans="1:73" ht="12.75" customHeight="1" x14ac:dyDescent="0.25">
      <c r="B346" s="23"/>
      <c r="C346" s="209" t="str">
        <f>HYPERLINK("https://sites.wustl.edu/meteoritesite/items/lm_erg_atouila_005/",Q346)</f>
        <v>Erg Atouila 005</v>
      </c>
      <c r="D346" s="210"/>
      <c r="E346" s="210"/>
      <c r="F346" s="211"/>
      <c r="G346" s="89">
        <v>2022</v>
      </c>
      <c r="H346" s="208" t="s">
        <v>616</v>
      </c>
      <c r="I346" s="208"/>
      <c r="J346" s="33">
        <v>6000</v>
      </c>
      <c r="K346" s="207" t="s">
        <v>58</v>
      </c>
      <c r="L346" s="207"/>
      <c r="M346" s="32" t="s">
        <v>40</v>
      </c>
      <c r="N346" s="32" t="s">
        <v>40</v>
      </c>
      <c r="P346" s="125">
        <f t="shared" ref="P346" si="96">SUM(V346:BQ346)</f>
        <v>6000</v>
      </c>
      <c r="Q346" s="54" t="s">
        <v>699</v>
      </c>
      <c r="R346" s="48"/>
      <c r="S346" s="49"/>
      <c r="T346" s="50">
        <f t="shared" ref="T346" si="97">J346-P346</f>
        <v>0</v>
      </c>
      <c r="V346" s="51">
        <v>6000</v>
      </c>
      <c r="W346" s="51"/>
      <c r="X346" s="51"/>
      <c r="Y346" s="51"/>
      <c r="Z346" s="51"/>
      <c r="AA346" s="51"/>
      <c r="AB346" s="51"/>
      <c r="AC346" s="51"/>
      <c r="AD346" s="51"/>
      <c r="AE346" s="51"/>
      <c r="AF346" s="51"/>
      <c r="AG346" s="51"/>
      <c r="AH346" s="51"/>
      <c r="AI346" s="51"/>
      <c r="AJ346" s="51"/>
      <c r="AK346" s="51"/>
      <c r="AL346" s="51"/>
      <c r="AM346" s="51"/>
      <c r="AN346" s="51"/>
      <c r="AO346" s="51"/>
      <c r="AP346" s="51"/>
      <c r="AQ346" s="51"/>
      <c r="AR346" s="51"/>
      <c r="AS346" s="51"/>
      <c r="AT346" s="51"/>
      <c r="AU346" s="51"/>
      <c r="AV346" s="51"/>
      <c r="AW346" s="51"/>
      <c r="AX346" s="51"/>
      <c r="AY346" s="51"/>
      <c r="AZ346" s="51"/>
      <c r="BA346" s="51"/>
      <c r="BB346" s="51"/>
      <c r="BC346" s="51"/>
      <c r="BD346" s="51"/>
      <c r="BE346" s="51"/>
      <c r="BF346" s="51"/>
      <c r="BG346" s="51"/>
      <c r="BH346" s="51"/>
      <c r="BI346" s="51"/>
      <c r="BJ346" s="51"/>
      <c r="BK346" s="51"/>
      <c r="BL346" s="51"/>
      <c r="BM346" s="51"/>
      <c r="BN346" s="51"/>
      <c r="BO346" s="51"/>
      <c r="BP346" s="51"/>
      <c r="BQ346" s="51"/>
      <c r="BT346" s="53"/>
      <c r="BU346" s="25"/>
    </row>
    <row r="347" spans="1:73" ht="12.75" customHeight="1" x14ac:dyDescent="0.25">
      <c r="B347" s="23"/>
      <c r="C347" s="209" t="str">
        <f>HYPERLINK("https://sites.wustl.edu/meteoritesite/items/lm_errachidia/",Q347)</f>
        <v>Errachidia</v>
      </c>
      <c r="D347" s="210"/>
      <c r="E347" s="210"/>
      <c r="F347" s="211"/>
      <c r="G347" s="89">
        <v>2016</v>
      </c>
      <c r="H347" s="208" t="s">
        <v>41</v>
      </c>
      <c r="I347" s="208"/>
      <c r="J347" s="31">
        <v>156</v>
      </c>
      <c r="K347" s="207" t="s">
        <v>51</v>
      </c>
      <c r="L347" s="207"/>
      <c r="M347" s="32" t="s">
        <v>40</v>
      </c>
      <c r="N347" s="32" t="s">
        <v>40</v>
      </c>
      <c r="P347" s="125">
        <f t="shared" si="83"/>
        <v>156</v>
      </c>
      <c r="Q347" s="54" t="s">
        <v>237</v>
      </c>
      <c r="R347" s="48"/>
      <c r="S347" s="49"/>
      <c r="T347" s="50">
        <f t="shared" si="55"/>
        <v>0</v>
      </c>
      <c r="V347" s="51">
        <v>156</v>
      </c>
      <c r="W347" s="51"/>
      <c r="X347" s="51"/>
      <c r="Y347" s="51"/>
      <c r="Z347" s="51"/>
      <c r="AA347" s="51"/>
      <c r="AB347" s="51"/>
      <c r="AC347" s="51"/>
      <c r="AD347" s="51"/>
      <c r="AE347" s="51"/>
      <c r="AF347" s="51"/>
      <c r="AG347" s="51"/>
      <c r="AH347" s="51"/>
      <c r="AI347" s="51"/>
      <c r="AJ347" s="51"/>
      <c r="AK347" s="51"/>
      <c r="AL347" s="51"/>
      <c r="AM347" s="51"/>
      <c r="AN347" s="51"/>
      <c r="AO347" s="51"/>
      <c r="AP347" s="51"/>
      <c r="AQ347" s="51"/>
      <c r="AR347" s="51"/>
      <c r="AS347" s="51"/>
      <c r="AT347" s="51"/>
      <c r="AU347" s="51"/>
      <c r="AV347" s="51"/>
      <c r="AW347" s="51"/>
      <c r="AX347" s="51"/>
      <c r="AY347" s="51"/>
      <c r="AZ347" s="51"/>
      <c r="BA347" s="51"/>
      <c r="BB347" s="51"/>
      <c r="BC347" s="51"/>
      <c r="BD347" s="51"/>
      <c r="BE347" s="51"/>
      <c r="BF347" s="51"/>
      <c r="BG347" s="51"/>
      <c r="BH347" s="51"/>
      <c r="BI347" s="51"/>
      <c r="BJ347" s="51"/>
      <c r="BK347" s="51"/>
      <c r="BL347" s="51"/>
      <c r="BM347" s="51"/>
      <c r="BN347" s="51"/>
      <c r="BO347" s="51"/>
      <c r="BP347" s="51"/>
      <c r="BQ347" s="51"/>
      <c r="BR347" s="9">
        <f t="shared" si="59"/>
        <v>1</v>
      </c>
      <c r="BT347" s="53" t="str">
        <f t="shared" si="60"/>
        <v>Errachidia</v>
      </c>
      <c r="BU347" s="25" t="s">
        <v>230</v>
      </c>
    </row>
    <row r="348" spans="1:73" ht="12.75" customHeight="1" x14ac:dyDescent="0.25">
      <c r="B348" s="23"/>
      <c r="C348" s="209" t="str">
        <f>HYPERLINK("https://sites.wustl.edu/meteoritesite/items/lm_gadamis_002/",Q348)</f>
        <v>Gadamis 002/ 003/ 004/ 005/ 006/ 008</v>
      </c>
      <c r="D348" s="210"/>
      <c r="E348" s="210"/>
      <c r="F348" s="211"/>
      <c r="G348" s="89" t="s">
        <v>624</v>
      </c>
      <c r="H348" s="214" t="s">
        <v>470</v>
      </c>
      <c r="I348" s="215"/>
      <c r="J348" s="31">
        <v>27655</v>
      </c>
      <c r="K348" s="207" t="s">
        <v>50</v>
      </c>
      <c r="L348" s="207"/>
      <c r="M348" s="32" t="s">
        <v>289</v>
      </c>
      <c r="N348" s="32" t="s">
        <v>40</v>
      </c>
      <c r="P348" s="125">
        <f t="shared" si="83"/>
        <v>27655</v>
      </c>
      <c r="Q348" s="54" t="s">
        <v>839</v>
      </c>
      <c r="R348" s="48"/>
      <c r="S348" s="49"/>
      <c r="T348" s="50">
        <f t="shared" si="55"/>
        <v>0</v>
      </c>
      <c r="V348" s="51">
        <v>712</v>
      </c>
      <c r="W348" s="51">
        <v>1270</v>
      </c>
      <c r="X348" s="51">
        <v>12660</v>
      </c>
      <c r="Y348" s="51">
        <v>10000</v>
      </c>
      <c r="Z348" s="51">
        <v>113</v>
      </c>
      <c r="AA348" s="51">
        <v>2900</v>
      </c>
      <c r="AB348" s="51"/>
      <c r="AC348" s="51"/>
      <c r="AD348" s="51"/>
      <c r="AE348" s="51"/>
      <c r="AF348" s="51"/>
      <c r="AG348" s="51"/>
      <c r="AH348" s="51"/>
      <c r="AI348" s="51"/>
      <c r="AJ348" s="51"/>
      <c r="AK348" s="51"/>
      <c r="AL348" s="51"/>
      <c r="AM348" s="51"/>
      <c r="AN348" s="51"/>
      <c r="AO348" s="51"/>
      <c r="AP348" s="51"/>
      <c r="AQ348" s="51"/>
      <c r="AR348" s="51"/>
      <c r="AS348" s="51"/>
      <c r="AT348" s="51"/>
      <c r="AU348" s="51"/>
      <c r="AV348" s="51"/>
      <c r="AW348" s="51"/>
      <c r="AX348" s="51"/>
      <c r="AY348" s="51"/>
      <c r="AZ348" s="51"/>
      <c r="BA348" s="51"/>
      <c r="BB348" s="51"/>
      <c r="BC348" s="51"/>
      <c r="BD348" s="51"/>
      <c r="BE348" s="51"/>
      <c r="BF348" s="51"/>
      <c r="BG348" s="51"/>
      <c r="BH348" s="51"/>
      <c r="BI348" s="51"/>
      <c r="BJ348" s="51"/>
      <c r="BK348" s="51"/>
      <c r="BL348" s="51"/>
      <c r="BM348" s="51"/>
      <c r="BN348" s="51"/>
      <c r="BO348" s="51"/>
      <c r="BP348" s="51"/>
      <c r="BQ348" s="51"/>
      <c r="BR348" s="9">
        <f t="shared" si="59"/>
        <v>6</v>
      </c>
      <c r="BT348" s="53" t="str">
        <f t="shared" si="60"/>
        <v>Gadamis 002/ 003/ 004/ 005/ 006/ 008</v>
      </c>
      <c r="BU348" s="25"/>
    </row>
    <row r="349" spans="1:73" ht="12.75" customHeight="1" x14ac:dyDescent="0.25">
      <c r="B349" s="23"/>
      <c r="C349" s="209" t="str">
        <f>HYPERLINK("https://sites.wustl.edu/meteoritesite/items/lm_ghardaia_001/",Q349)</f>
        <v>Ghardaïa 001/ 002</v>
      </c>
      <c r="D349" s="210"/>
      <c r="E349" s="210"/>
      <c r="F349" s="211"/>
      <c r="G349" s="89">
        <v>2020</v>
      </c>
      <c r="H349" s="214" t="s">
        <v>396</v>
      </c>
      <c r="I349" s="215"/>
      <c r="J349" s="31">
        <v>850</v>
      </c>
      <c r="K349" s="207" t="s">
        <v>66</v>
      </c>
      <c r="L349" s="207"/>
      <c r="M349" s="32" t="s">
        <v>40</v>
      </c>
      <c r="N349" s="32" t="s">
        <v>40</v>
      </c>
      <c r="P349" s="125">
        <f t="shared" si="83"/>
        <v>850</v>
      </c>
      <c r="Q349" s="54" t="s">
        <v>744</v>
      </c>
      <c r="R349" s="48"/>
      <c r="S349" s="49"/>
      <c r="T349" s="50">
        <f t="shared" si="55"/>
        <v>0</v>
      </c>
      <c r="V349" s="51">
        <v>760</v>
      </c>
      <c r="W349" s="51">
        <v>90</v>
      </c>
      <c r="X349" s="51"/>
      <c r="Y349" s="51"/>
      <c r="Z349" s="51"/>
      <c r="AA349" s="51"/>
      <c r="AB349" s="51"/>
      <c r="AC349" s="51"/>
      <c r="AD349" s="51"/>
      <c r="AE349" s="51"/>
      <c r="AF349" s="51"/>
      <c r="AG349" s="51"/>
      <c r="AH349" s="51"/>
      <c r="AI349" s="51"/>
      <c r="AJ349" s="51"/>
      <c r="AK349" s="51"/>
      <c r="AL349" s="51"/>
      <c r="AM349" s="51"/>
      <c r="AN349" s="51"/>
      <c r="AO349" s="51"/>
      <c r="AP349" s="51"/>
      <c r="AQ349" s="51"/>
      <c r="AR349" s="51"/>
      <c r="AS349" s="51"/>
      <c r="AT349" s="51"/>
      <c r="AU349" s="51"/>
      <c r="AV349" s="51"/>
      <c r="AW349" s="51"/>
      <c r="AX349" s="51"/>
      <c r="AY349" s="51"/>
      <c r="AZ349" s="51"/>
      <c r="BA349" s="51"/>
      <c r="BB349" s="51"/>
      <c r="BC349" s="51"/>
      <c r="BD349" s="51"/>
      <c r="BE349" s="51"/>
      <c r="BF349" s="51"/>
      <c r="BG349" s="51"/>
      <c r="BH349" s="51"/>
      <c r="BI349" s="51"/>
      <c r="BJ349" s="51"/>
      <c r="BK349" s="51"/>
      <c r="BL349" s="51"/>
      <c r="BM349" s="51"/>
      <c r="BN349" s="51"/>
      <c r="BO349" s="51"/>
      <c r="BP349" s="51"/>
      <c r="BQ349" s="51"/>
      <c r="BR349" s="9">
        <f t="shared" si="59"/>
        <v>2</v>
      </c>
      <c r="BT349" s="53" t="str">
        <f t="shared" si="60"/>
        <v>Ghardaïa 001/ 002</v>
      </c>
      <c r="BU349" s="25"/>
    </row>
    <row r="350" spans="1:73" ht="12.75" customHeight="1" x14ac:dyDescent="0.25">
      <c r="B350" s="23"/>
      <c r="C350" s="209" t="str">
        <f>HYPERLINK("https://sites.wustl.edu/meteoritesite/items/lm_grizim_002/",Q350)</f>
        <v>Grizim 002</v>
      </c>
      <c r="D350" s="210"/>
      <c r="E350" s="210"/>
      <c r="F350" s="211"/>
      <c r="G350" s="89">
        <v>2022</v>
      </c>
      <c r="H350" s="214" t="s">
        <v>396</v>
      </c>
      <c r="I350" s="215"/>
      <c r="J350" s="62">
        <v>79.56</v>
      </c>
      <c r="K350" s="207" t="s">
        <v>66</v>
      </c>
      <c r="L350" s="207"/>
      <c r="M350" s="32" t="s">
        <v>40</v>
      </c>
      <c r="N350" s="32" t="s">
        <v>40</v>
      </c>
      <c r="P350" s="125">
        <f t="shared" ref="P350:P352" si="98">SUM(V350:BQ350)</f>
        <v>79.56</v>
      </c>
      <c r="Q350" s="54" t="s">
        <v>643</v>
      </c>
      <c r="R350" s="48"/>
      <c r="S350" s="49"/>
      <c r="T350" s="50">
        <f t="shared" ref="T350" si="99">J350-P350</f>
        <v>0</v>
      </c>
      <c r="V350" s="51">
        <v>79.56</v>
      </c>
      <c r="W350" s="51"/>
      <c r="X350" s="51"/>
      <c r="Y350" s="51"/>
      <c r="Z350" s="51"/>
      <c r="AA350" s="51"/>
      <c r="AB350" s="51"/>
      <c r="AC350" s="51"/>
      <c r="AD350" s="51"/>
      <c r="AE350" s="51"/>
      <c r="AF350" s="51"/>
      <c r="AG350" s="51"/>
      <c r="AH350" s="51"/>
      <c r="AI350" s="51"/>
      <c r="AJ350" s="51"/>
      <c r="AK350" s="51"/>
      <c r="AL350" s="51"/>
      <c r="AM350" s="51"/>
      <c r="AN350" s="51"/>
      <c r="AO350" s="51"/>
      <c r="AP350" s="51"/>
      <c r="AQ350" s="51"/>
      <c r="AR350" s="51"/>
      <c r="AS350" s="51"/>
      <c r="AT350" s="51"/>
      <c r="AU350" s="51"/>
      <c r="AV350" s="51"/>
      <c r="AW350" s="51"/>
      <c r="AX350" s="51"/>
      <c r="AY350" s="51"/>
      <c r="AZ350" s="51"/>
      <c r="BA350" s="51"/>
      <c r="BB350" s="51"/>
      <c r="BC350" s="51"/>
      <c r="BD350" s="51"/>
      <c r="BE350" s="51"/>
      <c r="BF350" s="51"/>
      <c r="BG350" s="51"/>
      <c r="BH350" s="51"/>
      <c r="BI350" s="51"/>
      <c r="BJ350" s="51"/>
      <c r="BK350" s="51"/>
      <c r="BL350" s="51"/>
      <c r="BM350" s="51"/>
      <c r="BN350" s="51"/>
      <c r="BO350" s="51"/>
      <c r="BP350" s="51"/>
      <c r="BQ350" s="51"/>
      <c r="BR350" s="9">
        <f t="shared" ref="BR350" si="100">COUNT(V350:BQ350)</f>
        <v>1</v>
      </c>
      <c r="BT350" s="53" t="str">
        <f t="shared" ref="BT350" si="101">Q350</f>
        <v>Grizim 002</v>
      </c>
      <c r="BU350" s="25"/>
    </row>
    <row r="351" spans="1:73" s="8" customFormat="1" ht="12.75" customHeight="1" x14ac:dyDescent="0.25">
      <c r="A351"/>
      <c r="B351" s="23"/>
      <c r="C351" s="209" t="str">
        <f>HYPERLINK("https://sites.wustl.edu/meteoritesite/items/lm_grv_150357/",Q351)</f>
        <v>Grove Mountains 150357</v>
      </c>
      <c r="D351" s="210"/>
      <c r="E351" s="210"/>
      <c r="F351" s="211"/>
      <c r="G351" s="89">
        <v>2015</v>
      </c>
      <c r="H351" s="214" t="s">
        <v>396</v>
      </c>
      <c r="I351" s="215"/>
      <c r="J351" s="62">
        <v>11.73</v>
      </c>
      <c r="K351" s="287" t="s">
        <v>42</v>
      </c>
      <c r="L351" s="287"/>
      <c r="M351" s="32" t="s">
        <v>40</v>
      </c>
      <c r="N351" s="32" t="str">
        <f>HYPERLINK("chemclass/icons/sp_NWA_unn134.jpg",S351)</f>
        <v>?</v>
      </c>
      <c r="O351" s="15"/>
      <c r="P351" s="125">
        <f t="shared" si="98"/>
        <v>11.73</v>
      </c>
      <c r="Q351" s="54" t="s">
        <v>625</v>
      </c>
      <c r="R351" s="48" t="s">
        <v>40</v>
      </c>
      <c r="S351" s="49" t="s">
        <v>40</v>
      </c>
      <c r="T351" s="50">
        <f t="shared" ref="T351:T353" si="102">J351-P351</f>
        <v>0</v>
      </c>
      <c r="U351" s="9"/>
      <c r="V351" s="51">
        <v>11.73</v>
      </c>
      <c r="W351" s="51"/>
      <c r="X351" s="51"/>
      <c r="Y351" s="51"/>
      <c r="Z351" s="51"/>
      <c r="AA351" s="51"/>
      <c r="AB351" s="51"/>
      <c r="AC351" s="51"/>
      <c r="AD351" s="51"/>
      <c r="AE351" s="51"/>
      <c r="AF351" s="51"/>
      <c r="AG351" s="51"/>
      <c r="AH351" s="51"/>
      <c r="AI351" s="51"/>
      <c r="AJ351" s="51"/>
      <c r="AK351" s="51"/>
      <c r="AL351" s="51"/>
      <c r="AM351" s="51"/>
      <c r="AN351" s="51"/>
      <c r="AO351" s="51"/>
      <c r="AP351" s="51"/>
      <c r="AQ351" s="51"/>
      <c r="AR351" s="51"/>
      <c r="AS351" s="51"/>
      <c r="AT351" s="51"/>
      <c r="AU351" s="51"/>
      <c r="AV351" s="51"/>
      <c r="AW351" s="51"/>
      <c r="AX351" s="51"/>
      <c r="AY351" s="51"/>
      <c r="AZ351" s="51"/>
      <c r="BA351" s="51"/>
      <c r="BB351" s="51"/>
      <c r="BC351" s="51"/>
      <c r="BD351" s="51"/>
      <c r="BE351" s="51"/>
      <c r="BF351" s="51"/>
      <c r="BG351" s="51"/>
      <c r="BH351" s="51"/>
      <c r="BI351" s="51"/>
      <c r="BJ351" s="51"/>
      <c r="BK351" s="51"/>
      <c r="BL351" s="51"/>
      <c r="BM351" s="51"/>
      <c r="BN351" s="51"/>
      <c r="BO351" s="51"/>
      <c r="BP351" s="51"/>
      <c r="BQ351" s="51"/>
      <c r="BR351" s="9">
        <f t="shared" ref="BR351:BR353" si="103">COUNT(V351:BQ351)</f>
        <v>1</v>
      </c>
      <c r="BS351" s="9"/>
      <c r="BT351" s="53" t="str">
        <f t="shared" ref="BT351:BT353" si="104">Q351</f>
        <v>Grove Mountains 150357</v>
      </c>
      <c r="BU351" s="25"/>
    </row>
    <row r="352" spans="1:73" ht="12.75" customHeight="1" x14ac:dyDescent="0.25">
      <c r="B352" s="23"/>
      <c r="C352" s="209" t="str">
        <f>HYPERLINK("https://sites.wustl.edu/meteoritesite/items/lm_guemar_002/",Q352)</f>
        <v>Guemar 002</v>
      </c>
      <c r="D352" s="210"/>
      <c r="E352" s="210"/>
      <c r="F352" s="211"/>
      <c r="G352" s="89">
        <v>2023</v>
      </c>
      <c r="H352" s="240" t="s">
        <v>545</v>
      </c>
      <c r="I352" s="240"/>
      <c r="J352" s="62">
        <v>195.61</v>
      </c>
      <c r="K352" s="207" t="s">
        <v>66</v>
      </c>
      <c r="L352" s="207"/>
      <c r="M352" s="32" t="s">
        <v>342</v>
      </c>
      <c r="N352" s="32" t="s">
        <v>40</v>
      </c>
      <c r="P352" s="125">
        <f t="shared" si="98"/>
        <v>195.61</v>
      </c>
      <c r="Q352" s="54" t="s">
        <v>850</v>
      </c>
      <c r="R352" s="48"/>
      <c r="S352" s="49"/>
      <c r="T352" s="50">
        <f t="shared" si="102"/>
        <v>0</v>
      </c>
      <c r="V352" s="51">
        <v>195.61</v>
      </c>
      <c r="W352" s="51"/>
      <c r="X352" s="51"/>
      <c r="Y352" s="51"/>
      <c r="Z352" s="51"/>
      <c r="AA352" s="51"/>
      <c r="AB352" s="51"/>
      <c r="AC352" s="51"/>
      <c r="AD352" s="51"/>
      <c r="AE352" s="51"/>
      <c r="AF352" s="51"/>
      <c r="AG352" s="51"/>
      <c r="AH352" s="51"/>
      <c r="AI352" s="51"/>
      <c r="AJ352" s="51"/>
      <c r="AK352" s="51"/>
      <c r="AL352" s="51"/>
      <c r="AM352" s="51"/>
      <c r="AN352" s="51"/>
      <c r="AO352" s="51"/>
      <c r="AP352" s="51"/>
      <c r="AQ352" s="51"/>
      <c r="AR352" s="51"/>
      <c r="AS352" s="51"/>
      <c r="AT352" s="51"/>
      <c r="AU352" s="51"/>
      <c r="AV352" s="51"/>
      <c r="AW352" s="51"/>
      <c r="AX352" s="51"/>
      <c r="AY352" s="51"/>
      <c r="AZ352" s="51"/>
      <c r="BA352" s="51"/>
      <c r="BB352" s="51"/>
      <c r="BC352" s="51"/>
      <c r="BD352" s="51"/>
      <c r="BE352" s="51"/>
      <c r="BF352" s="51"/>
      <c r="BG352" s="51"/>
      <c r="BH352" s="51"/>
      <c r="BI352" s="51"/>
      <c r="BJ352" s="51"/>
      <c r="BK352" s="51"/>
      <c r="BL352" s="51"/>
      <c r="BM352" s="51"/>
      <c r="BN352" s="51"/>
      <c r="BO352" s="51"/>
      <c r="BP352" s="51"/>
      <c r="BQ352" s="51"/>
      <c r="BR352" s="9">
        <f t="shared" si="103"/>
        <v>1</v>
      </c>
      <c r="BT352" s="53" t="str">
        <f t="shared" si="104"/>
        <v>Guemar 002</v>
      </c>
      <c r="BU352" s="25"/>
    </row>
    <row r="353" spans="1:73" ht="12.75" customHeight="1" x14ac:dyDescent="0.25">
      <c r="B353" s="23"/>
      <c r="C353" s="209" t="str">
        <f>HYPERLINK("https://sites.wustl.edu/meteoritesite/items/lm_heb_004/",Q353)</f>
        <v>Hassi el Biod 004/ 005</v>
      </c>
      <c r="D353" s="210"/>
      <c r="E353" s="210"/>
      <c r="F353" s="211"/>
      <c r="G353" s="89" t="s">
        <v>764</v>
      </c>
      <c r="H353" s="214" t="s">
        <v>396</v>
      </c>
      <c r="I353" s="215"/>
      <c r="J353" s="32">
        <v>1475.3</v>
      </c>
      <c r="K353" s="207" t="s">
        <v>66</v>
      </c>
      <c r="L353" s="207"/>
      <c r="M353" s="32" t="s">
        <v>40</v>
      </c>
      <c r="N353" s="32" t="s">
        <v>40</v>
      </c>
      <c r="P353" s="125">
        <f t="shared" ref="P353" si="105">SUM(V353:BQ353)</f>
        <v>1475.3</v>
      </c>
      <c r="Q353" s="54" t="s">
        <v>763</v>
      </c>
      <c r="R353" s="48"/>
      <c r="S353" s="49"/>
      <c r="T353" s="50">
        <f t="shared" si="102"/>
        <v>0</v>
      </c>
      <c r="V353" s="51">
        <v>124.3</v>
      </c>
      <c r="W353" s="51">
        <v>1351</v>
      </c>
      <c r="X353" s="51"/>
      <c r="Y353" s="51"/>
      <c r="Z353" s="51"/>
      <c r="AA353" s="51"/>
      <c r="AB353" s="51"/>
      <c r="AC353" s="51"/>
      <c r="AD353" s="51"/>
      <c r="AE353" s="51"/>
      <c r="AF353" s="51"/>
      <c r="AG353" s="51"/>
      <c r="AH353" s="51"/>
      <c r="AI353" s="51"/>
      <c r="AJ353" s="51"/>
      <c r="AK353" s="51"/>
      <c r="AL353" s="51"/>
      <c r="AM353" s="51"/>
      <c r="AN353" s="51"/>
      <c r="AO353" s="51"/>
      <c r="AP353" s="51"/>
      <c r="AQ353" s="51"/>
      <c r="AR353" s="51"/>
      <c r="AS353" s="51"/>
      <c r="AT353" s="51"/>
      <c r="AU353" s="51"/>
      <c r="AV353" s="51"/>
      <c r="AW353" s="51"/>
      <c r="AX353" s="51"/>
      <c r="AY353" s="51"/>
      <c r="AZ353" s="51"/>
      <c r="BA353" s="51"/>
      <c r="BB353" s="51"/>
      <c r="BC353" s="51"/>
      <c r="BD353" s="51"/>
      <c r="BE353" s="51"/>
      <c r="BF353" s="51"/>
      <c r="BG353" s="51"/>
      <c r="BH353" s="51"/>
      <c r="BI353" s="51"/>
      <c r="BJ353" s="51"/>
      <c r="BK353" s="51"/>
      <c r="BL353" s="51"/>
      <c r="BM353" s="51"/>
      <c r="BN353" s="51"/>
      <c r="BO353" s="51"/>
      <c r="BP353" s="51"/>
      <c r="BQ353" s="51"/>
      <c r="BR353" s="9">
        <f t="shared" si="103"/>
        <v>2</v>
      </c>
      <c r="BT353" s="53" t="str">
        <f t="shared" si="104"/>
        <v>Hassi el Biod 004/ 005</v>
      </c>
      <c r="BU353" s="25"/>
    </row>
    <row r="354" spans="1:73" ht="12.75" customHeight="1" x14ac:dyDescent="0.25">
      <c r="B354" s="23"/>
      <c r="C354" s="209" t="str">
        <f>HYPERLINK("https://sites.wustl.edu/meteoritesite/items/lm_heb_006/",Q354)</f>
        <v>Hassi el Biod 006</v>
      </c>
      <c r="D354" s="210"/>
      <c r="E354" s="210"/>
      <c r="F354" s="211"/>
      <c r="G354" s="89">
        <v>2024</v>
      </c>
      <c r="H354" s="214" t="s">
        <v>833</v>
      </c>
      <c r="I354" s="215"/>
      <c r="J354" s="33">
        <v>90</v>
      </c>
      <c r="K354" s="207" t="s">
        <v>66</v>
      </c>
      <c r="L354" s="207"/>
      <c r="M354" s="32" t="s">
        <v>40</v>
      </c>
      <c r="N354" s="32" t="s">
        <v>40</v>
      </c>
      <c r="P354" s="125">
        <f t="shared" ref="P354" si="106">SUM(V354:BQ354)</f>
        <v>90</v>
      </c>
      <c r="Q354" s="54" t="s">
        <v>832</v>
      </c>
      <c r="R354" s="48"/>
      <c r="S354" s="49"/>
      <c r="T354" s="50">
        <f t="shared" ref="T354" si="107">J354-P354</f>
        <v>0</v>
      </c>
      <c r="V354" s="51">
        <v>90</v>
      </c>
      <c r="W354" s="51"/>
      <c r="X354" s="51"/>
      <c r="Y354" s="51"/>
      <c r="Z354" s="51"/>
      <c r="AA354" s="51"/>
      <c r="AB354" s="51"/>
      <c r="AC354" s="51"/>
      <c r="AD354" s="51"/>
      <c r="AE354" s="51"/>
      <c r="AF354" s="51"/>
      <c r="AG354" s="51"/>
      <c r="AH354" s="51"/>
      <c r="AI354" s="51"/>
      <c r="AJ354" s="51"/>
      <c r="AK354" s="51"/>
      <c r="AL354" s="51"/>
      <c r="AM354" s="51"/>
      <c r="AN354" s="51"/>
      <c r="AO354" s="51"/>
      <c r="AP354" s="51"/>
      <c r="AQ354" s="51"/>
      <c r="AR354" s="51"/>
      <c r="AS354" s="51"/>
      <c r="AT354" s="51"/>
      <c r="AU354" s="51"/>
      <c r="AV354" s="51"/>
      <c r="AW354" s="51"/>
      <c r="AX354" s="51"/>
      <c r="AY354" s="51"/>
      <c r="AZ354" s="51"/>
      <c r="BA354" s="51"/>
      <c r="BB354" s="51"/>
      <c r="BC354" s="51"/>
      <c r="BD354" s="51"/>
      <c r="BE354" s="51"/>
      <c r="BF354" s="51"/>
      <c r="BG354" s="51"/>
      <c r="BH354" s="51"/>
      <c r="BI354" s="51"/>
      <c r="BJ354" s="51"/>
      <c r="BK354" s="51"/>
      <c r="BL354" s="51"/>
      <c r="BM354" s="51"/>
      <c r="BN354" s="51"/>
      <c r="BO354" s="51"/>
      <c r="BP354" s="51"/>
      <c r="BQ354" s="51"/>
      <c r="BR354" s="9">
        <f t="shared" ref="BR354" si="108">COUNT(V354:BQ354)</f>
        <v>1</v>
      </c>
      <c r="BT354" s="53" t="str">
        <f t="shared" ref="BT354" si="109">Q354</f>
        <v>Hassi el Biod 006</v>
      </c>
      <c r="BU354" s="25"/>
    </row>
    <row r="355" spans="1:73" ht="12.75" customHeight="1" x14ac:dyDescent="0.25">
      <c r="B355" s="23"/>
      <c r="C355" s="209" t="str">
        <f>HYPERLINK("https://sites.wustl.edu/meteoritesite/items/lm_hassi_touil_001/",Q355)</f>
        <v>Hassi Touil 001</v>
      </c>
      <c r="D355" s="210"/>
      <c r="E355" s="210"/>
      <c r="F355" s="211"/>
      <c r="G355" s="89">
        <v>2020</v>
      </c>
      <c r="H355" s="208" t="s">
        <v>38</v>
      </c>
      <c r="I355" s="208"/>
      <c r="J355" s="31">
        <v>221</v>
      </c>
      <c r="K355" s="207" t="s">
        <v>66</v>
      </c>
      <c r="L355" s="207"/>
      <c r="M355" s="32" t="s">
        <v>40</v>
      </c>
      <c r="N355" s="32" t="s">
        <v>40</v>
      </c>
      <c r="P355" s="125">
        <f t="shared" si="83"/>
        <v>221</v>
      </c>
      <c r="Q355" s="54" t="s">
        <v>524</v>
      </c>
      <c r="R355" s="48"/>
      <c r="S355" s="49"/>
      <c r="T355" s="50">
        <f t="shared" si="55"/>
        <v>0</v>
      </c>
      <c r="V355" s="51">
        <v>221</v>
      </c>
      <c r="W355" s="51"/>
      <c r="X355" s="51"/>
      <c r="Y355" s="51"/>
      <c r="Z355" s="51"/>
      <c r="AA355" s="51"/>
      <c r="AB355" s="51"/>
      <c r="AC355" s="51"/>
      <c r="AD355" s="51"/>
      <c r="AE355" s="51"/>
      <c r="AF355" s="51"/>
      <c r="AG355" s="51"/>
      <c r="AH355" s="51"/>
      <c r="AI355" s="51"/>
      <c r="AJ355" s="51"/>
      <c r="AK355" s="51"/>
      <c r="AL355" s="51"/>
      <c r="AM355" s="51"/>
      <c r="AN355" s="51"/>
      <c r="AO355" s="51"/>
      <c r="AP355" s="51"/>
      <c r="AQ355" s="51"/>
      <c r="AR355" s="51"/>
      <c r="AS355" s="51"/>
      <c r="AT355" s="51"/>
      <c r="AU355" s="51"/>
      <c r="AV355" s="51"/>
      <c r="AW355" s="51"/>
      <c r="AX355" s="51"/>
      <c r="AY355" s="51"/>
      <c r="AZ355" s="51"/>
      <c r="BA355" s="51"/>
      <c r="BB355" s="51"/>
      <c r="BC355" s="51"/>
      <c r="BD355" s="51"/>
      <c r="BE355" s="51"/>
      <c r="BF355" s="51"/>
      <c r="BG355" s="51"/>
      <c r="BH355" s="51"/>
      <c r="BI355" s="51"/>
      <c r="BJ355" s="51"/>
      <c r="BK355" s="51"/>
      <c r="BL355" s="51"/>
      <c r="BM355" s="51"/>
      <c r="BN355" s="51"/>
      <c r="BO355" s="51"/>
      <c r="BP355" s="51"/>
      <c r="BQ355" s="51"/>
      <c r="BR355" s="9">
        <f t="shared" si="59"/>
        <v>1</v>
      </c>
      <c r="BT355" s="53" t="str">
        <f t="shared" si="60"/>
        <v>Hassi Touil 001</v>
      </c>
      <c r="BU355" s="25"/>
    </row>
    <row r="356" spans="1:73" ht="12.75" customHeight="1" x14ac:dyDescent="0.25">
      <c r="B356" s="23"/>
      <c r="C356" s="209" t="str">
        <f>HYPERLINK("https://sites.wustl.edu/meteoritesite/items/lm_hzr_001/",Q356)</f>
        <v>Hassi Zerara 001</v>
      </c>
      <c r="D356" s="210"/>
      <c r="E356" s="210"/>
      <c r="F356" s="211"/>
      <c r="G356" s="89">
        <v>2023</v>
      </c>
      <c r="H356" s="240" t="s">
        <v>545</v>
      </c>
      <c r="I356" s="240"/>
      <c r="J356" s="31">
        <v>330</v>
      </c>
      <c r="K356" s="207" t="s">
        <v>66</v>
      </c>
      <c r="L356" s="207"/>
      <c r="M356" s="32" t="s">
        <v>776</v>
      </c>
      <c r="N356" s="32" t="s">
        <v>40</v>
      </c>
      <c r="P356" s="125">
        <f t="shared" ref="P356" si="110">SUM(V356:BQ356)</f>
        <v>330</v>
      </c>
      <c r="Q356" s="54" t="s">
        <v>775</v>
      </c>
      <c r="R356" s="48"/>
      <c r="S356" s="49"/>
      <c r="T356" s="50">
        <f t="shared" ref="T356" si="111">J356-P356</f>
        <v>0</v>
      </c>
      <c r="V356" s="51">
        <v>330</v>
      </c>
      <c r="W356" s="51"/>
      <c r="X356" s="51"/>
      <c r="Y356" s="51"/>
      <c r="Z356" s="51"/>
      <c r="AA356" s="51"/>
      <c r="AB356" s="51"/>
      <c r="AC356" s="51"/>
      <c r="AD356" s="51"/>
      <c r="AE356" s="51"/>
      <c r="AF356" s="51"/>
      <c r="AG356" s="51"/>
      <c r="AH356" s="51"/>
      <c r="AI356" s="51"/>
      <c r="AJ356" s="51"/>
      <c r="AK356" s="51"/>
      <c r="AL356" s="51"/>
      <c r="AM356" s="51"/>
      <c r="AN356" s="51"/>
      <c r="AO356" s="51"/>
      <c r="AP356" s="51"/>
      <c r="AQ356" s="51"/>
      <c r="AR356" s="51"/>
      <c r="AS356" s="51"/>
      <c r="AT356" s="51"/>
      <c r="AU356" s="51"/>
      <c r="AV356" s="51"/>
      <c r="AW356" s="51"/>
      <c r="AX356" s="51"/>
      <c r="AY356" s="51"/>
      <c r="AZ356" s="51"/>
      <c r="BA356" s="51"/>
      <c r="BB356" s="51"/>
      <c r="BC356" s="51"/>
      <c r="BD356" s="51"/>
      <c r="BE356" s="51"/>
      <c r="BF356" s="51"/>
      <c r="BG356" s="51"/>
      <c r="BH356" s="51"/>
      <c r="BI356" s="51"/>
      <c r="BJ356" s="51"/>
      <c r="BK356" s="51"/>
      <c r="BL356" s="51"/>
      <c r="BM356" s="51"/>
      <c r="BN356" s="51"/>
      <c r="BO356" s="51"/>
      <c r="BP356" s="51"/>
      <c r="BQ356" s="51"/>
      <c r="BR356" s="9">
        <f t="shared" ref="BR356" si="112">COUNT(V356:BQ356)</f>
        <v>1</v>
      </c>
      <c r="BT356" s="53" t="str">
        <f t="shared" ref="BT356" si="113">Q356</f>
        <v>Hassi Zerara 001</v>
      </c>
      <c r="BU356" s="25"/>
    </row>
    <row r="357" spans="1:73" ht="12.75" customHeight="1" x14ac:dyDescent="0.25">
      <c r="B357" s="23"/>
      <c r="C357" s="209" t="str">
        <f>HYPERLINK("https://sites.wustl.edu/meteoritesite/items/lm_hzr_004/",Q357)</f>
        <v>Hassi Zerara 004</v>
      </c>
      <c r="D357" s="210"/>
      <c r="E357" s="210"/>
      <c r="F357" s="211"/>
      <c r="G357" s="89">
        <v>2024</v>
      </c>
      <c r="H357" s="208" t="s">
        <v>38</v>
      </c>
      <c r="I357" s="208"/>
      <c r="J357" s="31">
        <v>228</v>
      </c>
      <c r="K357" s="207" t="s">
        <v>66</v>
      </c>
      <c r="L357" s="207"/>
      <c r="M357" s="32" t="s">
        <v>40</v>
      </c>
      <c r="N357" s="32" t="s">
        <v>40</v>
      </c>
      <c r="P357" s="125">
        <f t="shared" ref="P357" si="114">SUM(V357:BQ357)</f>
        <v>228</v>
      </c>
      <c r="Q357" s="54" t="s">
        <v>840</v>
      </c>
      <c r="R357" s="48"/>
      <c r="S357" s="49"/>
      <c r="T357" s="50">
        <f t="shared" ref="T357" si="115">J357-P357</f>
        <v>0</v>
      </c>
      <c r="V357" s="51">
        <v>228</v>
      </c>
      <c r="W357" s="51"/>
      <c r="X357" s="51"/>
      <c r="Y357" s="51"/>
      <c r="Z357" s="51"/>
      <c r="AA357" s="51"/>
      <c r="AB357" s="51"/>
      <c r="AC357" s="51"/>
      <c r="AD357" s="51"/>
      <c r="AE357" s="51"/>
      <c r="AF357" s="51"/>
      <c r="AG357" s="51"/>
      <c r="AH357" s="51"/>
      <c r="AI357" s="51"/>
      <c r="AJ357" s="51"/>
      <c r="AK357" s="51"/>
      <c r="AL357" s="51"/>
      <c r="AM357" s="51"/>
      <c r="AN357" s="51"/>
      <c r="AO357" s="51"/>
      <c r="AP357" s="51"/>
      <c r="AQ357" s="51"/>
      <c r="AR357" s="51"/>
      <c r="AS357" s="51"/>
      <c r="AT357" s="51"/>
      <c r="AU357" s="51"/>
      <c r="AV357" s="51"/>
      <c r="AW357" s="51"/>
      <c r="AX357" s="51"/>
      <c r="AY357" s="51"/>
      <c r="AZ357" s="51"/>
      <c r="BA357" s="51"/>
      <c r="BB357" s="51"/>
      <c r="BC357" s="51"/>
      <c r="BD357" s="51"/>
      <c r="BE357" s="51"/>
      <c r="BF357" s="51"/>
      <c r="BG357" s="51"/>
      <c r="BH357" s="51"/>
      <c r="BI357" s="51"/>
      <c r="BJ357" s="51"/>
      <c r="BK357" s="51"/>
      <c r="BL357" s="51"/>
      <c r="BM357" s="51"/>
      <c r="BN357" s="51"/>
      <c r="BO357" s="51"/>
      <c r="BP357" s="51"/>
      <c r="BQ357" s="51"/>
      <c r="BR357" s="9">
        <f t="shared" ref="BR357" si="116">COUNT(V357:BQ357)</f>
        <v>1</v>
      </c>
      <c r="BT357" s="53" t="str">
        <f t="shared" ref="BT357" si="117">Q357</f>
        <v>Hassi Zerara 004</v>
      </c>
      <c r="BU357" s="25"/>
    </row>
    <row r="358" spans="1:73" ht="12.75" customHeight="1" x14ac:dyDescent="0.25">
      <c r="B358" s="23"/>
      <c r="C358" s="209" t="str">
        <f>HYPERLINK("https://sites.wustl.edu/meteoritesite/items/lm_ini_001/",Q358)</f>
        <v>Issaouane-n-Irrararene 001</v>
      </c>
      <c r="D358" s="210"/>
      <c r="E358" s="210"/>
      <c r="F358" s="211"/>
      <c r="G358" s="89">
        <v>2021</v>
      </c>
      <c r="H358" s="208" t="s">
        <v>726</v>
      </c>
      <c r="I358" s="208"/>
      <c r="J358" s="32">
        <v>161.19999999999999</v>
      </c>
      <c r="K358" s="207" t="s">
        <v>66</v>
      </c>
      <c r="L358" s="207"/>
      <c r="M358" s="32" t="s">
        <v>40</v>
      </c>
      <c r="N358" s="32" t="s">
        <v>40</v>
      </c>
      <c r="P358" s="125">
        <f t="shared" si="83"/>
        <v>161.19999999999999</v>
      </c>
      <c r="Q358" s="54" t="s">
        <v>549</v>
      </c>
      <c r="R358" s="48"/>
      <c r="S358" s="49"/>
      <c r="T358" s="50">
        <f t="shared" si="55"/>
        <v>0</v>
      </c>
      <c r="V358" s="51">
        <v>161.19999999999999</v>
      </c>
      <c r="W358" s="51"/>
      <c r="X358" s="51"/>
      <c r="Y358" s="51"/>
      <c r="Z358" s="51"/>
      <c r="AA358" s="51"/>
      <c r="AB358" s="51"/>
      <c r="AC358" s="51"/>
      <c r="AD358" s="51"/>
      <c r="AE358" s="51"/>
      <c r="AF358" s="51"/>
      <c r="AG358" s="51"/>
      <c r="AH358" s="51"/>
      <c r="AI358" s="51"/>
      <c r="AJ358" s="51"/>
      <c r="AK358" s="51"/>
      <c r="AL358" s="51"/>
      <c r="AM358" s="51"/>
      <c r="AN358" s="51"/>
      <c r="AO358" s="51"/>
      <c r="AP358" s="51"/>
      <c r="AQ358" s="51"/>
      <c r="AR358" s="51"/>
      <c r="AS358" s="51"/>
      <c r="AT358" s="51"/>
      <c r="AU358" s="51"/>
      <c r="AV358" s="51"/>
      <c r="AW358" s="51"/>
      <c r="AX358" s="51"/>
      <c r="AY358" s="51"/>
      <c r="AZ358" s="51"/>
      <c r="BA358" s="51"/>
      <c r="BB358" s="51"/>
      <c r="BC358" s="51"/>
      <c r="BD358" s="51"/>
      <c r="BE358" s="51"/>
      <c r="BF358" s="51"/>
      <c r="BG358" s="51"/>
      <c r="BH358" s="51"/>
      <c r="BI358" s="51"/>
      <c r="BJ358" s="51"/>
      <c r="BK358" s="51"/>
      <c r="BL358" s="51"/>
      <c r="BM358" s="51"/>
      <c r="BN358" s="51"/>
      <c r="BO358" s="51"/>
      <c r="BP358" s="51"/>
      <c r="BQ358" s="51"/>
      <c r="BR358" s="9">
        <f t="shared" si="59"/>
        <v>1</v>
      </c>
      <c r="BT358" s="53" t="str">
        <f t="shared" si="60"/>
        <v>Issaouane-n-Irrararene 001</v>
      </c>
      <c r="BU358" s="25"/>
    </row>
    <row r="359" spans="1:73" ht="12.75" customHeight="1" x14ac:dyDescent="0.25">
      <c r="B359" s="23"/>
      <c r="C359" s="209" t="str">
        <f>HYPERLINK("https://sites.wustl.edu/meteoritesite/items/lm_istifane_007/",Q359)</f>
        <v>Istifane 007</v>
      </c>
      <c r="D359" s="210"/>
      <c r="E359" s="210"/>
      <c r="F359" s="211"/>
      <c r="G359" s="89">
        <v>2021</v>
      </c>
      <c r="H359" s="214" t="s">
        <v>396</v>
      </c>
      <c r="I359" s="215"/>
      <c r="J359" s="33">
        <v>512</v>
      </c>
      <c r="K359" s="207" t="s">
        <v>66</v>
      </c>
      <c r="L359" s="207"/>
      <c r="M359" s="32" t="s">
        <v>40</v>
      </c>
      <c r="N359" s="32" t="s">
        <v>40</v>
      </c>
      <c r="P359" s="125">
        <f t="shared" ref="P359:P360" si="118">SUM(V359:BQ359)</f>
        <v>512</v>
      </c>
      <c r="Q359" s="54" t="s">
        <v>583</v>
      </c>
      <c r="R359" s="48"/>
      <c r="S359" s="49"/>
      <c r="T359" s="50">
        <f t="shared" ref="T359:T360" si="119">J359-P359</f>
        <v>0</v>
      </c>
      <c r="V359" s="51">
        <v>512</v>
      </c>
      <c r="W359" s="51"/>
      <c r="X359" s="51"/>
      <c r="Y359" s="51"/>
      <c r="Z359" s="51"/>
      <c r="AA359" s="51"/>
      <c r="AB359" s="51"/>
      <c r="AC359" s="51"/>
      <c r="AD359" s="51"/>
      <c r="AE359" s="51"/>
      <c r="AF359" s="51"/>
      <c r="AG359" s="51"/>
      <c r="AH359" s="51"/>
      <c r="AI359" s="51"/>
      <c r="AJ359" s="51"/>
      <c r="AK359" s="51"/>
      <c r="AL359" s="51"/>
      <c r="AM359" s="51"/>
      <c r="AN359" s="51"/>
      <c r="AO359" s="51"/>
      <c r="AP359" s="51"/>
      <c r="AQ359" s="51"/>
      <c r="AR359" s="51"/>
      <c r="AS359" s="51"/>
      <c r="AT359" s="51"/>
      <c r="AU359" s="51"/>
      <c r="AV359" s="51"/>
      <c r="AW359" s="51"/>
      <c r="AX359" s="51"/>
      <c r="AY359" s="51"/>
      <c r="AZ359" s="51"/>
      <c r="BA359" s="51"/>
      <c r="BB359" s="51"/>
      <c r="BC359" s="51"/>
      <c r="BD359" s="51"/>
      <c r="BE359" s="51"/>
      <c r="BF359" s="51"/>
      <c r="BG359" s="51"/>
      <c r="BH359" s="51"/>
      <c r="BI359" s="51"/>
      <c r="BJ359" s="51"/>
      <c r="BK359" s="51"/>
      <c r="BL359" s="51"/>
      <c r="BM359" s="51"/>
      <c r="BN359" s="51"/>
      <c r="BO359" s="51"/>
      <c r="BP359" s="51"/>
      <c r="BQ359" s="51"/>
      <c r="BR359" s="9">
        <f t="shared" si="59"/>
        <v>1</v>
      </c>
      <c r="BT359" s="53" t="str">
        <f t="shared" si="60"/>
        <v>Istifane 007</v>
      </c>
      <c r="BU359" s="25"/>
    </row>
    <row r="360" spans="1:73" ht="12.75" customHeight="1" x14ac:dyDescent="0.25">
      <c r="B360" s="23"/>
      <c r="C360" s="209" t="str">
        <f>HYPERLINK("https://sites.wustl.edu/meteoritesite/items/lm_jah_1118/",Q360)</f>
        <v>Jiddat al Harasis 1118</v>
      </c>
      <c r="D360" s="210"/>
      <c r="E360" s="210"/>
      <c r="F360" s="211"/>
      <c r="G360" s="89">
        <v>2009</v>
      </c>
      <c r="H360" s="214" t="s">
        <v>396</v>
      </c>
      <c r="I360" s="215"/>
      <c r="J360" s="33">
        <v>616</v>
      </c>
      <c r="K360" s="286" t="s">
        <v>37</v>
      </c>
      <c r="L360" s="286"/>
      <c r="M360" s="32" t="s">
        <v>40</v>
      </c>
      <c r="N360" s="32" t="s">
        <v>40</v>
      </c>
      <c r="P360" s="125">
        <f t="shared" si="118"/>
        <v>616</v>
      </c>
      <c r="Q360" s="54" t="s">
        <v>692</v>
      </c>
      <c r="R360" s="48"/>
      <c r="S360" s="49"/>
      <c r="T360" s="50">
        <f t="shared" si="119"/>
        <v>0</v>
      </c>
      <c r="V360" s="51">
        <v>616</v>
      </c>
      <c r="W360" s="51"/>
      <c r="X360" s="51"/>
      <c r="Y360" s="51"/>
      <c r="Z360" s="51"/>
      <c r="AA360" s="51"/>
      <c r="AB360" s="51"/>
      <c r="AC360" s="51"/>
      <c r="AD360" s="51"/>
      <c r="AE360" s="51"/>
      <c r="AF360" s="51"/>
      <c r="AG360" s="51"/>
      <c r="AH360" s="51"/>
      <c r="AI360" s="51"/>
      <c r="AJ360" s="51"/>
      <c r="AK360" s="51"/>
      <c r="AL360" s="51"/>
      <c r="AM360" s="51"/>
      <c r="AN360" s="51"/>
      <c r="AO360" s="51"/>
      <c r="AP360" s="51"/>
      <c r="AQ360" s="51"/>
      <c r="AR360" s="51"/>
      <c r="AS360" s="51"/>
      <c r="AT360" s="51"/>
      <c r="AU360" s="51"/>
      <c r="AV360" s="51"/>
      <c r="AW360" s="51"/>
      <c r="AX360" s="51"/>
      <c r="AY360" s="51"/>
      <c r="AZ360" s="51"/>
      <c r="BA360" s="51"/>
      <c r="BB360" s="51"/>
      <c r="BC360" s="51"/>
      <c r="BD360" s="51"/>
      <c r="BE360" s="51"/>
      <c r="BF360" s="51"/>
      <c r="BG360" s="51"/>
      <c r="BH360" s="51"/>
      <c r="BI360" s="51"/>
      <c r="BJ360" s="51"/>
      <c r="BK360" s="51"/>
      <c r="BL360" s="51"/>
      <c r="BM360" s="51"/>
      <c r="BN360" s="51"/>
      <c r="BO360" s="51"/>
      <c r="BP360" s="51"/>
      <c r="BQ360" s="51"/>
      <c r="BR360" s="9">
        <f t="shared" ref="BR360" si="120">COUNT(V360:BQ360)</f>
        <v>1</v>
      </c>
      <c r="BT360" s="53" t="str">
        <f t="shared" ref="BT360" si="121">Q360</f>
        <v>Jiddat al Harasis 1118</v>
      </c>
      <c r="BU360" s="25"/>
    </row>
    <row r="361" spans="1:73" ht="12.75" customHeight="1" x14ac:dyDescent="0.25">
      <c r="B361" s="23"/>
      <c r="C361" s="209" t="str">
        <f>HYPERLINK("https://sites.wustl.edu/meteoritesite/items/lm_laayoune_002/",Q361)</f>
        <v>Laâyoune 002/ 003</v>
      </c>
      <c r="D361" s="210"/>
      <c r="E361" s="210"/>
      <c r="F361" s="211"/>
      <c r="G361" s="89">
        <v>2022</v>
      </c>
      <c r="H361" s="214" t="s">
        <v>396</v>
      </c>
      <c r="I361" s="215"/>
      <c r="J361" s="33">
        <v>5488.38</v>
      </c>
      <c r="K361" s="207" t="s">
        <v>44</v>
      </c>
      <c r="L361" s="207"/>
      <c r="M361" s="32" t="s">
        <v>40</v>
      </c>
      <c r="N361" s="32" t="s">
        <v>40</v>
      </c>
      <c r="P361" s="130">
        <f t="shared" si="83"/>
        <v>5488.38</v>
      </c>
      <c r="Q361" s="54" t="s">
        <v>700</v>
      </c>
      <c r="R361" s="48"/>
      <c r="S361" s="49"/>
      <c r="T361" s="50">
        <f t="shared" si="55"/>
        <v>0</v>
      </c>
      <c r="V361" s="51">
        <v>5148</v>
      </c>
      <c r="W361" s="51">
        <v>340.38</v>
      </c>
      <c r="X361" s="51"/>
      <c r="Y361" s="51"/>
      <c r="Z361" s="51"/>
      <c r="AA361" s="51"/>
      <c r="AB361" s="51"/>
      <c r="AC361" s="51"/>
      <c r="AD361" s="51"/>
      <c r="AE361" s="51"/>
      <c r="AF361" s="51"/>
      <c r="AG361" s="51"/>
      <c r="AH361" s="51"/>
      <c r="AI361" s="51"/>
      <c r="AJ361" s="51"/>
      <c r="AK361" s="51"/>
      <c r="AL361" s="51"/>
      <c r="AM361" s="51"/>
      <c r="AN361" s="51"/>
      <c r="AO361" s="51"/>
      <c r="AP361" s="51"/>
      <c r="AQ361" s="51"/>
      <c r="AR361" s="51"/>
      <c r="AS361" s="51"/>
      <c r="AT361" s="51"/>
      <c r="AU361" s="51"/>
      <c r="AV361" s="51"/>
      <c r="AW361" s="51"/>
      <c r="AX361" s="51"/>
      <c r="AY361" s="51"/>
      <c r="AZ361" s="51"/>
      <c r="BA361" s="51"/>
      <c r="BB361" s="51"/>
      <c r="BC361" s="51"/>
      <c r="BD361" s="51"/>
      <c r="BE361" s="51"/>
      <c r="BF361" s="51"/>
      <c r="BG361" s="51"/>
      <c r="BH361" s="51"/>
      <c r="BI361" s="51"/>
      <c r="BJ361" s="51"/>
      <c r="BK361" s="51"/>
      <c r="BL361" s="51"/>
      <c r="BM361" s="51"/>
      <c r="BN361" s="51"/>
      <c r="BO361" s="51"/>
      <c r="BP361" s="51"/>
      <c r="BQ361" s="51"/>
      <c r="BR361" s="9">
        <f t="shared" si="59"/>
        <v>2</v>
      </c>
      <c r="BT361" s="53" t="str">
        <f t="shared" si="60"/>
        <v>Laâyoune 002/ 003</v>
      </c>
      <c r="BU361" s="25"/>
    </row>
    <row r="362" spans="1:73" ht="12.75" customHeight="1" x14ac:dyDescent="0.25">
      <c r="B362" s="23"/>
      <c r="C362" s="209" t="str">
        <f>HYPERLINK("https://sites.wustl.edu/meteoritesite/items/lm_lahmada_020/",Q362)</f>
        <v>Lahmada 020/ 046/ 047/ 051</v>
      </c>
      <c r="D362" s="210"/>
      <c r="E362" s="210"/>
      <c r="F362" s="211"/>
      <c r="G362" s="89">
        <v>2018</v>
      </c>
      <c r="H362" s="208" t="s">
        <v>189</v>
      </c>
      <c r="I362" s="208"/>
      <c r="J362" s="31">
        <v>15052.77</v>
      </c>
      <c r="K362" s="207" t="s">
        <v>44</v>
      </c>
      <c r="L362" s="207"/>
      <c r="M362" s="32" t="s">
        <v>40</v>
      </c>
      <c r="N362" s="32" t="s">
        <v>40</v>
      </c>
      <c r="P362" s="125">
        <f t="shared" si="83"/>
        <v>15052.77</v>
      </c>
      <c r="Q362" s="54" t="s">
        <v>807</v>
      </c>
      <c r="R362" s="48"/>
      <c r="S362" s="49"/>
      <c r="T362" s="50">
        <f t="shared" si="55"/>
        <v>0</v>
      </c>
      <c r="V362" s="51">
        <v>12168</v>
      </c>
      <c r="W362" s="51">
        <v>71.239999999999995</v>
      </c>
      <c r="X362" s="51">
        <v>182</v>
      </c>
      <c r="Y362" s="51">
        <v>2631.53</v>
      </c>
      <c r="Z362" s="51"/>
      <c r="AA362" s="51"/>
      <c r="AB362" s="51"/>
      <c r="AC362" s="51"/>
      <c r="AD362" s="51"/>
      <c r="AE362" s="51"/>
      <c r="AF362" s="51"/>
      <c r="AG362" s="51"/>
      <c r="AH362" s="51"/>
      <c r="AI362" s="51"/>
      <c r="AJ362" s="51"/>
      <c r="AK362" s="51"/>
      <c r="AL362" s="51"/>
      <c r="AM362" s="51"/>
      <c r="AN362" s="51"/>
      <c r="AO362" s="51"/>
      <c r="AP362" s="51"/>
      <c r="AQ362" s="51"/>
      <c r="AR362" s="51"/>
      <c r="AS362" s="51"/>
      <c r="AT362" s="51"/>
      <c r="AU362" s="51"/>
      <c r="AV362" s="51"/>
      <c r="AW362" s="51"/>
      <c r="AX362" s="51"/>
      <c r="AY362" s="51"/>
      <c r="AZ362" s="51"/>
      <c r="BA362" s="51"/>
      <c r="BB362" s="51"/>
      <c r="BC362" s="51"/>
      <c r="BD362" s="51"/>
      <c r="BE362" s="51"/>
      <c r="BF362" s="51"/>
      <c r="BG362" s="51"/>
      <c r="BH362" s="51"/>
      <c r="BI362" s="51"/>
      <c r="BJ362" s="51"/>
      <c r="BK362" s="51"/>
      <c r="BL362" s="51"/>
      <c r="BM362" s="51"/>
      <c r="BN362" s="51"/>
      <c r="BO362" s="51"/>
      <c r="BP362" s="51"/>
      <c r="BQ362" s="51"/>
      <c r="BR362" s="9">
        <f t="shared" si="59"/>
        <v>4</v>
      </c>
      <c r="BT362" s="53" t="str">
        <f t="shared" si="60"/>
        <v>Lahmada 020/ 046/ 047/ 051</v>
      </c>
      <c r="BU362" s="25"/>
    </row>
    <row r="363" spans="1:73" ht="12.75" customHeight="1" x14ac:dyDescent="0.25">
      <c r="B363" s="23"/>
      <c r="C363" s="209" t="str">
        <f>HYPERLINK("https://sites.wustl.edu/meteoritesite/items/lm_nea_014/",Q363)</f>
        <v>Northeast Africa 014</v>
      </c>
      <c r="D363" s="210"/>
      <c r="E363" s="210"/>
      <c r="F363" s="211"/>
      <c r="G363" s="89">
        <v>2020</v>
      </c>
      <c r="H363" s="214" t="s">
        <v>396</v>
      </c>
      <c r="I363" s="215"/>
      <c r="J363" s="33">
        <v>1601</v>
      </c>
      <c r="K363" s="207" t="s">
        <v>50</v>
      </c>
      <c r="L363" s="207"/>
      <c r="M363" s="32" t="s">
        <v>40</v>
      </c>
      <c r="N363" s="32" t="s">
        <v>40</v>
      </c>
      <c r="P363" s="125">
        <f t="shared" si="83"/>
        <v>1601</v>
      </c>
      <c r="Q363" s="54" t="s">
        <v>434</v>
      </c>
      <c r="R363" s="48"/>
      <c r="S363" s="49"/>
      <c r="T363" s="50">
        <f t="shared" si="55"/>
        <v>0</v>
      </c>
      <c r="V363" s="51">
        <v>1601</v>
      </c>
      <c r="W363" s="51"/>
      <c r="X363" s="51"/>
      <c r="Y363" s="51"/>
      <c r="Z363" s="51"/>
      <c r="AA363" s="51"/>
      <c r="AB363" s="51"/>
      <c r="AC363" s="51"/>
      <c r="AD363" s="51"/>
      <c r="AE363" s="51"/>
      <c r="AF363" s="51"/>
      <c r="AG363" s="51"/>
      <c r="AH363" s="51"/>
      <c r="AI363" s="51"/>
      <c r="AJ363" s="51"/>
      <c r="AK363" s="51"/>
      <c r="AL363" s="51"/>
      <c r="AM363" s="51"/>
      <c r="AN363" s="51"/>
      <c r="AO363" s="51"/>
      <c r="AP363" s="51"/>
      <c r="AQ363" s="51"/>
      <c r="AR363" s="51"/>
      <c r="AS363" s="51"/>
      <c r="AT363" s="51"/>
      <c r="AU363" s="51"/>
      <c r="AV363" s="51"/>
      <c r="AW363" s="51"/>
      <c r="AX363" s="51"/>
      <c r="AY363" s="51"/>
      <c r="AZ363" s="51"/>
      <c r="BA363" s="51"/>
      <c r="BB363" s="51"/>
      <c r="BC363" s="51"/>
      <c r="BD363" s="51"/>
      <c r="BE363" s="51"/>
      <c r="BF363" s="51"/>
      <c r="BG363" s="51"/>
      <c r="BH363" s="51"/>
      <c r="BI363" s="51"/>
      <c r="BJ363" s="51"/>
      <c r="BK363" s="51"/>
      <c r="BL363" s="51"/>
      <c r="BM363" s="51"/>
      <c r="BN363" s="51"/>
      <c r="BO363" s="51"/>
      <c r="BP363" s="51"/>
      <c r="BQ363" s="51"/>
      <c r="BR363" s="9">
        <f t="shared" si="59"/>
        <v>1</v>
      </c>
      <c r="BT363" s="53" t="str">
        <f t="shared" si="60"/>
        <v>Northeast Africa 014</v>
      </c>
      <c r="BU363" s="25"/>
    </row>
    <row r="364" spans="1:73" s="8" customFormat="1" ht="12.75" customHeight="1" x14ac:dyDescent="0.25">
      <c r="A364"/>
      <c r="B364" s="23"/>
      <c r="C364" s="209" t="str">
        <f>HYPERLINK("https://sites.wustl.edu/meteoritesite/items/lm_nea_039/",Q364)</f>
        <v>Northeast Africa 039</v>
      </c>
      <c r="D364" s="210"/>
      <c r="E364" s="210"/>
      <c r="F364" s="211"/>
      <c r="G364" s="89">
        <v>2023</v>
      </c>
      <c r="H364" s="240" t="s">
        <v>545</v>
      </c>
      <c r="I364" s="240"/>
      <c r="J364" s="33">
        <v>1536</v>
      </c>
      <c r="K364" s="207" t="s">
        <v>50</v>
      </c>
      <c r="L364" s="207"/>
      <c r="M364" s="32" t="s">
        <v>342</v>
      </c>
      <c r="N364" s="32" t="s">
        <v>40</v>
      </c>
      <c r="O364" s="15"/>
      <c r="P364" s="125">
        <f>SUM(V364:BQ364)</f>
        <v>1536</v>
      </c>
      <c r="Q364" s="54" t="s">
        <v>688</v>
      </c>
      <c r="R364" s="48"/>
      <c r="S364" s="49"/>
      <c r="T364" s="50">
        <f>J364-P364</f>
        <v>0</v>
      </c>
      <c r="U364" s="9"/>
      <c r="V364" s="51">
        <v>1536</v>
      </c>
      <c r="W364" s="51"/>
      <c r="X364" s="51"/>
      <c r="Y364" s="51"/>
      <c r="Z364" s="51"/>
      <c r="AA364" s="51"/>
      <c r="AB364" s="51"/>
      <c r="AC364" s="51"/>
      <c r="AD364" s="51"/>
      <c r="AE364" s="51"/>
      <c r="AF364" s="51"/>
      <c r="AG364" s="51"/>
      <c r="AH364" s="51"/>
      <c r="AI364" s="51"/>
      <c r="AJ364" s="51"/>
      <c r="AK364" s="51"/>
      <c r="AL364" s="51"/>
      <c r="AM364" s="51"/>
      <c r="AN364" s="51"/>
      <c r="AO364" s="51"/>
      <c r="AP364" s="51"/>
      <c r="AQ364" s="51"/>
      <c r="AR364" s="51"/>
      <c r="AS364" s="51"/>
      <c r="AT364" s="51"/>
      <c r="AU364" s="51"/>
      <c r="AV364" s="51"/>
      <c r="AW364" s="51"/>
      <c r="AX364" s="51"/>
      <c r="AY364" s="51"/>
      <c r="AZ364" s="51"/>
      <c r="BA364" s="51"/>
      <c r="BB364" s="51"/>
      <c r="BC364" s="51"/>
      <c r="BD364" s="51"/>
      <c r="BE364" s="51"/>
      <c r="BF364" s="51"/>
      <c r="BG364" s="51"/>
      <c r="BH364" s="51"/>
      <c r="BI364" s="51"/>
      <c r="BJ364" s="51"/>
      <c r="BK364" s="51"/>
      <c r="BL364" s="51"/>
      <c r="BM364" s="51"/>
      <c r="BN364" s="51"/>
      <c r="BO364" s="51"/>
      <c r="BP364" s="51"/>
      <c r="BQ364" s="51"/>
      <c r="BR364" s="9">
        <f>COUNT(V364:BQ364)</f>
        <v>1</v>
      </c>
      <c r="BS364" s="9"/>
      <c r="BT364" s="53" t="str">
        <f>Q364</f>
        <v>Northeast Africa 039</v>
      </c>
      <c r="BU364" s="25"/>
    </row>
    <row r="365" spans="1:73" ht="12.75" customHeight="1" x14ac:dyDescent="0.25">
      <c r="B365" s="23"/>
      <c r="C365" s="209" t="str">
        <f>HYPERLINK("https://sites.wustl.edu/meteoritesite/items/lm_nea_042/",Q365)</f>
        <v>Northeast Africa 042</v>
      </c>
      <c r="D365" s="210"/>
      <c r="E365" s="210"/>
      <c r="F365" s="211"/>
      <c r="G365" s="89">
        <v>2023</v>
      </c>
      <c r="H365" s="208" t="s">
        <v>41</v>
      </c>
      <c r="I365" s="208"/>
      <c r="J365" s="33">
        <v>482</v>
      </c>
      <c r="K365" s="207" t="s">
        <v>50</v>
      </c>
      <c r="L365" s="207"/>
      <c r="M365" s="32" t="s">
        <v>40</v>
      </c>
      <c r="N365" s="32" t="s">
        <v>40</v>
      </c>
      <c r="P365" s="125">
        <f t="shared" ref="P365" si="122">SUM(V365:BQ365)</f>
        <v>482</v>
      </c>
      <c r="Q365" s="54" t="s">
        <v>709</v>
      </c>
      <c r="R365" s="48"/>
      <c r="S365" s="49"/>
      <c r="T365" s="50">
        <f t="shared" ref="T365" si="123">J365-P365</f>
        <v>0</v>
      </c>
      <c r="V365" s="51">
        <v>482</v>
      </c>
      <c r="W365" s="51"/>
      <c r="X365" s="51"/>
      <c r="Y365" s="51"/>
      <c r="Z365" s="51"/>
      <c r="AA365" s="51"/>
      <c r="AB365" s="51"/>
      <c r="AC365" s="51"/>
      <c r="AD365" s="51"/>
      <c r="AE365" s="51"/>
      <c r="AF365" s="51"/>
      <c r="AG365" s="51"/>
      <c r="AH365" s="51"/>
      <c r="AI365" s="51"/>
      <c r="AJ365" s="51"/>
      <c r="AK365" s="51"/>
      <c r="AL365" s="51"/>
      <c r="AM365" s="51"/>
      <c r="AN365" s="51"/>
      <c r="AO365" s="51"/>
      <c r="AP365" s="51"/>
      <c r="AQ365" s="51"/>
      <c r="AR365" s="51"/>
      <c r="AS365" s="51"/>
      <c r="AT365" s="51"/>
      <c r="AU365" s="51"/>
      <c r="AV365" s="51"/>
      <c r="AW365" s="51"/>
      <c r="AX365" s="51"/>
      <c r="AY365" s="51"/>
      <c r="AZ365" s="51"/>
      <c r="BA365" s="51"/>
      <c r="BB365" s="51"/>
      <c r="BC365" s="51"/>
      <c r="BD365" s="51"/>
      <c r="BE365" s="51"/>
      <c r="BF365" s="51"/>
      <c r="BG365" s="51"/>
      <c r="BH365" s="51"/>
      <c r="BI365" s="51"/>
      <c r="BJ365" s="51"/>
      <c r="BK365" s="51"/>
      <c r="BL365" s="51"/>
      <c r="BM365" s="51"/>
      <c r="BN365" s="51"/>
      <c r="BO365" s="51"/>
      <c r="BP365" s="51"/>
      <c r="BQ365" s="51"/>
      <c r="BR365" s="9">
        <f t="shared" ref="BR365" si="124">COUNT(V365:BQ365)</f>
        <v>1</v>
      </c>
      <c r="BT365" s="53" t="str">
        <f t="shared" ref="BT365" si="125">Q365</f>
        <v>Northeast Africa 042</v>
      </c>
      <c r="BU365" s="25"/>
    </row>
    <row r="366" spans="1:73" ht="12.75" customHeight="1" x14ac:dyDescent="0.25">
      <c r="B366" s="23"/>
      <c r="C366" s="209" t="str">
        <f>HYPERLINK("https://sites.wustl.edu/meteoritesite/items/lm_nea_063/",Q366)</f>
        <v>Northeast Africa 063</v>
      </c>
      <c r="D366" s="210"/>
      <c r="E366" s="210"/>
      <c r="F366" s="211"/>
      <c r="G366" s="89">
        <v>2021</v>
      </c>
      <c r="H366" s="208" t="s">
        <v>470</v>
      </c>
      <c r="I366" s="208"/>
      <c r="J366" s="31">
        <v>42700</v>
      </c>
      <c r="K366" s="207" t="s">
        <v>50</v>
      </c>
      <c r="L366" s="207"/>
      <c r="M366" s="32" t="s">
        <v>781</v>
      </c>
      <c r="N366" s="32" t="s">
        <v>40</v>
      </c>
      <c r="P366" s="125">
        <f t="shared" ref="P366" si="126">SUM(V366:BQ366)</f>
        <v>42700</v>
      </c>
      <c r="Q366" s="54" t="s">
        <v>780</v>
      </c>
      <c r="R366" s="48"/>
      <c r="S366" s="49"/>
      <c r="T366" s="50">
        <f t="shared" ref="T366" si="127">J366-P366</f>
        <v>0</v>
      </c>
      <c r="V366" s="51">
        <v>42700</v>
      </c>
      <c r="W366" s="51"/>
      <c r="X366" s="51"/>
      <c r="Y366" s="51"/>
      <c r="Z366" s="51"/>
      <c r="AA366" s="51"/>
      <c r="AB366" s="51"/>
      <c r="AC366" s="51"/>
      <c r="AD366" s="51"/>
      <c r="AE366" s="51"/>
      <c r="AF366" s="51"/>
      <c r="AG366" s="51"/>
      <c r="AH366" s="51"/>
      <c r="AI366" s="51"/>
      <c r="AJ366" s="51"/>
      <c r="AK366" s="51"/>
      <c r="AL366" s="51"/>
      <c r="AM366" s="51"/>
      <c r="AN366" s="51"/>
      <c r="AO366" s="51"/>
      <c r="AP366" s="51"/>
      <c r="AQ366" s="51"/>
      <c r="AR366" s="51"/>
      <c r="AS366" s="51"/>
      <c r="AT366" s="51"/>
      <c r="AU366" s="51"/>
      <c r="AV366" s="51"/>
      <c r="AW366" s="51"/>
      <c r="AX366" s="51"/>
      <c r="AY366" s="51"/>
      <c r="AZ366" s="51"/>
      <c r="BA366" s="51"/>
      <c r="BB366" s="51"/>
      <c r="BC366" s="51"/>
      <c r="BD366" s="51"/>
      <c r="BE366" s="51"/>
      <c r="BF366" s="51"/>
      <c r="BG366" s="51"/>
      <c r="BH366" s="51"/>
      <c r="BI366" s="51"/>
      <c r="BJ366" s="51"/>
      <c r="BK366" s="51"/>
      <c r="BL366" s="51"/>
      <c r="BM366" s="51"/>
      <c r="BN366" s="51"/>
      <c r="BO366" s="51"/>
      <c r="BP366" s="51"/>
      <c r="BQ366" s="51"/>
      <c r="BR366" s="9">
        <f t="shared" ref="BR366" si="128">COUNT(V366:BQ366)</f>
        <v>1</v>
      </c>
      <c r="BT366" s="53" t="str">
        <f t="shared" ref="BT366" si="129">Q366</f>
        <v>Northeast Africa 063</v>
      </c>
      <c r="BU366" s="25"/>
    </row>
    <row r="367" spans="1:73" ht="12.75" customHeight="1" x14ac:dyDescent="0.25">
      <c r="B367" s="23"/>
      <c r="C367" s="209" t="str">
        <f>HYPERLINK("https://sites.wustl.edu/meteoritesite/items/lm_nea_075/",Q367)</f>
        <v>Northeast Africa 075</v>
      </c>
      <c r="D367" s="210"/>
      <c r="E367" s="210"/>
      <c r="F367" s="211"/>
      <c r="G367" s="89">
        <v>2024</v>
      </c>
      <c r="H367" s="208" t="s">
        <v>38</v>
      </c>
      <c r="I367" s="208"/>
      <c r="J367" s="32">
        <v>38.200000000000003</v>
      </c>
      <c r="K367" s="207" t="s">
        <v>59</v>
      </c>
      <c r="L367" s="207"/>
      <c r="M367" s="32" t="s">
        <v>781</v>
      </c>
      <c r="N367" s="32" t="s">
        <v>40</v>
      </c>
      <c r="P367" s="125">
        <f t="shared" ref="P367:P371" si="130">SUM(V367:BQ367)</f>
        <v>38.200000000000003</v>
      </c>
      <c r="Q367" s="54" t="s">
        <v>809</v>
      </c>
      <c r="R367" s="48"/>
      <c r="S367" s="49"/>
      <c r="T367" s="50">
        <f t="shared" ref="T367:T371" si="131">J367-P367</f>
        <v>0</v>
      </c>
      <c r="V367" s="51">
        <v>38.200000000000003</v>
      </c>
      <c r="W367" s="51"/>
      <c r="X367" s="51"/>
      <c r="Y367" s="51"/>
      <c r="Z367" s="51"/>
      <c r="AA367" s="51"/>
      <c r="AB367" s="51"/>
      <c r="AC367" s="51"/>
      <c r="AD367" s="51"/>
      <c r="AE367" s="51"/>
      <c r="AF367" s="51"/>
      <c r="AG367" s="51"/>
      <c r="AH367" s="51"/>
      <c r="AI367" s="51"/>
      <c r="AJ367" s="51"/>
      <c r="AK367" s="51"/>
      <c r="AL367" s="51"/>
      <c r="AM367" s="51"/>
      <c r="AN367" s="51"/>
      <c r="AO367" s="51"/>
      <c r="AP367" s="51"/>
      <c r="AQ367" s="51"/>
      <c r="AR367" s="51"/>
      <c r="AS367" s="51"/>
      <c r="AT367" s="51"/>
      <c r="AU367" s="51"/>
      <c r="AV367" s="51"/>
      <c r="AW367" s="51"/>
      <c r="AX367" s="51"/>
      <c r="AY367" s="51"/>
      <c r="AZ367" s="51"/>
      <c r="BA367" s="51"/>
      <c r="BB367" s="51"/>
      <c r="BC367" s="51"/>
      <c r="BD367" s="51"/>
      <c r="BE367" s="51"/>
      <c r="BF367" s="51"/>
      <c r="BG367" s="51"/>
      <c r="BH367" s="51"/>
      <c r="BI367" s="51"/>
      <c r="BJ367" s="51"/>
      <c r="BK367" s="51"/>
      <c r="BL367" s="51"/>
      <c r="BM367" s="51"/>
      <c r="BN367" s="51"/>
      <c r="BO367" s="51"/>
      <c r="BP367" s="51"/>
      <c r="BQ367" s="51"/>
      <c r="BR367" s="9">
        <f t="shared" ref="BR367" si="132">COUNT(V367:BQ367)</f>
        <v>1</v>
      </c>
      <c r="BT367" s="53" t="str">
        <f t="shared" ref="BT367" si="133">Q367</f>
        <v>Northeast Africa 075</v>
      </c>
      <c r="BU367" s="25"/>
    </row>
    <row r="368" spans="1:73" ht="12.75" customHeight="1" x14ac:dyDescent="0.25">
      <c r="B368" s="23"/>
      <c r="C368" s="209" t="str">
        <f>HYPERLINK("https://sites.wustl.edu/meteoritesite/items/lm_nea_076/",Q368)</f>
        <v>Northeast Africa 076</v>
      </c>
      <c r="D368" s="210"/>
      <c r="E368" s="210"/>
      <c r="F368" s="211"/>
      <c r="G368" s="89">
        <v>2024</v>
      </c>
      <c r="H368" s="208" t="s">
        <v>38</v>
      </c>
      <c r="I368" s="208"/>
      <c r="J368" s="33">
        <v>1763</v>
      </c>
      <c r="K368" s="207" t="s">
        <v>50</v>
      </c>
      <c r="L368" s="207"/>
      <c r="M368" s="32" t="s">
        <v>40</v>
      </c>
      <c r="N368" s="32" t="s">
        <v>40</v>
      </c>
      <c r="P368" s="125">
        <f t="shared" si="130"/>
        <v>1763</v>
      </c>
      <c r="Q368" s="54" t="s">
        <v>824</v>
      </c>
      <c r="R368" s="48"/>
      <c r="S368" s="49"/>
      <c r="T368" s="50">
        <f t="shared" si="131"/>
        <v>0</v>
      </c>
      <c r="V368" s="51">
        <v>1763</v>
      </c>
      <c r="W368" s="51"/>
      <c r="X368" s="51"/>
      <c r="Y368" s="51"/>
      <c r="Z368" s="51"/>
      <c r="AA368" s="51"/>
      <c r="AB368" s="51"/>
      <c r="AC368" s="51"/>
      <c r="AD368" s="51"/>
      <c r="AE368" s="51"/>
      <c r="AF368" s="51"/>
      <c r="AG368" s="51"/>
      <c r="AH368" s="51"/>
      <c r="AI368" s="51"/>
      <c r="AJ368" s="51"/>
      <c r="AK368" s="51"/>
      <c r="AL368" s="51"/>
      <c r="AM368" s="51"/>
      <c r="AN368" s="51"/>
      <c r="AO368" s="51"/>
      <c r="AP368" s="51"/>
      <c r="AQ368" s="51"/>
      <c r="AR368" s="51"/>
      <c r="AS368" s="51"/>
      <c r="AT368" s="51"/>
      <c r="AU368" s="51"/>
      <c r="AV368" s="51"/>
      <c r="AW368" s="51"/>
      <c r="AX368" s="51"/>
      <c r="AY368" s="51"/>
      <c r="AZ368" s="51"/>
      <c r="BA368" s="51"/>
      <c r="BB368" s="51"/>
      <c r="BC368" s="51"/>
      <c r="BD368" s="51"/>
      <c r="BE368" s="51"/>
      <c r="BF368" s="51"/>
      <c r="BG368" s="51"/>
      <c r="BH368" s="51"/>
      <c r="BI368" s="51"/>
      <c r="BJ368" s="51"/>
      <c r="BK368" s="51"/>
      <c r="BL368" s="51"/>
      <c r="BM368" s="51"/>
      <c r="BN368" s="51"/>
      <c r="BO368" s="51"/>
      <c r="BP368" s="51"/>
      <c r="BQ368" s="51"/>
      <c r="BT368" s="53"/>
      <c r="BU368" s="25"/>
    </row>
    <row r="369" spans="1:73" ht="12.75" customHeight="1" x14ac:dyDescent="0.25">
      <c r="B369" s="23"/>
      <c r="C369" s="209" t="str">
        <f>HYPERLINK("https://sites.wustl.edu/meteoritesite/items/lm_nea_078/",Q369)</f>
        <v>Northeast Africa 078</v>
      </c>
      <c r="D369" s="210"/>
      <c r="E369" s="210"/>
      <c r="F369" s="211"/>
      <c r="G369" s="89">
        <v>2024</v>
      </c>
      <c r="H369" s="208" t="s">
        <v>38</v>
      </c>
      <c r="I369" s="208"/>
      <c r="J369" s="33">
        <v>539</v>
      </c>
      <c r="K369" s="207" t="s">
        <v>50</v>
      </c>
      <c r="L369" s="207"/>
      <c r="M369" s="32" t="s">
        <v>40</v>
      </c>
      <c r="N369" s="32" t="s">
        <v>40</v>
      </c>
      <c r="P369" s="125">
        <f t="shared" si="130"/>
        <v>539</v>
      </c>
      <c r="Q369" s="54" t="s">
        <v>825</v>
      </c>
      <c r="R369" s="48"/>
      <c r="S369" s="49"/>
      <c r="T369" s="50">
        <f t="shared" si="131"/>
        <v>0</v>
      </c>
      <c r="V369" s="51">
        <v>539</v>
      </c>
      <c r="W369" s="51"/>
      <c r="X369" s="51"/>
      <c r="Y369" s="51"/>
      <c r="Z369" s="51"/>
      <c r="AA369" s="51"/>
      <c r="AB369" s="51"/>
      <c r="AC369" s="51"/>
      <c r="AD369" s="51"/>
      <c r="AE369" s="51"/>
      <c r="AF369" s="51"/>
      <c r="AG369" s="51"/>
      <c r="AH369" s="51"/>
      <c r="AI369" s="51"/>
      <c r="AJ369" s="51"/>
      <c r="AK369" s="51"/>
      <c r="AL369" s="51"/>
      <c r="AM369" s="51"/>
      <c r="AN369" s="51"/>
      <c r="AO369" s="51"/>
      <c r="AP369" s="51"/>
      <c r="AQ369" s="51"/>
      <c r="AR369" s="51"/>
      <c r="AS369" s="51"/>
      <c r="AT369" s="51"/>
      <c r="AU369" s="51"/>
      <c r="AV369" s="51"/>
      <c r="AW369" s="51"/>
      <c r="AX369" s="51"/>
      <c r="AY369" s="51"/>
      <c r="AZ369" s="51"/>
      <c r="BA369" s="51"/>
      <c r="BB369" s="51"/>
      <c r="BC369" s="51"/>
      <c r="BD369" s="51"/>
      <c r="BE369" s="51"/>
      <c r="BF369" s="51"/>
      <c r="BG369" s="51"/>
      <c r="BH369" s="51"/>
      <c r="BI369" s="51"/>
      <c r="BJ369" s="51"/>
      <c r="BK369" s="51"/>
      <c r="BL369" s="51"/>
      <c r="BM369" s="51"/>
      <c r="BN369" s="51"/>
      <c r="BO369" s="51"/>
      <c r="BP369" s="51"/>
      <c r="BQ369" s="51"/>
      <c r="BT369" s="53"/>
      <c r="BU369" s="25"/>
    </row>
    <row r="370" spans="1:73" ht="12.75" customHeight="1" x14ac:dyDescent="0.25">
      <c r="B370" s="23"/>
      <c r="C370" s="209" t="str">
        <f>HYPERLINK("https://sites.wustl.edu/meteoritesite/items/lm_nea_079/",Q370)</f>
        <v>Northeast Africa 079</v>
      </c>
      <c r="D370" s="210"/>
      <c r="E370" s="210"/>
      <c r="F370" s="211"/>
      <c r="G370" s="89">
        <v>2024</v>
      </c>
      <c r="H370" s="214" t="s">
        <v>396</v>
      </c>
      <c r="I370" s="215"/>
      <c r="J370" s="33">
        <v>1657</v>
      </c>
      <c r="K370" s="207" t="s">
        <v>50</v>
      </c>
      <c r="L370" s="207"/>
      <c r="M370" s="32" t="s">
        <v>40</v>
      </c>
      <c r="N370" s="32" t="s">
        <v>40</v>
      </c>
      <c r="P370" s="125">
        <f t="shared" si="130"/>
        <v>1657</v>
      </c>
      <c r="Q370" s="54" t="s">
        <v>826</v>
      </c>
      <c r="R370" s="48"/>
      <c r="S370" s="49"/>
      <c r="T370" s="50">
        <f t="shared" si="131"/>
        <v>0</v>
      </c>
      <c r="V370" s="51">
        <v>1657</v>
      </c>
      <c r="W370" s="51"/>
      <c r="X370" s="51"/>
      <c r="Y370" s="51"/>
      <c r="Z370" s="51"/>
      <c r="AA370" s="51"/>
      <c r="AB370" s="51"/>
      <c r="AC370" s="51"/>
      <c r="AD370" s="51"/>
      <c r="AE370" s="51"/>
      <c r="AF370" s="51"/>
      <c r="AG370" s="51"/>
      <c r="AH370" s="51"/>
      <c r="AI370" s="51"/>
      <c r="AJ370" s="51"/>
      <c r="AK370" s="51"/>
      <c r="AL370" s="51"/>
      <c r="AM370" s="51"/>
      <c r="AN370" s="51"/>
      <c r="AO370" s="51"/>
      <c r="AP370" s="51"/>
      <c r="AQ370" s="51"/>
      <c r="AR370" s="51"/>
      <c r="AS370" s="51"/>
      <c r="AT370" s="51"/>
      <c r="AU370" s="51"/>
      <c r="AV370" s="51"/>
      <c r="AW370" s="51"/>
      <c r="AX370" s="51"/>
      <c r="AY370" s="51"/>
      <c r="AZ370" s="51"/>
      <c r="BA370" s="51"/>
      <c r="BB370" s="51"/>
      <c r="BC370" s="51"/>
      <c r="BD370" s="51"/>
      <c r="BE370" s="51"/>
      <c r="BF370" s="51"/>
      <c r="BG370" s="51"/>
      <c r="BH370" s="51"/>
      <c r="BI370" s="51"/>
      <c r="BJ370" s="51"/>
      <c r="BK370" s="51"/>
      <c r="BL370" s="51"/>
      <c r="BM370" s="51"/>
      <c r="BN370" s="51"/>
      <c r="BO370" s="51"/>
      <c r="BP370" s="51"/>
      <c r="BQ370" s="51"/>
      <c r="BT370" s="53"/>
      <c r="BU370" s="25"/>
    </row>
    <row r="371" spans="1:73" ht="12.75" customHeight="1" x14ac:dyDescent="0.25">
      <c r="B371" s="23"/>
      <c r="C371" s="209" t="str">
        <f>HYPERLINK("https://sites.wustl.edu/meteoritesite/items/lm_ash_shaq/",Q371)</f>
        <v>Northeast Africa 104</v>
      </c>
      <c r="D371" s="210"/>
      <c r="E371" s="210"/>
      <c r="F371" s="211"/>
      <c r="G371" s="89">
        <v>2025</v>
      </c>
      <c r="H371" s="208" t="s">
        <v>616</v>
      </c>
      <c r="I371" s="208"/>
      <c r="J371" s="31">
        <v>20000</v>
      </c>
      <c r="K371" s="207" t="s">
        <v>50</v>
      </c>
      <c r="L371" s="207"/>
      <c r="M371" s="32" t="s">
        <v>40</v>
      </c>
      <c r="N371" s="32" t="s">
        <v>40</v>
      </c>
      <c r="P371" s="125">
        <f t="shared" si="130"/>
        <v>20000</v>
      </c>
      <c r="Q371" s="54" t="s">
        <v>861</v>
      </c>
      <c r="R371" s="48"/>
      <c r="S371" s="49"/>
      <c r="T371" s="50">
        <f t="shared" si="131"/>
        <v>0</v>
      </c>
      <c r="V371" s="51">
        <v>20000</v>
      </c>
      <c r="W371" s="51"/>
      <c r="X371" s="51"/>
      <c r="Y371" s="51"/>
      <c r="Z371" s="51"/>
      <c r="AA371" s="51"/>
      <c r="AB371" s="51"/>
      <c r="AC371" s="51"/>
      <c r="AD371" s="51"/>
      <c r="AE371" s="51"/>
      <c r="AF371" s="51"/>
      <c r="AG371" s="51"/>
      <c r="AH371" s="51"/>
      <c r="AI371" s="51"/>
      <c r="AJ371" s="51"/>
      <c r="AK371" s="51"/>
      <c r="AL371" s="51"/>
      <c r="AM371" s="51"/>
      <c r="AN371" s="51"/>
      <c r="AO371" s="51"/>
      <c r="AP371" s="51"/>
      <c r="AQ371" s="51"/>
      <c r="AR371" s="51"/>
      <c r="AS371" s="51"/>
      <c r="AT371" s="51"/>
      <c r="AU371" s="51"/>
      <c r="AV371" s="51"/>
      <c r="AW371" s="51"/>
      <c r="AX371" s="51"/>
      <c r="AY371" s="51"/>
      <c r="AZ371" s="51"/>
      <c r="BA371" s="51"/>
      <c r="BB371" s="51"/>
      <c r="BC371" s="51"/>
      <c r="BD371" s="51"/>
      <c r="BE371" s="51"/>
      <c r="BF371" s="51"/>
      <c r="BG371" s="51"/>
      <c r="BH371" s="51"/>
      <c r="BI371" s="51"/>
      <c r="BJ371" s="51"/>
      <c r="BK371" s="51"/>
      <c r="BL371" s="51"/>
      <c r="BM371" s="51"/>
      <c r="BN371" s="51"/>
      <c r="BO371" s="51"/>
      <c r="BP371" s="51"/>
      <c r="BQ371" s="51"/>
      <c r="BT371" s="53"/>
      <c r="BU371" s="25"/>
    </row>
    <row r="372" spans="1:73" ht="12.75" customHeight="1" x14ac:dyDescent="0.25">
      <c r="B372" s="23"/>
      <c r="C372" s="209" t="str">
        <f>HYPERLINK("https://sites.wustl.edu/meteoritesite/items/lm_nwa_02420/",Q372)</f>
        <v>Northwest Africa 2420</v>
      </c>
      <c r="D372" s="210"/>
      <c r="E372" s="210"/>
      <c r="F372" s="211"/>
      <c r="G372" s="89">
        <v>2017</v>
      </c>
      <c r="H372" s="208" t="s">
        <v>38</v>
      </c>
      <c r="I372" s="208"/>
      <c r="J372" s="33">
        <v>395</v>
      </c>
      <c r="K372" s="212" t="s">
        <v>39</v>
      </c>
      <c r="L372" s="213"/>
      <c r="M372" s="32" t="s">
        <v>385</v>
      </c>
      <c r="N372" s="32">
        <v>0.2</v>
      </c>
      <c r="P372" s="125">
        <f t="shared" si="83"/>
        <v>395</v>
      </c>
      <c r="Q372" s="54" t="s">
        <v>386</v>
      </c>
      <c r="R372" s="48"/>
      <c r="S372" s="49"/>
      <c r="T372" s="50">
        <f t="shared" si="55"/>
        <v>0</v>
      </c>
      <c r="V372" s="51">
        <v>395</v>
      </c>
      <c r="W372" s="51"/>
      <c r="X372" s="51"/>
      <c r="Y372" s="51"/>
      <c r="Z372" s="51"/>
      <c r="AA372" s="51"/>
      <c r="AB372" s="51"/>
      <c r="AC372" s="51"/>
      <c r="AD372" s="51"/>
      <c r="AE372" s="51"/>
      <c r="AF372" s="51"/>
      <c r="AG372" s="51"/>
      <c r="AH372" s="51"/>
      <c r="AI372" s="51"/>
      <c r="AJ372" s="51"/>
      <c r="AK372" s="51"/>
      <c r="AL372" s="51"/>
      <c r="AM372" s="51"/>
      <c r="AN372" s="51"/>
      <c r="AO372" s="51"/>
      <c r="AP372" s="51"/>
      <c r="AQ372" s="51"/>
      <c r="AR372" s="51"/>
      <c r="AS372" s="51"/>
      <c r="AT372" s="51"/>
      <c r="AU372" s="51"/>
      <c r="AV372" s="51"/>
      <c r="AW372" s="51"/>
      <c r="AX372" s="51"/>
      <c r="AY372" s="51"/>
      <c r="AZ372" s="51"/>
      <c r="BA372" s="51"/>
      <c r="BB372" s="51"/>
      <c r="BC372" s="51"/>
      <c r="BD372" s="51"/>
      <c r="BE372" s="51"/>
      <c r="BF372" s="51"/>
      <c r="BG372" s="51"/>
      <c r="BH372" s="51"/>
      <c r="BI372" s="51"/>
      <c r="BJ372" s="51"/>
      <c r="BK372" s="51"/>
      <c r="BL372" s="51"/>
      <c r="BM372" s="51"/>
      <c r="BN372" s="51"/>
      <c r="BO372" s="51"/>
      <c r="BP372" s="51"/>
      <c r="BQ372" s="51"/>
      <c r="BR372" s="9">
        <f t="shared" si="59"/>
        <v>1</v>
      </c>
      <c r="BT372" s="53" t="str">
        <f t="shared" si="60"/>
        <v>Northwest Africa 2420</v>
      </c>
      <c r="BU372" s="25"/>
    </row>
    <row r="373" spans="1:73" ht="12.75" customHeight="1" x14ac:dyDescent="0.25">
      <c r="B373" s="23"/>
      <c r="C373" s="209" t="str">
        <f>HYPERLINK("https://sites.wustl.edu/meteoritesite/items/lm_nwa_06831/",Q373)</f>
        <v>Northwest Africa 6831</v>
      </c>
      <c r="D373" s="210"/>
      <c r="E373" s="210"/>
      <c r="F373" s="211"/>
      <c r="G373" s="89">
        <v>2009</v>
      </c>
      <c r="H373" s="208" t="s">
        <v>38</v>
      </c>
      <c r="I373" s="208"/>
      <c r="J373" s="33">
        <v>20</v>
      </c>
      <c r="K373" s="207" t="s">
        <v>39</v>
      </c>
      <c r="L373" s="207"/>
      <c r="M373" s="32" t="s">
        <v>40</v>
      </c>
      <c r="N373" s="32" t="s">
        <v>40</v>
      </c>
      <c r="P373" s="125">
        <f t="shared" si="83"/>
        <v>20</v>
      </c>
      <c r="Q373" s="54" t="s">
        <v>344</v>
      </c>
      <c r="R373" s="48"/>
      <c r="S373" s="49"/>
      <c r="T373" s="50">
        <f t="shared" si="55"/>
        <v>0</v>
      </c>
      <c r="V373" s="51">
        <v>20</v>
      </c>
      <c r="W373" s="51"/>
      <c r="X373" s="51"/>
      <c r="Y373" s="51"/>
      <c r="Z373" s="51"/>
      <c r="AA373" s="51"/>
      <c r="AB373" s="51"/>
      <c r="AC373" s="51"/>
      <c r="AD373" s="51"/>
      <c r="AE373" s="51"/>
      <c r="AF373" s="51"/>
      <c r="AG373" s="51"/>
      <c r="AH373" s="51"/>
      <c r="AI373" s="51"/>
      <c r="AJ373" s="51"/>
      <c r="AK373" s="51"/>
      <c r="AL373" s="51"/>
      <c r="AM373" s="51"/>
      <c r="AN373" s="51"/>
      <c r="AO373" s="51"/>
      <c r="AP373" s="51"/>
      <c r="AQ373" s="51"/>
      <c r="AR373" s="51"/>
      <c r="AS373" s="51"/>
      <c r="AT373" s="51"/>
      <c r="AU373" s="51"/>
      <c r="AV373" s="51"/>
      <c r="AW373" s="51"/>
      <c r="AX373" s="51"/>
      <c r="AY373" s="51"/>
      <c r="AZ373" s="51"/>
      <c r="BA373" s="51"/>
      <c r="BB373" s="51"/>
      <c r="BC373" s="51"/>
      <c r="BD373" s="51"/>
      <c r="BE373" s="51"/>
      <c r="BF373" s="51"/>
      <c r="BG373" s="51"/>
      <c r="BH373" s="51"/>
      <c r="BI373" s="51"/>
      <c r="BJ373" s="51"/>
      <c r="BK373" s="51"/>
      <c r="BL373" s="51"/>
      <c r="BM373" s="51"/>
      <c r="BN373" s="51"/>
      <c r="BO373" s="51"/>
      <c r="BP373" s="51"/>
      <c r="BQ373" s="51"/>
      <c r="BR373" s="9">
        <f t="shared" si="59"/>
        <v>1</v>
      </c>
      <c r="BT373" s="53" t="str">
        <f t="shared" si="60"/>
        <v>Northwest Africa 6831</v>
      </c>
      <c r="BU373" s="25" t="s">
        <v>230</v>
      </c>
    </row>
    <row r="374" spans="1:73" ht="12.75" customHeight="1" x14ac:dyDescent="0.25">
      <c r="B374" s="23"/>
      <c r="C374" s="209" t="str">
        <f>HYPERLINK("https://sites.wustl.edu/meteoritesite/items/lm_nwa_10713/",Q374)</f>
        <v>Northwest Africa 10713</v>
      </c>
      <c r="D374" s="210"/>
      <c r="E374" s="210"/>
      <c r="F374" s="211"/>
      <c r="G374" s="89">
        <v>2015</v>
      </c>
      <c r="H374" s="208" t="s">
        <v>46</v>
      </c>
      <c r="I374" s="208"/>
      <c r="J374" s="32">
        <v>60.2</v>
      </c>
      <c r="K374" s="207" t="s">
        <v>44</v>
      </c>
      <c r="L374" s="207"/>
      <c r="M374" s="32" t="s">
        <v>40</v>
      </c>
      <c r="N374" s="32" t="s">
        <v>40</v>
      </c>
      <c r="P374" s="125">
        <f t="shared" si="83"/>
        <v>60.2</v>
      </c>
      <c r="Q374" s="54" t="s">
        <v>199</v>
      </c>
      <c r="R374" s="48"/>
      <c r="S374" s="49"/>
      <c r="T374" s="50">
        <f t="shared" si="55"/>
        <v>0</v>
      </c>
      <c r="V374" s="51">
        <v>60.2</v>
      </c>
      <c r="W374" s="51"/>
      <c r="X374" s="51"/>
      <c r="Y374" s="51"/>
      <c r="Z374" s="51"/>
      <c r="AA374" s="51"/>
      <c r="AB374" s="51"/>
      <c r="AC374" s="51"/>
      <c r="AD374" s="51"/>
      <c r="AE374" s="51"/>
      <c r="AF374" s="51"/>
      <c r="AG374" s="51"/>
      <c r="AH374" s="51"/>
      <c r="AI374" s="51"/>
      <c r="AJ374" s="51"/>
      <c r="AK374" s="51"/>
      <c r="AL374" s="51"/>
      <c r="AM374" s="51"/>
      <c r="AN374" s="51"/>
      <c r="AO374" s="51"/>
      <c r="AP374" s="51"/>
      <c r="AQ374" s="51"/>
      <c r="AR374" s="51"/>
      <c r="AS374" s="51"/>
      <c r="AT374" s="51"/>
      <c r="AU374" s="51"/>
      <c r="AV374" s="51"/>
      <c r="AW374" s="51"/>
      <c r="AX374" s="51"/>
      <c r="AY374" s="51"/>
      <c r="AZ374" s="51"/>
      <c r="BA374" s="51"/>
      <c r="BB374" s="51"/>
      <c r="BC374" s="51"/>
      <c r="BD374" s="51"/>
      <c r="BE374" s="51"/>
      <c r="BF374" s="51"/>
      <c r="BG374" s="51"/>
      <c r="BH374" s="51"/>
      <c r="BI374" s="51"/>
      <c r="BJ374" s="51"/>
      <c r="BK374" s="51"/>
      <c r="BL374" s="51"/>
      <c r="BM374" s="51"/>
      <c r="BN374" s="51"/>
      <c r="BO374" s="51"/>
      <c r="BP374" s="51"/>
      <c r="BQ374" s="51"/>
      <c r="BR374" s="9">
        <f t="shared" si="59"/>
        <v>1</v>
      </c>
      <c r="BT374" s="53" t="str">
        <f t="shared" si="60"/>
        <v>Northwest Africa 10713</v>
      </c>
      <c r="BU374" s="25" t="s">
        <v>230</v>
      </c>
    </row>
    <row r="375" spans="1:73" ht="12.75" customHeight="1" x14ac:dyDescent="0.25">
      <c r="B375" s="23"/>
      <c r="C375" s="209" t="str">
        <f>HYPERLINK("https://sites.wustl.edu/meteoritesite/items/lm_nwa_11159/",Q375)</f>
        <v>Northwest Africa 11159</v>
      </c>
      <c r="D375" s="210"/>
      <c r="E375" s="210"/>
      <c r="F375" s="211"/>
      <c r="G375" s="89">
        <v>2016</v>
      </c>
      <c r="H375" s="208" t="s">
        <v>38</v>
      </c>
      <c r="I375" s="208"/>
      <c r="J375" s="32">
        <v>10.7</v>
      </c>
      <c r="K375" s="207" t="s">
        <v>39</v>
      </c>
      <c r="L375" s="207"/>
      <c r="M375" s="32" t="s">
        <v>40</v>
      </c>
      <c r="N375" s="32" t="s">
        <v>40</v>
      </c>
      <c r="P375" s="125">
        <f t="shared" si="83"/>
        <v>10.7</v>
      </c>
      <c r="Q375" s="54" t="s">
        <v>211</v>
      </c>
      <c r="R375" s="48"/>
      <c r="S375" s="49"/>
      <c r="T375" s="50">
        <f t="shared" si="55"/>
        <v>0</v>
      </c>
      <c r="V375" s="51">
        <v>10.7</v>
      </c>
      <c r="W375" s="51"/>
      <c r="X375" s="51"/>
      <c r="Y375" s="51"/>
      <c r="Z375" s="51"/>
      <c r="AA375" s="51"/>
      <c r="AB375" s="51"/>
      <c r="AC375" s="51"/>
      <c r="AD375" s="51"/>
      <c r="AE375" s="51"/>
      <c r="AF375" s="51"/>
      <c r="AG375" s="51"/>
      <c r="AH375" s="51"/>
      <c r="AI375" s="51"/>
      <c r="AJ375" s="51"/>
      <c r="AK375" s="51"/>
      <c r="AL375" s="51"/>
      <c r="AM375" s="51"/>
      <c r="AN375" s="51"/>
      <c r="AO375" s="51"/>
      <c r="AP375" s="51"/>
      <c r="AQ375" s="51"/>
      <c r="AR375" s="51"/>
      <c r="AS375" s="51"/>
      <c r="AT375" s="51"/>
      <c r="AU375" s="51"/>
      <c r="AV375" s="51"/>
      <c r="AW375" s="51"/>
      <c r="AX375" s="51"/>
      <c r="AY375" s="51"/>
      <c r="AZ375" s="51"/>
      <c r="BA375" s="51"/>
      <c r="BB375" s="51"/>
      <c r="BC375" s="51"/>
      <c r="BD375" s="51"/>
      <c r="BE375" s="51"/>
      <c r="BF375" s="51"/>
      <c r="BG375" s="51"/>
      <c r="BH375" s="51"/>
      <c r="BI375" s="51"/>
      <c r="BJ375" s="51"/>
      <c r="BK375" s="51"/>
      <c r="BL375" s="51"/>
      <c r="BM375" s="51"/>
      <c r="BN375" s="51"/>
      <c r="BO375" s="51"/>
      <c r="BP375" s="51"/>
      <c r="BQ375" s="51"/>
      <c r="BR375" s="9">
        <f t="shared" si="59"/>
        <v>1</v>
      </c>
      <c r="BT375" s="53" t="str">
        <f t="shared" si="60"/>
        <v>Northwest Africa 11159</v>
      </c>
      <c r="BU375" s="25" t="s">
        <v>230</v>
      </c>
    </row>
    <row r="376" spans="1:73" ht="12.75" customHeight="1" x14ac:dyDescent="0.25">
      <c r="B376" s="23"/>
      <c r="C376" s="209" t="str">
        <f>HYPERLINK("https://sites.wustl.edu/meteoritesite/items/lm_nwa_11367/",Q376)</f>
        <v>Northwest Africa 11367</v>
      </c>
      <c r="D376" s="210"/>
      <c r="E376" s="210"/>
      <c r="F376" s="211"/>
      <c r="G376" s="89">
        <v>2017</v>
      </c>
      <c r="H376" s="214" t="s">
        <v>396</v>
      </c>
      <c r="I376" s="215"/>
      <c r="J376" s="33">
        <v>305</v>
      </c>
      <c r="K376" s="207" t="s">
        <v>39</v>
      </c>
      <c r="L376" s="207"/>
      <c r="M376" s="32" t="s">
        <v>40</v>
      </c>
      <c r="N376" s="32" t="s">
        <v>40</v>
      </c>
      <c r="P376" s="125">
        <f t="shared" si="83"/>
        <v>305</v>
      </c>
      <c r="Q376" s="54" t="s">
        <v>325</v>
      </c>
      <c r="R376" s="48"/>
      <c r="S376" s="49"/>
      <c r="T376" s="50">
        <f t="shared" si="55"/>
        <v>0</v>
      </c>
      <c r="V376" s="51">
        <v>305</v>
      </c>
      <c r="W376" s="51"/>
      <c r="X376" s="51"/>
      <c r="Y376" s="51"/>
      <c r="Z376" s="51"/>
      <c r="AA376" s="51"/>
      <c r="AB376" s="51"/>
      <c r="AC376" s="51"/>
      <c r="AD376" s="51"/>
      <c r="AE376" s="51"/>
      <c r="AF376" s="51"/>
      <c r="AG376" s="51"/>
      <c r="AH376" s="51"/>
      <c r="AI376" s="51"/>
      <c r="AJ376" s="51"/>
      <c r="AK376" s="51"/>
      <c r="AL376" s="51"/>
      <c r="AM376" s="51"/>
      <c r="AN376" s="51"/>
      <c r="AO376" s="51"/>
      <c r="AP376" s="51"/>
      <c r="AQ376" s="51"/>
      <c r="AR376" s="51"/>
      <c r="AS376" s="51"/>
      <c r="AT376" s="51"/>
      <c r="AU376" s="51"/>
      <c r="AV376" s="51"/>
      <c r="AW376" s="51"/>
      <c r="AX376" s="51"/>
      <c r="AY376" s="51"/>
      <c r="AZ376" s="51"/>
      <c r="BA376" s="51"/>
      <c r="BB376" s="51"/>
      <c r="BC376" s="51"/>
      <c r="BD376" s="51"/>
      <c r="BE376" s="51"/>
      <c r="BF376" s="51"/>
      <c r="BG376" s="51"/>
      <c r="BH376" s="51"/>
      <c r="BI376" s="51"/>
      <c r="BJ376" s="51"/>
      <c r="BK376" s="51"/>
      <c r="BL376" s="51"/>
      <c r="BM376" s="51"/>
      <c r="BN376" s="51"/>
      <c r="BO376" s="51"/>
      <c r="BP376" s="51"/>
      <c r="BQ376" s="51"/>
      <c r="BR376" s="9">
        <f t="shared" si="59"/>
        <v>1</v>
      </c>
      <c r="BT376" s="53" t="str">
        <f t="shared" si="60"/>
        <v>Northwest Africa 11367</v>
      </c>
      <c r="BU376" s="25" t="s">
        <v>230</v>
      </c>
    </row>
    <row r="377" spans="1:73" ht="12.75" customHeight="1" x14ac:dyDescent="0.25">
      <c r="B377" s="23"/>
      <c r="C377" s="209" t="str">
        <f>HYPERLINK("https://sites.wustl.edu/meteoritesite/items/lm_nwa_11457/",Q377)</f>
        <v>Northwest Africa 11457</v>
      </c>
      <c r="D377" s="210"/>
      <c r="E377" s="210"/>
      <c r="F377" s="211"/>
      <c r="G377" s="89">
        <v>2016</v>
      </c>
      <c r="H377" s="208" t="s">
        <v>38</v>
      </c>
      <c r="I377" s="208"/>
      <c r="J377" s="33">
        <v>273</v>
      </c>
      <c r="K377" s="207" t="s">
        <v>66</v>
      </c>
      <c r="L377" s="207"/>
      <c r="M377" s="32" t="s">
        <v>40</v>
      </c>
      <c r="N377" s="32" t="s">
        <v>40</v>
      </c>
      <c r="P377" s="125">
        <f t="shared" si="83"/>
        <v>273</v>
      </c>
      <c r="Q377" s="54" t="s">
        <v>327</v>
      </c>
      <c r="R377" s="48"/>
      <c r="S377" s="49"/>
      <c r="T377" s="50">
        <f t="shared" si="55"/>
        <v>0</v>
      </c>
      <c r="V377" s="51">
        <v>273</v>
      </c>
      <c r="W377" s="51"/>
      <c r="X377" s="51"/>
      <c r="Y377" s="51"/>
      <c r="Z377" s="51"/>
      <c r="AA377" s="51"/>
      <c r="AB377" s="51"/>
      <c r="AC377" s="51"/>
      <c r="AD377" s="51"/>
      <c r="AE377" s="51"/>
      <c r="AF377" s="51"/>
      <c r="AG377" s="51"/>
      <c r="AH377" s="51"/>
      <c r="AI377" s="51"/>
      <c r="AJ377" s="51"/>
      <c r="AK377" s="51"/>
      <c r="AL377" s="51"/>
      <c r="AM377" s="51"/>
      <c r="AN377" s="51"/>
      <c r="AO377" s="51"/>
      <c r="AP377" s="51"/>
      <c r="AQ377" s="51"/>
      <c r="AR377" s="51"/>
      <c r="AS377" s="51"/>
      <c r="AT377" s="51"/>
      <c r="AU377" s="51"/>
      <c r="AV377" s="51"/>
      <c r="AW377" s="51"/>
      <c r="AX377" s="51"/>
      <c r="AY377" s="51"/>
      <c r="AZ377" s="51"/>
      <c r="BA377" s="51"/>
      <c r="BB377" s="51"/>
      <c r="BC377" s="51"/>
      <c r="BD377" s="51"/>
      <c r="BE377" s="51"/>
      <c r="BF377" s="51"/>
      <c r="BG377" s="51"/>
      <c r="BH377" s="51"/>
      <c r="BI377" s="51"/>
      <c r="BJ377" s="51"/>
      <c r="BK377" s="51"/>
      <c r="BL377" s="51"/>
      <c r="BM377" s="51"/>
      <c r="BN377" s="51"/>
      <c r="BO377" s="51"/>
      <c r="BP377" s="51"/>
      <c r="BQ377" s="51"/>
      <c r="BR377" s="9">
        <f t="shared" si="59"/>
        <v>1</v>
      </c>
      <c r="BT377" s="53" t="str">
        <f t="shared" si="60"/>
        <v>Northwest Africa 11457</v>
      </c>
      <c r="BU377" s="25" t="s">
        <v>230</v>
      </c>
    </row>
    <row r="378" spans="1:73" ht="12.75" customHeight="1" x14ac:dyDescent="0.25">
      <c r="B378" s="23"/>
      <c r="C378" s="209" t="str">
        <f>HYPERLINK("https://sites.wustl.edu/meteoritesite/items/lm_nwa_11523/",Q378)</f>
        <v>Northwest Africa 11523</v>
      </c>
      <c r="D378" s="210"/>
      <c r="E378" s="210"/>
      <c r="F378" s="211"/>
      <c r="G378" s="89">
        <v>2017</v>
      </c>
      <c r="H378" s="208" t="s">
        <v>470</v>
      </c>
      <c r="I378" s="208"/>
      <c r="J378" s="33">
        <v>3362</v>
      </c>
      <c r="K378" s="207" t="s">
        <v>39</v>
      </c>
      <c r="L378" s="207"/>
      <c r="M378" s="32" t="s">
        <v>236</v>
      </c>
      <c r="N378" s="32" t="s">
        <v>40</v>
      </c>
      <c r="P378" s="125">
        <f t="shared" si="83"/>
        <v>3362</v>
      </c>
      <c r="Q378" s="54" t="s">
        <v>234</v>
      </c>
      <c r="R378" s="48"/>
      <c r="S378" s="49"/>
      <c r="T378" s="50">
        <f t="shared" si="55"/>
        <v>0</v>
      </c>
      <c r="V378" s="51">
        <v>3362</v>
      </c>
      <c r="W378" s="51"/>
      <c r="X378" s="51"/>
      <c r="Y378" s="51"/>
      <c r="Z378" s="51"/>
      <c r="AA378" s="51"/>
      <c r="AB378" s="51"/>
      <c r="AC378" s="51"/>
      <c r="AD378" s="51"/>
      <c r="AE378" s="51"/>
      <c r="AF378" s="51"/>
      <c r="AG378" s="51"/>
      <c r="AH378" s="51"/>
      <c r="AI378" s="51"/>
      <c r="AJ378" s="51"/>
      <c r="AK378" s="51"/>
      <c r="AL378" s="51"/>
      <c r="AM378" s="51"/>
      <c r="AN378" s="51"/>
      <c r="AO378" s="51"/>
      <c r="AP378" s="51"/>
      <c r="AQ378" s="51"/>
      <c r="AR378" s="51"/>
      <c r="AS378" s="51"/>
      <c r="AT378" s="51"/>
      <c r="AU378" s="51"/>
      <c r="AV378" s="51"/>
      <c r="AW378" s="51"/>
      <c r="AX378" s="51"/>
      <c r="AY378" s="51"/>
      <c r="AZ378" s="51"/>
      <c r="BA378" s="51"/>
      <c r="BB378" s="51"/>
      <c r="BC378" s="51"/>
      <c r="BD378" s="51"/>
      <c r="BE378" s="51"/>
      <c r="BF378" s="51"/>
      <c r="BG378" s="51"/>
      <c r="BH378" s="51"/>
      <c r="BI378" s="51"/>
      <c r="BJ378" s="51"/>
      <c r="BK378" s="51"/>
      <c r="BL378" s="51"/>
      <c r="BM378" s="51"/>
      <c r="BN378" s="51"/>
      <c r="BO378" s="51"/>
      <c r="BP378" s="51"/>
      <c r="BQ378" s="51"/>
      <c r="BR378" s="9">
        <f t="shared" si="59"/>
        <v>1</v>
      </c>
      <c r="BT378" s="53" t="str">
        <f t="shared" si="60"/>
        <v>Northwest Africa 11523</v>
      </c>
      <c r="BU378" s="25"/>
    </row>
    <row r="379" spans="1:73" ht="12.75" customHeight="1" x14ac:dyDescent="0.25">
      <c r="B379" s="23"/>
      <c r="C379" s="209" t="str">
        <f>HYPERLINK("https://sites.wustl.edu/meteoritesite/items/lm_nwa_11783/",Q379)</f>
        <v>Northwest Africa 11783</v>
      </c>
      <c r="D379" s="210"/>
      <c r="E379" s="210"/>
      <c r="F379" s="211"/>
      <c r="G379" s="89">
        <v>2014</v>
      </c>
      <c r="H379" s="214" t="s">
        <v>396</v>
      </c>
      <c r="I379" s="215"/>
      <c r="J379" s="33">
        <v>65</v>
      </c>
      <c r="K379" s="207" t="s">
        <v>39</v>
      </c>
      <c r="L379" s="207"/>
      <c r="M379" s="32" t="s">
        <v>40</v>
      </c>
      <c r="N379" s="32" t="s">
        <v>40</v>
      </c>
      <c r="P379" s="125">
        <f t="shared" si="83"/>
        <v>65</v>
      </c>
      <c r="Q379" s="54" t="s">
        <v>328</v>
      </c>
      <c r="R379" s="48"/>
      <c r="S379" s="49"/>
      <c r="T379" s="50">
        <f t="shared" si="55"/>
        <v>0</v>
      </c>
      <c r="V379" s="51">
        <v>65</v>
      </c>
      <c r="W379" s="51"/>
      <c r="X379" s="51"/>
      <c r="Y379" s="51"/>
      <c r="Z379" s="51"/>
      <c r="AA379" s="51"/>
      <c r="AB379" s="51"/>
      <c r="AC379" s="51"/>
      <c r="AD379" s="51"/>
      <c r="AE379" s="51"/>
      <c r="AF379" s="51"/>
      <c r="AG379" s="51"/>
      <c r="AH379" s="51"/>
      <c r="AI379" s="51"/>
      <c r="AJ379" s="51"/>
      <c r="AK379" s="51"/>
      <c r="AL379" s="51"/>
      <c r="AM379" s="51"/>
      <c r="AN379" s="51"/>
      <c r="AO379" s="51"/>
      <c r="AP379" s="51"/>
      <c r="AQ379" s="51"/>
      <c r="AR379" s="51"/>
      <c r="AS379" s="51"/>
      <c r="AT379" s="51"/>
      <c r="AU379" s="51"/>
      <c r="AV379" s="51"/>
      <c r="AW379" s="51"/>
      <c r="AX379" s="51"/>
      <c r="AY379" s="51"/>
      <c r="AZ379" s="51"/>
      <c r="BA379" s="51"/>
      <c r="BB379" s="51"/>
      <c r="BC379" s="51"/>
      <c r="BD379" s="51"/>
      <c r="BE379" s="51"/>
      <c r="BF379" s="51"/>
      <c r="BG379" s="51"/>
      <c r="BH379" s="51"/>
      <c r="BI379" s="51"/>
      <c r="BJ379" s="51"/>
      <c r="BK379" s="51"/>
      <c r="BL379" s="51"/>
      <c r="BM379" s="51"/>
      <c r="BN379" s="51"/>
      <c r="BO379" s="51"/>
      <c r="BP379" s="51"/>
      <c r="BQ379" s="51"/>
      <c r="BR379" s="9">
        <f t="shared" si="59"/>
        <v>1</v>
      </c>
      <c r="BT379" s="53" t="str">
        <f t="shared" si="60"/>
        <v>Northwest Africa 11783</v>
      </c>
      <c r="BU379" s="25"/>
    </row>
    <row r="380" spans="1:73" s="1" customFormat="1" ht="12.75" customHeight="1" x14ac:dyDescent="0.25">
      <c r="A380"/>
      <c r="B380" s="243" t="s">
        <v>28</v>
      </c>
      <c r="C380" s="230" t="s">
        <v>29</v>
      </c>
      <c r="D380" s="231"/>
      <c r="E380" s="231"/>
      <c r="F380" s="232"/>
      <c r="G380" s="241" t="s">
        <v>282</v>
      </c>
      <c r="H380" s="219" t="s">
        <v>249</v>
      </c>
      <c r="I380" s="220"/>
      <c r="J380" s="241" t="s">
        <v>30</v>
      </c>
      <c r="K380" s="219" t="s">
        <v>31</v>
      </c>
      <c r="L380" s="220"/>
      <c r="M380" s="223" t="s">
        <v>245</v>
      </c>
      <c r="N380" s="225" t="s">
        <v>32</v>
      </c>
      <c r="O380" s="15"/>
      <c r="P380" s="127"/>
      <c r="Q380" s="15"/>
      <c r="R380" s="15"/>
      <c r="S380" s="15"/>
      <c r="T380" s="50"/>
      <c r="U380" s="9"/>
      <c r="V380" s="42"/>
      <c r="W380" s="42"/>
      <c r="X380" s="42"/>
      <c r="Y380" s="42"/>
      <c r="Z380" s="42"/>
      <c r="AA380" s="42"/>
      <c r="AB380" s="42"/>
      <c r="AC380" s="42"/>
      <c r="AD380" s="42"/>
      <c r="AE380" s="42"/>
      <c r="AF380" s="42"/>
      <c r="AG380" s="42"/>
      <c r="AH380" s="42"/>
      <c r="AI380" s="42"/>
      <c r="AJ380" s="42"/>
      <c r="AK380" s="42"/>
      <c r="AL380" s="42"/>
      <c r="AM380" s="42"/>
      <c r="AN380" s="42"/>
      <c r="AO380" s="42"/>
      <c r="AP380" s="42"/>
      <c r="AQ380" s="42"/>
      <c r="AR380" s="42"/>
      <c r="AS380" s="42"/>
      <c r="AT380" s="42"/>
      <c r="AU380" s="42"/>
      <c r="AV380" s="42"/>
      <c r="AW380" s="42"/>
      <c r="AX380" s="42"/>
      <c r="AY380" s="42"/>
      <c r="AZ380" s="42"/>
      <c r="BA380" s="42"/>
      <c r="BB380" s="42"/>
      <c r="BC380" s="42"/>
      <c r="BD380" s="42"/>
      <c r="BE380" s="42"/>
      <c r="BF380" s="42"/>
      <c r="BG380" s="42"/>
      <c r="BH380" s="42"/>
      <c r="BI380" s="42"/>
      <c r="BJ380" s="42"/>
      <c r="BK380" s="42"/>
      <c r="BL380" s="42"/>
      <c r="BM380" s="42"/>
      <c r="BN380" s="42"/>
      <c r="BO380" s="42"/>
      <c r="BP380" s="42"/>
      <c r="BQ380" s="42"/>
      <c r="BR380" s="9"/>
      <c r="BS380" s="42"/>
      <c r="BT380" s="53"/>
      <c r="BU380" s="25"/>
    </row>
    <row r="381" spans="1:73" s="1" customFormat="1" ht="12.75" customHeight="1" x14ac:dyDescent="0.25">
      <c r="A381"/>
      <c r="B381" s="229"/>
      <c r="C381" s="233"/>
      <c r="D381" s="234"/>
      <c r="E381" s="234"/>
      <c r="F381" s="235"/>
      <c r="G381" s="242"/>
      <c r="H381" s="221"/>
      <c r="I381" s="222"/>
      <c r="J381" s="242"/>
      <c r="K381" s="221"/>
      <c r="L381" s="222"/>
      <c r="M381" s="224"/>
      <c r="N381" s="226"/>
      <c r="O381" s="15"/>
      <c r="P381" s="127"/>
      <c r="Q381" s="15"/>
      <c r="R381" s="15"/>
      <c r="S381" s="15"/>
      <c r="T381" s="50"/>
      <c r="U381" s="9"/>
      <c r="V381" s="42"/>
      <c r="W381" s="42"/>
      <c r="X381" s="42"/>
      <c r="Y381" s="42"/>
      <c r="Z381" s="42"/>
      <c r="AA381" s="42"/>
      <c r="AB381" s="42"/>
      <c r="AC381" s="42"/>
      <c r="AD381" s="42"/>
      <c r="AE381" s="42"/>
      <c r="AF381" s="42"/>
      <c r="AG381" s="42"/>
      <c r="AH381" s="42"/>
      <c r="AI381" s="42"/>
      <c r="AJ381" s="42"/>
      <c r="AK381" s="42"/>
      <c r="AL381" s="42"/>
      <c r="AM381" s="42"/>
      <c r="AN381" s="42"/>
      <c r="AO381" s="42"/>
      <c r="AP381" s="42"/>
      <c r="AQ381" s="42"/>
      <c r="AR381" s="42"/>
      <c r="AS381" s="42"/>
      <c r="AT381" s="42"/>
      <c r="AU381" s="42"/>
      <c r="AV381" s="42"/>
      <c r="AW381" s="42"/>
      <c r="AX381" s="42"/>
      <c r="AY381" s="42"/>
      <c r="AZ381" s="42"/>
      <c r="BA381" s="42"/>
      <c r="BB381" s="42"/>
      <c r="BC381" s="42"/>
      <c r="BD381" s="42"/>
      <c r="BE381" s="42"/>
      <c r="BF381" s="42"/>
      <c r="BG381" s="42"/>
      <c r="BH381" s="42"/>
      <c r="BI381" s="42"/>
      <c r="BJ381" s="42"/>
      <c r="BK381" s="42"/>
      <c r="BL381" s="42"/>
      <c r="BM381" s="42"/>
      <c r="BN381" s="42"/>
      <c r="BO381" s="42"/>
      <c r="BP381" s="42"/>
      <c r="BQ381" s="42"/>
      <c r="BR381" s="9"/>
      <c r="BS381" s="42"/>
      <c r="BT381" s="53"/>
      <c r="BU381" s="25"/>
    </row>
    <row r="382" spans="1:73" ht="12.75" customHeight="1" x14ac:dyDescent="0.25">
      <c r="B382" s="23"/>
      <c r="C382" s="209" t="str">
        <f>HYPERLINK("https://sites.wustl.edu/meteoritesite/items/lm_nwa_12248/",Q382)</f>
        <v>Northwest Africa 12248</v>
      </c>
      <c r="D382" s="210"/>
      <c r="E382" s="210"/>
      <c r="F382" s="211"/>
      <c r="G382" s="89">
        <v>2018</v>
      </c>
      <c r="H382" s="214" t="s">
        <v>396</v>
      </c>
      <c r="I382" s="215"/>
      <c r="J382" s="32">
        <v>37.299999999999997</v>
      </c>
      <c r="K382" s="207" t="s">
        <v>51</v>
      </c>
      <c r="L382" s="207"/>
      <c r="M382" s="32" t="s">
        <v>40</v>
      </c>
      <c r="N382" s="32" t="s">
        <v>40</v>
      </c>
      <c r="P382" s="125">
        <f t="shared" si="83"/>
        <v>37.299999999999997</v>
      </c>
      <c r="Q382" s="54" t="s">
        <v>291</v>
      </c>
      <c r="R382" s="48"/>
      <c r="S382" s="49"/>
      <c r="T382" s="50">
        <f t="shared" si="55"/>
        <v>0</v>
      </c>
      <c r="V382" s="51">
        <v>37.299999999999997</v>
      </c>
      <c r="W382" s="51"/>
      <c r="X382" s="51"/>
      <c r="Y382" s="51"/>
      <c r="Z382" s="51"/>
      <c r="AA382" s="51"/>
      <c r="AB382" s="51"/>
      <c r="AC382" s="51"/>
      <c r="AD382" s="51"/>
      <c r="AE382" s="51"/>
      <c r="AF382" s="51"/>
      <c r="AG382" s="51"/>
      <c r="AH382" s="51"/>
      <c r="AI382" s="51"/>
      <c r="AJ382" s="51"/>
      <c r="AK382" s="51"/>
      <c r="AL382" s="51"/>
      <c r="AM382" s="51"/>
      <c r="AN382" s="51"/>
      <c r="AO382" s="51"/>
      <c r="AP382" s="51"/>
      <c r="AQ382" s="51"/>
      <c r="AR382" s="51"/>
      <c r="AS382" s="51"/>
      <c r="AT382" s="51"/>
      <c r="AU382" s="51"/>
      <c r="AV382" s="51"/>
      <c r="AW382" s="51"/>
      <c r="AX382" s="51"/>
      <c r="AY382" s="51"/>
      <c r="AZ382" s="51"/>
      <c r="BA382" s="51"/>
      <c r="BB382" s="51"/>
      <c r="BC382" s="51"/>
      <c r="BD382" s="51"/>
      <c r="BE382" s="51"/>
      <c r="BF382" s="51"/>
      <c r="BG382" s="51"/>
      <c r="BH382" s="51"/>
      <c r="BI382" s="51"/>
      <c r="BJ382" s="51"/>
      <c r="BK382" s="51"/>
      <c r="BL382" s="51"/>
      <c r="BM382" s="51"/>
      <c r="BN382" s="51"/>
      <c r="BO382" s="51"/>
      <c r="BP382" s="51"/>
      <c r="BQ382" s="51"/>
      <c r="BR382" s="9">
        <f t="shared" si="59"/>
        <v>1</v>
      </c>
      <c r="BT382" s="53" t="str">
        <f t="shared" si="60"/>
        <v>Northwest Africa 12248</v>
      </c>
      <c r="BU382" s="25"/>
    </row>
    <row r="383" spans="1:73" ht="12.75" customHeight="1" x14ac:dyDescent="0.25">
      <c r="B383" s="23"/>
      <c r="C383" s="209" t="str">
        <f>HYPERLINK("https://sites.wustl.edu/meteoritesite/items/lm_nwa_12368/",Q383)</f>
        <v>Northwest Africa 12368</v>
      </c>
      <c r="D383" s="210"/>
      <c r="E383" s="210"/>
      <c r="F383" s="211"/>
      <c r="G383" s="89">
        <v>2017</v>
      </c>
      <c r="H383" s="214" t="s">
        <v>396</v>
      </c>
      <c r="I383" s="215"/>
      <c r="J383" s="33">
        <v>1868</v>
      </c>
      <c r="K383" s="212" t="s">
        <v>39</v>
      </c>
      <c r="L383" s="213"/>
      <c r="M383" s="32" t="s">
        <v>289</v>
      </c>
      <c r="N383" s="32" t="s">
        <v>40</v>
      </c>
      <c r="P383" s="125">
        <f t="shared" si="83"/>
        <v>1868</v>
      </c>
      <c r="Q383" s="54" t="s">
        <v>323</v>
      </c>
      <c r="R383" s="48"/>
      <c r="S383" s="49"/>
      <c r="T383" s="50">
        <f t="shared" si="55"/>
        <v>0</v>
      </c>
      <c r="V383" s="51">
        <v>1868</v>
      </c>
      <c r="W383" s="51"/>
      <c r="X383" s="51"/>
      <c r="Y383" s="51"/>
      <c r="Z383" s="51"/>
      <c r="AA383" s="51"/>
      <c r="AB383" s="51"/>
      <c r="AC383" s="51"/>
      <c r="AD383" s="51"/>
      <c r="AE383" s="51"/>
      <c r="AF383" s="51"/>
      <c r="AG383" s="51"/>
      <c r="AH383" s="51"/>
      <c r="AI383" s="51"/>
      <c r="AJ383" s="51"/>
      <c r="AK383" s="51"/>
      <c r="AL383" s="51"/>
      <c r="AM383" s="51"/>
      <c r="AN383" s="51"/>
      <c r="AO383" s="51"/>
      <c r="AP383" s="51"/>
      <c r="AQ383" s="51"/>
      <c r="AR383" s="51"/>
      <c r="AS383" s="51"/>
      <c r="AT383" s="51"/>
      <c r="AU383" s="51"/>
      <c r="AV383" s="51"/>
      <c r="AW383" s="51"/>
      <c r="AX383" s="51"/>
      <c r="AY383" s="51"/>
      <c r="AZ383" s="51"/>
      <c r="BA383" s="51"/>
      <c r="BB383" s="51"/>
      <c r="BC383" s="51"/>
      <c r="BD383" s="51"/>
      <c r="BE383" s="51"/>
      <c r="BF383" s="51"/>
      <c r="BG383" s="51"/>
      <c r="BH383" s="51"/>
      <c r="BI383" s="51"/>
      <c r="BJ383" s="51"/>
      <c r="BK383" s="51"/>
      <c r="BL383" s="51"/>
      <c r="BM383" s="51"/>
      <c r="BN383" s="51"/>
      <c r="BO383" s="51"/>
      <c r="BP383" s="51"/>
      <c r="BQ383" s="51"/>
      <c r="BR383" s="9">
        <f t="shared" si="59"/>
        <v>1</v>
      </c>
      <c r="BT383" s="53" t="str">
        <f t="shared" si="60"/>
        <v>Northwest Africa 12368</v>
      </c>
      <c r="BU383" s="25"/>
    </row>
    <row r="384" spans="1:73" ht="12.75" customHeight="1" x14ac:dyDescent="0.25">
      <c r="B384" s="23"/>
      <c r="C384" s="209" t="str">
        <f>HYPERLINK("https://sites.wustl.edu/meteoritesite/items/lm_nwa_12393/",Q384)</f>
        <v>Northwest Africa 12393</v>
      </c>
      <c r="D384" s="210"/>
      <c r="E384" s="210"/>
      <c r="F384" s="211"/>
      <c r="G384" s="89">
        <v>2016</v>
      </c>
      <c r="H384" s="249" t="s">
        <v>38</v>
      </c>
      <c r="I384" s="249"/>
      <c r="J384" s="32">
        <v>1267.0999999999999</v>
      </c>
      <c r="K384" s="212" t="s">
        <v>39</v>
      </c>
      <c r="L384" s="213"/>
      <c r="M384" s="32" t="s">
        <v>342</v>
      </c>
      <c r="N384" s="32" t="str">
        <f>HYPERLINK("chemclass/icons/sp_NWA_unn134.jpg",S384)</f>
        <v>?</v>
      </c>
      <c r="P384" s="125">
        <f t="shared" si="83"/>
        <v>1267.0999999999999</v>
      </c>
      <c r="Q384" s="54" t="s">
        <v>337</v>
      </c>
      <c r="R384" s="48" t="s">
        <v>40</v>
      </c>
      <c r="S384" s="49" t="s">
        <v>40</v>
      </c>
      <c r="T384" s="50">
        <f t="shared" si="55"/>
        <v>0</v>
      </c>
      <c r="V384" s="51">
        <v>1267.0999999999999</v>
      </c>
      <c r="W384" s="51"/>
      <c r="X384" s="51"/>
      <c r="Y384" s="51"/>
      <c r="Z384" s="51"/>
      <c r="AA384" s="51"/>
      <c r="AB384" s="51"/>
      <c r="AC384" s="51"/>
      <c r="AD384" s="51"/>
      <c r="AE384" s="51"/>
      <c r="AF384" s="51"/>
      <c r="AG384" s="51"/>
      <c r="AH384" s="51"/>
      <c r="AI384" s="51"/>
      <c r="AJ384" s="51"/>
      <c r="AK384" s="51"/>
      <c r="AL384" s="51"/>
      <c r="AM384" s="51"/>
      <c r="AN384" s="51"/>
      <c r="AO384" s="51"/>
      <c r="AP384" s="51"/>
      <c r="AQ384" s="51"/>
      <c r="AR384" s="51"/>
      <c r="AS384" s="51"/>
      <c r="AT384" s="51"/>
      <c r="AU384" s="51"/>
      <c r="AV384" s="51"/>
      <c r="AW384" s="51"/>
      <c r="AX384" s="51"/>
      <c r="AY384" s="51"/>
      <c r="AZ384" s="51"/>
      <c r="BA384" s="51"/>
      <c r="BB384" s="51"/>
      <c r="BC384" s="51"/>
      <c r="BD384" s="51"/>
      <c r="BE384" s="51"/>
      <c r="BF384" s="51"/>
      <c r="BG384" s="51"/>
      <c r="BH384" s="51"/>
      <c r="BI384" s="51"/>
      <c r="BJ384" s="51"/>
      <c r="BK384" s="51"/>
      <c r="BL384" s="51"/>
      <c r="BM384" s="51"/>
      <c r="BN384" s="51"/>
      <c r="BO384" s="51"/>
      <c r="BP384" s="51"/>
      <c r="BQ384" s="51"/>
      <c r="BR384" s="9">
        <f t="shared" si="59"/>
        <v>1</v>
      </c>
      <c r="BT384" s="53" t="str">
        <f t="shared" si="60"/>
        <v>Northwest Africa 12393</v>
      </c>
      <c r="BU384" s="25" t="s">
        <v>230</v>
      </c>
    </row>
    <row r="385" spans="1:73" ht="12.75" customHeight="1" x14ac:dyDescent="0.25">
      <c r="B385" s="23"/>
      <c r="C385" s="209" t="str">
        <f>HYPERLINK("https://sites.wustl.edu/meteoritesite/items/lm_nwa_12422/",Q385)</f>
        <v>Northwest Africa 12422</v>
      </c>
      <c r="D385" s="210"/>
      <c r="E385" s="210"/>
      <c r="F385" s="211"/>
      <c r="G385" s="89">
        <v>2018</v>
      </c>
      <c r="H385" s="214" t="s">
        <v>189</v>
      </c>
      <c r="I385" s="215"/>
      <c r="J385" s="32">
        <v>42.8</v>
      </c>
      <c r="K385" s="212" t="s">
        <v>39</v>
      </c>
      <c r="L385" s="213"/>
      <c r="M385" s="32" t="s">
        <v>40</v>
      </c>
      <c r="N385" s="32" t="s">
        <v>40</v>
      </c>
      <c r="P385" s="125">
        <f t="shared" si="83"/>
        <v>42.8</v>
      </c>
      <c r="Q385" s="54" t="s">
        <v>338</v>
      </c>
      <c r="R385" s="48"/>
      <c r="S385" s="49"/>
      <c r="T385" s="50">
        <f t="shared" si="55"/>
        <v>0</v>
      </c>
      <c r="V385" s="51">
        <v>42.8</v>
      </c>
      <c r="W385" s="51"/>
      <c r="X385" s="51"/>
      <c r="Y385" s="51"/>
      <c r="Z385" s="51"/>
      <c r="AA385" s="51"/>
      <c r="AB385" s="51"/>
      <c r="AC385" s="51"/>
      <c r="AD385" s="51"/>
      <c r="AE385" s="51"/>
      <c r="AF385" s="51"/>
      <c r="AG385" s="51"/>
      <c r="AH385" s="51"/>
      <c r="AI385" s="51"/>
      <c r="AJ385" s="51"/>
      <c r="AK385" s="51"/>
      <c r="AL385" s="51"/>
      <c r="AM385" s="51"/>
      <c r="AN385" s="51"/>
      <c r="AO385" s="51"/>
      <c r="AP385" s="51"/>
      <c r="AQ385" s="51"/>
      <c r="AR385" s="51"/>
      <c r="AS385" s="51"/>
      <c r="AT385" s="51"/>
      <c r="AU385" s="51"/>
      <c r="AV385" s="51"/>
      <c r="AW385" s="51"/>
      <c r="AX385" s="51"/>
      <c r="AY385" s="51"/>
      <c r="AZ385" s="51"/>
      <c r="BA385" s="51"/>
      <c r="BB385" s="51"/>
      <c r="BC385" s="51"/>
      <c r="BD385" s="51"/>
      <c r="BE385" s="51"/>
      <c r="BF385" s="51"/>
      <c r="BG385" s="51"/>
      <c r="BH385" s="51"/>
      <c r="BI385" s="51"/>
      <c r="BJ385" s="51"/>
      <c r="BK385" s="51"/>
      <c r="BL385" s="51"/>
      <c r="BM385" s="51"/>
      <c r="BN385" s="51"/>
      <c r="BO385" s="51"/>
      <c r="BP385" s="51"/>
      <c r="BQ385" s="51"/>
      <c r="BR385" s="9">
        <f t="shared" si="59"/>
        <v>1</v>
      </c>
      <c r="BT385" s="53" t="str">
        <f t="shared" si="60"/>
        <v>Northwest Africa 12422</v>
      </c>
      <c r="BU385" s="25"/>
    </row>
    <row r="386" spans="1:73" ht="12.75" customHeight="1" x14ac:dyDescent="0.25">
      <c r="B386" s="23"/>
      <c r="C386" s="209" t="str">
        <f>HYPERLINK("https://sites.wustl.edu/meteoritesite/items/lm_nwa_12427/",Q386)</f>
        <v>Northwest Africa 12427</v>
      </c>
      <c r="D386" s="210"/>
      <c r="E386" s="210"/>
      <c r="F386" s="211"/>
      <c r="G386" s="89">
        <v>2017</v>
      </c>
      <c r="H386" s="214" t="s">
        <v>396</v>
      </c>
      <c r="I386" s="215"/>
      <c r="J386" s="33">
        <v>3469</v>
      </c>
      <c r="K386" s="212" t="s">
        <v>51</v>
      </c>
      <c r="L386" s="213"/>
      <c r="M386" s="32" t="s">
        <v>341</v>
      </c>
      <c r="N386" s="32" t="s">
        <v>40</v>
      </c>
      <c r="P386" s="125">
        <f t="shared" si="83"/>
        <v>3469</v>
      </c>
      <c r="Q386" s="54" t="s">
        <v>339</v>
      </c>
      <c r="R386" s="48"/>
      <c r="S386" s="49"/>
      <c r="T386" s="50">
        <f t="shared" si="55"/>
        <v>0</v>
      </c>
      <c r="V386" s="51">
        <v>3469</v>
      </c>
      <c r="W386" s="51"/>
      <c r="X386" s="51"/>
      <c r="Y386" s="51"/>
      <c r="Z386" s="51"/>
      <c r="AA386" s="51"/>
      <c r="AB386" s="51"/>
      <c r="AC386" s="51"/>
      <c r="AD386" s="51"/>
      <c r="AE386" s="51"/>
      <c r="AF386" s="51"/>
      <c r="AG386" s="51"/>
      <c r="AH386" s="51"/>
      <c r="AI386" s="51"/>
      <c r="AJ386" s="51"/>
      <c r="AK386" s="51"/>
      <c r="AL386" s="51"/>
      <c r="AM386" s="51"/>
      <c r="AN386" s="51"/>
      <c r="AO386" s="51"/>
      <c r="AP386" s="51"/>
      <c r="AQ386" s="51"/>
      <c r="AR386" s="51"/>
      <c r="AS386" s="51"/>
      <c r="AT386" s="51"/>
      <c r="AU386" s="51"/>
      <c r="AV386" s="51"/>
      <c r="AW386" s="51"/>
      <c r="AX386" s="51"/>
      <c r="AY386" s="51"/>
      <c r="AZ386" s="51"/>
      <c r="BA386" s="51"/>
      <c r="BB386" s="51"/>
      <c r="BC386" s="51"/>
      <c r="BD386" s="51"/>
      <c r="BE386" s="51"/>
      <c r="BF386" s="51"/>
      <c r="BG386" s="51"/>
      <c r="BH386" s="51"/>
      <c r="BI386" s="51"/>
      <c r="BJ386" s="51"/>
      <c r="BK386" s="51"/>
      <c r="BL386" s="51"/>
      <c r="BM386" s="51"/>
      <c r="BN386" s="51"/>
      <c r="BO386" s="51"/>
      <c r="BP386" s="51"/>
      <c r="BQ386" s="51"/>
      <c r="BR386" s="9">
        <f t="shared" si="59"/>
        <v>1</v>
      </c>
      <c r="BT386" s="53" t="str">
        <f t="shared" si="60"/>
        <v>Northwest Africa 12427</v>
      </c>
      <c r="BU386" s="25"/>
    </row>
    <row r="387" spans="1:73" ht="12.75" customHeight="1" x14ac:dyDescent="0.25">
      <c r="B387" s="23"/>
      <c r="C387" s="209" t="str">
        <f>HYPERLINK("https://sites.wustl.edu/meteoritesite/items/lm_nwa_12603/",Q387)</f>
        <v>Northwest Africa 12603</v>
      </c>
      <c r="D387" s="210"/>
      <c r="E387" s="210"/>
      <c r="F387" s="211"/>
      <c r="G387" s="89">
        <v>2018</v>
      </c>
      <c r="H387" s="214" t="s">
        <v>41</v>
      </c>
      <c r="I387" s="215"/>
      <c r="J387" s="33">
        <v>47</v>
      </c>
      <c r="K387" s="212" t="s">
        <v>39</v>
      </c>
      <c r="L387" s="213"/>
      <c r="M387" s="32" t="s">
        <v>236</v>
      </c>
      <c r="N387" s="32" t="s">
        <v>40</v>
      </c>
      <c r="P387" s="125">
        <f t="shared" si="83"/>
        <v>47</v>
      </c>
      <c r="Q387" s="54" t="s">
        <v>348</v>
      </c>
      <c r="R387" s="48"/>
      <c r="S387" s="49"/>
      <c r="T387" s="50">
        <f t="shared" si="55"/>
        <v>0</v>
      </c>
      <c r="V387" s="51">
        <v>47</v>
      </c>
      <c r="W387" s="51"/>
      <c r="X387" s="51"/>
      <c r="Y387" s="51"/>
      <c r="Z387" s="51"/>
      <c r="AA387" s="51"/>
      <c r="AB387" s="51"/>
      <c r="AC387" s="51"/>
      <c r="AD387" s="51"/>
      <c r="AE387" s="51"/>
      <c r="AF387" s="51"/>
      <c r="AG387" s="51"/>
      <c r="AH387" s="51"/>
      <c r="AI387" s="51"/>
      <c r="AJ387" s="51"/>
      <c r="AK387" s="51"/>
      <c r="AL387" s="51"/>
      <c r="AM387" s="51"/>
      <c r="AN387" s="51"/>
      <c r="AO387" s="51"/>
      <c r="AP387" s="51"/>
      <c r="AQ387" s="51"/>
      <c r="AR387" s="51"/>
      <c r="AS387" s="51"/>
      <c r="AT387" s="51"/>
      <c r="AU387" s="51"/>
      <c r="AV387" s="51"/>
      <c r="AW387" s="51"/>
      <c r="AX387" s="51"/>
      <c r="AY387" s="51"/>
      <c r="AZ387" s="51"/>
      <c r="BA387" s="51"/>
      <c r="BB387" s="51"/>
      <c r="BC387" s="51"/>
      <c r="BD387" s="51"/>
      <c r="BE387" s="51"/>
      <c r="BF387" s="51"/>
      <c r="BG387" s="51"/>
      <c r="BH387" s="51"/>
      <c r="BI387" s="51"/>
      <c r="BJ387" s="51"/>
      <c r="BK387" s="51"/>
      <c r="BL387" s="51"/>
      <c r="BM387" s="51"/>
      <c r="BN387" s="51"/>
      <c r="BO387" s="51"/>
      <c r="BP387" s="51"/>
      <c r="BQ387" s="51"/>
      <c r="BR387" s="9">
        <f t="shared" si="59"/>
        <v>1</v>
      </c>
      <c r="BT387" s="53" t="str">
        <f t="shared" si="60"/>
        <v>Northwest Africa 12603</v>
      </c>
      <c r="BU387" s="25"/>
    </row>
    <row r="388" spans="1:73" ht="12.75" customHeight="1" x14ac:dyDescent="0.25">
      <c r="B388" s="23"/>
      <c r="C388" s="209" t="str">
        <f>HYPERLINK("https://sites.wustl.edu/meteoritesite/items/lm_nwa_12643/",Q388)</f>
        <v>Northwest Africa 12643</v>
      </c>
      <c r="D388" s="210"/>
      <c r="E388" s="210"/>
      <c r="F388" s="211"/>
      <c r="G388" s="89">
        <v>2019</v>
      </c>
      <c r="H388" s="214" t="s">
        <v>396</v>
      </c>
      <c r="I388" s="215"/>
      <c r="J388" s="33">
        <v>2602</v>
      </c>
      <c r="K388" s="212" t="s">
        <v>39</v>
      </c>
      <c r="L388" s="213"/>
      <c r="M388" s="32" t="s">
        <v>40</v>
      </c>
      <c r="N388" s="32" t="s">
        <v>40</v>
      </c>
      <c r="P388" s="125">
        <f t="shared" si="83"/>
        <v>2602</v>
      </c>
      <c r="Q388" s="54" t="s">
        <v>350</v>
      </c>
      <c r="R388" s="48"/>
      <c r="S388" s="49"/>
      <c r="T388" s="50">
        <f t="shared" si="55"/>
        <v>0</v>
      </c>
      <c r="V388" s="51">
        <v>2602</v>
      </c>
      <c r="W388" s="51"/>
      <c r="X388" s="51"/>
      <c r="Y388" s="51"/>
      <c r="Z388" s="51"/>
      <c r="AA388" s="51"/>
      <c r="AB388" s="51"/>
      <c r="AC388" s="51"/>
      <c r="AD388" s="51"/>
      <c r="AE388" s="51"/>
      <c r="AF388" s="51"/>
      <c r="AG388" s="51"/>
      <c r="AH388" s="51"/>
      <c r="AI388" s="51"/>
      <c r="AJ388" s="51"/>
      <c r="AK388" s="51"/>
      <c r="AL388" s="51"/>
      <c r="AM388" s="51"/>
      <c r="AN388" s="51"/>
      <c r="AO388" s="51"/>
      <c r="AP388" s="51"/>
      <c r="AQ388" s="51"/>
      <c r="AR388" s="51"/>
      <c r="AS388" s="51"/>
      <c r="AT388" s="51"/>
      <c r="AU388" s="51"/>
      <c r="AV388" s="51"/>
      <c r="AW388" s="51"/>
      <c r="AX388" s="51"/>
      <c r="AY388" s="51"/>
      <c r="AZ388" s="51"/>
      <c r="BA388" s="51"/>
      <c r="BB388" s="51"/>
      <c r="BC388" s="51"/>
      <c r="BD388" s="51"/>
      <c r="BE388" s="51"/>
      <c r="BF388" s="51"/>
      <c r="BG388" s="51"/>
      <c r="BH388" s="51"/>
      <c r="BI388" s="51"/>
      <c r="BJ388" s="51"/>
      <c r="BK388" s="51"/>
      <c r="BL388" s="51"/>
      <c r="BM388" s="51"/>
      <c r="BN388" s="51"/>
      <c r="BO388" s="51"/>
      <c r="BP388" s="51"/>
      <c r="BQ388" s="51"/>
      <c r="BR388" s="9">
        <f t="shared" si="59"/>
        <v>1</v>
      </c>
      <c r="BT388" s="53" t="str">
        <f t="shared" si="60"/>
        <v>Northwest Africa 12643</v>
      </c>
      <c r="BU388" s="25"/>
    </row>
    <row r="389" spans="1:73" ht="12.75" customHeight="1" x14ac:dyDescent="0.25">
      <c r="B389" s="23"/>
      <c r="C389" s="209" t="str">
        <f>HYPERLINK("https://sites.wustl.edu/meteoritesite/items/lm_nwa_12697/",Q389)</f>
        <v>Northwest Africa 12697</v>
      </c>
      <c r="D389" s="210"/>
      <c r="E389" s="210"/>
      <c r="F389" s="211"/>
      <c r="G389" s="89">
        <v>2018</v>
      </c>
      <c r="H389" s="214" t="s">
        <v>396</v>
      </c>
      <c r="I389" s="215"/>
      <c r="J389" s="33">
        <v>140</v>
      </c>
      <c r="K389" s="212" t="s">
        <v>39</v>
      </c>
      <c r="L389" s="213"/>
      <c r="M389" s="32" t="s">
        <v>40</v>
      </c>
      <c r="N389" s="32" t="s">
        <v>40</v>
      </c>
      <c r="P389" s="125">
        <f t="shared" si="83"/>
        <v>140</v>
      </c>
      <c r="Q389" s="54" t="s">
        <v>352</v>
      </c>
      <c r="R389" s="48"/>
      <c r="S389" s="49"/>
      <c r="T389" s="50">
        <f t="shared" si="55"/>
        <v>0</v>
      </c>
      <c r="V389" s="51">
        <v>140</v>
      </c>
      <c r="W389" s="51"/>
      <c r="X389" s="51"/>
      <c r="Y389" s="51"/>
      <c r="Z389" s="51"/>
      <c r="AA389" s="51"/>
      <c r="AB389" s="51"/>
      <c r="AC389" s="51"/>
      <c r="AD389" s="51"/>
      <c r="AE389" s="51"/>
      <c r="AF389" s="51"/>
      <c r="AG389" s="51"/>
      <c r="AH389" s="51"/>
      <c r="AI389" s="51"/>
      <c r="AJ389" s="51"/>
      <c r="AK389" s="51"/>
      <c r="AL389" s="51"/>
      <c r="AM389" s="51"/>
      <c r="AN389" s="51"/>
      <c r="AO389" s="51"/>
      <c r="AP389" s="51"/>
      <c r="AQ389" s="51"/>
      <c r="AR389" s="51"/>
      <c r="AS389" s="51"/>
      <c r="AT389" s="51"/>
      <c r="AU389" s="51"/>
      <c r="AV389" s="51"/>
      <c r="AW389" s="51"/>
      <c r="AX389" s="51"/>
      <c r="AY389" s="51"/>
      <c r="AZ389" s="51"/>
      <c r="BA389" s="51"/>
      <c r="BB389" s="51"/>
      <c r="BC389" s="51"/>
      <c r="BD389" s="51"/>
      <c r="BE389" s="51"/>
      <c r="BF389" s="51"/>
      <c r="BG389" s="51"/>
      <c r="BH389" s="51"/>
      <c r="BI389" s="51"/>
      <c r="BJ389" s="51"/>
      <c r="BK389" s="51"/>
      <c r="BL389" s="51"/>
      <c r="BM389" s="51"/>
      <c r="BN389" s="51"/>
      <c r="BO389" s="51"/>
      <c r="BP389" s="51"/>
      <c r="BQ389" s="51"/>
      <c r="BR389" s="9">
        <f t="shared" si="59"/>
        <v>1</v>
      </c>
      <c r="BT389" s="53" t="str">
        <f t="shared" si="60"/>
        <v>Northwest Africa 12697</v>
      </c>
      <c r="BU389" s="25"/>
    </row>
    <row r="390" spans="1:73" s="42" customFormat="1" ht="12.75" customHeight="1" x14ac:dyDescent="0.25">
      <c r="A390"/>
      <c r="B390" s="23"/>
      <c r="C390" s="209" t="str">
        <f>HYPERLINK("https://sites.wustl.edu/meteoritesite/items/lm_nwa_12765/",Q390)</f>
        <v>Northwest Africa 12765</v>
      </c>
      <c r="D390" s="210"/>
      <c r="E390" s="210"/>
      <c r="F390" s="211"/>
      <c r="G390" s="89">
        <v>2019</v>
      </c>
      <c r="H390" s="214" t="s">
        <v>396</v>
      </c>
      <c r="I390" s="215"/>
      <c r="J390" s="31">
        <v>15949</v>
      </c>
      <c r="K390" s="212" t="s">
        <v>51</v>
      </c>
      <c r="L390" s="213"/>
      <c r="M390" s="32" t="s">
        <v>40</v>
      </c>
      <c r="N390" s="32" t="s">
        <v>40</v>
      </c>
      <c r="P390" s="125">
        <f t="shared" si="83"/>
        <v>15949</v>
      </c>
      <c r="Q390" s="54" t="s">
        <v>540</v>
      </c>
      <c r="R390" s="48"/>
      <c r="S390" s="49"/>
      <c r="T390" s="50">
        <f t="shared" si="55"/>
        <v>0</v>
      </c>
      <c r="U390" s="9"/>
      <c r="V390" s="51">
        <v>15949</v>
      </c>
      <c r="W390" s="51"/>
      <c r="X390" s="51"/>
      <c r="Y390" s="51"/>
      <c r="Z390" s="51"/>
      <c r="AA390" s="51"/>
      <c r="AB390" s="51"/>
      <c r="AC390" s="51"/>
      <c r="AD390" s="51"/>
      <c r="AE390" s="51"/>
      <c r="AF390" s="51"/>
      <c r="AG390" s="51"/>
      <c r="AH390" s="51"/>
      <c r="AI390" s="51"/>
      <c r="AJ390" s="51"/>
      <c r="AK390" s="51"/>
      <c r="AL390" s="51"/>
      <c r="AM390" s="51"/>
      <c r="AN390" s="51"/>
      <c r="AO390" s="51"/>
      <c r="AP390" s="51"/>
      <c r="AQ390" s="51"/>
      <c r="AR390" s="51"/>
      <c r="AS390" s="51"/>
      <c r="AT390" s="51"/>
      <c r="AU390" s="51"/>
      <c r="AV390" s="51"/>
      <c r="AW390" s="51"/>
      <c r="AX390" s="51"/>
      <c r="AY390" s="51"/>
      <c r="AZ390" s="51"/>
      <c r="BA390" s="51"/>
      <c r="BB390" s="51"/>
      <c r="BC390" s="51"/>
      <c r="BD390" s="51"/>
      <c r="BE390" s="51"/>
      <c r="BF390" s="51"/>
      <c r="BG390" s="51"/>
      <c r="BH390" s="51"/>
      <c r="BI390" s="51"/>
      <c r="BJ390" s="51"/>
      <c r="BK390" s="51"/>
      <c r="BL390" s="51"/>
      <c r="BM390" s="51"/>
      <c r="BN390" s="51"/>
      <c r="BO390" s="51"/>
      <c r="BP390" s="51"/>
      <c r="BQ390" s="51"/>
      <c r="BR390" s="9">
        <f t="shared" si="59"/>
        <v>1</v>
      </c>
      <c r="BS390" s="9"/>
      <c r="BT390" s="53" t="str">
        <f t="shared" si="60"/>
        <v>Northwest Africa 12765</v>
      </c>
      <c r="BU390" s="101"/>
    </row>
    <row r="391" spans="1:73" s="42" customFormat="1" ht="12.75" customHeight="1" x14ac:dyDescent="0.25">
      <c r="A391"/>
      <c r="B391" s="23"/>
      <c r="C391" s="209" t="str">
        <f>HYPERLINK("https://sites.wustl.edu/meteoritesite/items/lm_nwa_12788/",Q391)</f>
        <v>Northwest Africa 12788</v>
      </c>
      <c r="D391" s="210"/>
      <c r="E391" s="210"/>
      <c r="F391" s="211"/>
      <c r="G391" s="89">
        <v>2019</v>
      </c>
      <c r="H391" s="208" t="s">
        <v>616</v>
      </c>
      <c r="I391" s="208"/>
      <c r="J391" s="32">
        <v>22</v>
      </c>
      <c r="K391" s="212" t="s">
        <v>661</v>
      </c>
      <c r="L391" s="213"/>
      <c r="M391" s="32" t="s">
        <v>40</v>
      </c>
      <c r="N391" s="32" t="s">
        <v>40</v>
      </c>
      <c r="P391" s="125">
        <f t="shared" si="83"/>
        <v>22</v>
      </c>
      <c r="Q391" s="54" t="s">
        <v>658</v>
      </c>
      <c r="R391" s="48"/>
      <c r="S391" s="49"/>
      <c r="T391" s="50">
        <f t="shared" si="55"/>
        <v>0</v>
      </c>
      <c r="U391" s="9"/>
      <c r="V391" s="51">
        <v>22</v>
      </c>
      <c r="W391" s="51"/>
      <c r="X391" s="51"/>
      <c r="Y391" s="51"/>
      <c r="Z391" s="51"/>
      <c r="AA391" s="51"/>
      <c r="AB391" s="51"/>
      <c r="AC391" s="51"/>
      <c r="AD391" s="51"/>
      <c r="AE391" s="51"/>
      <c r="AF391" s="51"/>
      <c r="AG391" s="51"/>
      <c r="AH391" s="51"/>
      <c r="AI391" s="51"/>
      <c r="AJ391" s="51"/>
      <c r="AK391" s="51"/>
      <c r="AL391" s="51"/>
      <c r="AM391" s="51"/>
      <c r="AN391" s="51"/>
      <c r="AO391" s="51"/>
      <c r="AP391" s="51"/>
      <c r="AQ391" s="51"/>
      <c r="AR391" s="51"/>
      <c r="AS391" s="51"/>
      <c r="AT391" s="51"/>
      <c r="AU391" s="51"/>
      <c r="AV391" s="51"/>
      <c r="AW391" s="51"/>
      <c r="AX391" s="51"/>
      <c r="AY391" s="51"/>
      <c r="AZ391" s="51"/>
      <c r="BA391" s="51"/>
      <c r="BB391" s="51"/>
      <c r="BC391" s="51"/>
      <c r="BD391" s="51"/>
      <c r="BE391" s="51"/>
      <c r="BF391" s="51"/>
      <c r="BG391" s="51"/>
      <c r="BH391" s="51"/>
      <c r="BI391" s="51"/>
      <c r="BJ391" s="51"/>
      <c r="BK391" s="51"/>
      <c r="BL391" s="51"/>
      <c r="BM391" s="51"/>
      <c r="BN391" s="51"/>
      <c r="BO391" s="51"/>
      <c r="BP391" s="51"/>
      <c r="BQ391" s="51"/>
      <c r="BR391" s="9"/>
      <c r="BS391" s="9"/>
      <c r="BT391" s="53" t="str">
        <f t="shared" si="60"/>
        <v>Northwest Africa 12788</v>
      </c>
      <c r="BU391" s="101"/>
    </row>
    <row r="392" spans="1:73" s="42" customFormat="1" ht="12.75" customHeight="1" x14ac:dyDescent="0.25">
      <c r="A392"/>
      <c r="B392" s="23"/>
      <c r="C392" s="209" t="str">
        <f>HYPERLINK("https://sites.wustl.edu/meteoritesite/items/lm_nwa_12788/",Q392)</f>
        <v>Northwest Africa 12789</v>
      </c>
      <c r="D392" s="210"/>
      <c r="E392" s="210"/>
      <c r="F392" s="211"/>
      <c r="G392" s="89">
        <v>2019</v>
      </c>
      <c r="H392" s="208" t="s">
        <v>616</v>
      </c>
      <c r="I392" s="208"/>
      <c r="J392" s="32">
        <v>22.5</v>
      </c>
      <c r="K392" s="212" t="s">
        <v>35</v>
      </c>
      <c r="L392" s="213"/>
      <c r="M392" s="32" t="s">
        <v>40</v>
      </c>
      <c r="N392" s="32" t="s">
        <v>40</v>
      </c>
      <c r="P392" s="125">
        <f t="shared" si="83"/>
        <v>22.5</v>
      </c>
      <c r="Q392" s="54" t="s">
        <v>659</v>
      </c>
      <c r="R392" s="48"/>
      <c r="S392" s="49"/>
      <c r="T392" s="50">
        <f t="shared" si="55"/>
        <v>0</v>
      </c>
      <c r="U392" s="9"/>
      <c r="V392" s="51">
        <v>22.5</v>
      </c>
      <c r="W392" s="51"/>
      <c r="X392" s="51"/>
      <c r="Y392" s="51"/>
      <c r="Z392" s="51"/>
      <c r="AA392" s="51"/>
      <c r="AB392" s="51"/>
      <c r="AC392" s="51"/>
      <c r="AD392" s="51"/>
      <c r="AE392" s="51"/>
      <c r="AF392" s="51"/>
      <c r="AG392" s="51"/>
      <c r="AH392" s="51"/>
      <c r="AI392" s="51"/>
      <c r="AJ392" s="51"/>
      <c r="AK392" s="51"/>
      <c r="AL392" s="51"/>
      <c r="AM392" s="51"/>
      <c r="AN392" s="51"/>
      <c r="AO392" s="51"/>
      <c r="AP392" s="51"/>
      <c r="AQ392" s="51"/>
      <c r="AR392" s="51"/>
      <c r="AS392" s="51"/>
      <c r="AT392" s="51"/>
      <c r="AU392" s="51"/>
      <c r="AV392" s="51"/>
      <c r="AW392" s="51"/>
      <c r="AX392" s="51"/>
      <c r="AY392" s="51"/>
      <c r="AZ392" s="51"/>
      <c r="BA392" s="51"/>
      <c r="BB392" s="51"/>
      <c r="BC392" s="51"/>
      <c r="BD392" s="51"/>
      <c r="BE392" s="51"/>
      <c r="BF392" s="51"/>
      <c r="BG392" s="51"/>
      <c r="BH392" s="51"/>
      <c r="BI392" s="51"/>
      <c r="BJ392" s="51"/>
      <c r="BK392" s="51"/>
      <c r="BL392" s="51"/>
      <c r="BM392" s="51"/>
      <c r="BN392" s="51"/>
      <c r="BO392" s="51"/>
      <c r="BP392" s="51"/>
      <c r="BQ392" s="51"/>
      <c r="BR392" s="9"/>
      <c r="BS392" s="9"/>
      <c r="BT392" s="53" t="str">
        <f t="shared" si="60"/>
        <v>Northwest Africa 12789</v>
      </c>
      <c r="BU392" s="101"/>
    </row>
    <row r="393" spans="1:73" s="42" customFormat="1" ht="12.75" customHeight="1" x14ac:dyDescent="0.25">
      <c r="A393"/>
      <c r="B393" s="23"/>
      <c r="C393" s="209" t="str">
        <f>HYPERLINK("https://sites.wustl.edu/meteoritesite/items/lm_nwa_12788/",Q393)</f>
        <v>Northwest Africa 12790</v>
      </c>
      <c r="D393" s="210"/>
      <c r="E393" s="210"/>
      <c r="F393" s="211"/>
      <c r="G393" s="89">
        <v>2019</v>
      </c>
      <c r="H393" s="208" t="s">
        <v>616</v>
      </c>
      <c r="I393" s="208"/>
      <c r="J393" s="32">
        <v>17.600000000000001</v>
      </c>
      <c r="K393" s="212" t="s">
        <v>661</v>
      </c>
      <c r="L393" s="213"/>
      <c r="M393" s="32" t="s">
        <v>40</v>
      </c>
      <c r="N393" s="32" t="s">
        <v>40</v>
      </c>
      <c r="P393" s="125">
        <f t="shared" ref="P393" si="134">SUM(V393:BQ393)</f>
        <v>17.600000000000001</v>
      </c>
      <c r="Q393" s="54" t="s">
        <v>660</v>
      </c>
      <c r="R393" s="48"/>
      <c r="S393" s="49"/>
      <c r="T393" s="50">
        <f t="shared" ref="T393" si="135">J393-P393</f>
        <v>0</v>
      </c>
      <c r="U393" s="9"/>
      <c r="V393" s="51">
        <v>17.600000000000001</v>
      </c>
      <c r="W393" s="51"/>
      <c r="X393" s="51"/>
      <c r="Y393" s="51"/>
      <c r="Z393" s="51"/>
      <c r="AA393" s="51"/>
      <c r="AB393" s="51"/>
      <c r="AC393" s="51"/>
      <c r="AD393" s="51"/>
      <c r="AE393" s="51"/>
      <c r="AF393" s="51"/>
      <c r="AG393" s="51"/>
      <c r="AH393" s="51"/>
      <c r="AI393" s="51"/>
      <c r="AJ393" s="51"/>
      <c r="AK393" s="51"/>
      <c r="AL393" s="51"/>
      <c r="AM393" s="51"/>
      <c r="AN393" s="51"/>
      <c r="AO393" s="51"/>
      <c r="AP393" s="51"/>
      <c r="AQ393" s="51"/>
      <c r="AR393" s="51"/>
      <c r="AS393" s="51"/>
      <c r="AT393" s="51"/>
      <c r="AU393" s="51"/>
      <c r="AV393" s="51"/>
      <c r="AW393" s="51"/>
      <c r="AX393" s="51"/>
      <c r="AY393" s="51"/>
      <c r="AZ393" s="51"/>
      <c r="BA393" s="51"/>
      <c r="BB393" s="51"/>
      <c r="BC393" s="51"/>
      <c r="BD393" s="51"/>
      <c r="BE393" s="51"/>
      <c r="BF393" s="51"/>
      <c r="BG393" s="51"/>
      <c r="BH393" s="51"/>
      <c r="BI393" s="51"/>
      <c r="BJ393" s="51"/>
      <c r="BK393" s="51"/>
      <c r="BL393" s="51"/>
      <c r="BM393" s="51"/>
      <c r="BN393" s="51"/>
      <c r="BO393" s="51"/>
      <c r="BP393" s="51"/>
      <c r="BQ393" s="51"/>
      <c r="BR393" s="9"/>
      <c r="BS393" s="9"/>
      <c r="BT393" s="53" t="str">
        <f t="shared" ref="BT393" si="136">Q393</f>
        <v>Northwest Africa 12790</v>
      </c>
      <c r="BU393" s="101"/>
    </row>
    <row r="394" spans="1:73" s="42" customFormat="1" ht="12.75" customHeight="1" x14ac:dyDescent="0.25">
      <c r="A394"/>
      <c r="B394" s="112"/>
      <c r="C394" s="209" t="str">
        <f>HYPERLINK("https://sites.wustl.edu/meteoritesite/items/lm_nwa_12826/",Q394)</f>
        <v>Northwest Africa 12826</v>
      </c>
      <c r="D394" s="210"/>
      <c r="E394" s="210"/>
      <c r="F394" s="210"/>
      <c r="G394" s="89">
        <v>2017</v>
      </c>
      <c r="H394" s="214" t="s">
        <v>38</v>
      </c>
      <c r="I394" s="215"/>
      <c r="J394" s="33">
        <v>25</v>
      </c>
      <c r="K394" s="212" t="s">
        <v>39</v>
      </c>
      <c r="L394" s="213"/>
      <c r="M394" s="113" t="s">
        <v>40</v>
      </c>
      <c r="N394" s="113" t="s">
        <v>40</v>
      </c>
      <c r="P394" s="125">
        <f t="shared" si="83"/>
        <v>25</v>
      </c>
      <c r="Q394" s="54" t="s">
        <v>365</v>
      </c>
      <c r="R394" s="48"/>
      <c r="S394" s="49"/>
      <c r="T394" s="50">
        <f t="shared" si="55"/>
        <v>0</v>
      </c>
      <c r="U394" s="9"/>
      <c r="V394" s="51">
        <v>25</v>
      </c>
      <c r="W394" s="51"/>
      <c r="X394" s="51"/>
      <c r="Y394" s="51"/>
      <c r="Z394" s="51"/>
      <c r="AA394" s="51"/>
      <c r="AB394" s="51"/>
      <c r="AC394" s="51"/>
      <c r="AD394" s="51"/>
      <c r="AE394" s="51"/>
      <c r="AF394" s="51"/>
      <c r="AG394" s="51"/>
      <c r="AH394" s="51"/>
      <c r="AI394" s="51"/>
      <c r="AJ394" s="51"/>
      <c r="AK394" s="51"/>
      <c r="AL394" s="51"/>
      <c r="AM394" s="51"/>
      <c r="AN394" s="51"/>
      <c r="AO394" s="51"/>
      <c r="AP394" s="51"/>
      <c r="AQ394" s="51"/>
      <c r="AR394" s="51"/>
      <c r="AS394" s="51"/>
      <c r="AT394" s="51"/>
      <c r="AU394" s="51"/>
      <c r="AV394" s="51"/>
      <c r="AW394" s="51"/>
      <c r="AX394" s="51"/>
      <c r="AY394" s="51"/>
      <c r="AZ394" s="51"/>
      <c r="BA394" s="51"/>
      <c r="BB394" s="51"/>
      <c r="BC394" s="51"/>
      <c r="BD394" s="51"/>
      <c r="BE394" s="51"/>
      <c r="BF394" s="51"/>
      <c r="BG394" s="51"/>
      <c r="BH394" s="51"/>
      <c r="BI394" s="51"/>
      <c r="BJ394" s="51"/>
      <c r="BK394" s="51"/>
      <c r="BL394" s="51"/>
      <c r="BM394" s="51"/>
      <c r="BN394" s="51"/>
      <c r="BO394" s="51"/>
      <c r="BP394" s="51"/>
      <c r="BQ394" s="51"/>
      <c r="BR394" s="9">
        <f t="shared" si="59"/>
        <v>1</v>
      </c>
      <c r="BS394" s="9"/>
      <c r="BT394" s="53" t="str">
        <f t="shared" si="60"/>
        <v>Northwest Africa 12826</v>
      </c>
      <c r="BU394" s="101"/>
    </row>
    <row r="395" spans="1:73" ht="12.75" customHeight="1" x14ac:dyDescent="0.25">
      <c r="B395" s="23"/>
      <c r="C395" s="209" t="str">
        <f>HYPERLINK("https://sites.wustl.edu/meteoritesite/items/lm_nwa_12830/",Q395)</f>
        <v>Northwest Africa 12830</v>
      </c>
      <c r="D395" s="210"/>
      <c r="E395" s="210"/>
      <c r="F395" s="211"/>
      <c r="G395" s="89">
        <v>2019</v>
      </c>
      <c r="H395" s="214" t="s">
        <v>616</v>
      </c>
      <c r="I395" s="215"/>
      <c r="J395" s="33">
        <v>232</v>
      </c>
      <c r="K395" s="212" t="s">
        <v>39</v>
      </c>
      <c r="L395" s="213"/>
      <c r="M395" s="32" t="s">
        <v>40</v>
      </c>
      <c r="N395" s="32" t="s">
        <v>40</v>
      </c>
      <c r="P395" s="125">
        <f t="shared" si="83"/>
        <v>232</v>
      </c>
      <c r="Q395" s="54" t="s">
        <v>367</v>
      </c>
      <c r="R395" s="48"/>
      <c r="S395" s="49"/>
      <c r="T395" s="50">
        <f t="shared" si="55"/>
        <v>0</v>
      </c>
      <c r="V395" s="51">
        <v>232</v>
      </c>
      <c r="W395" s="51"/>
      <c r="X395" s="51"/>
      <c r="Y395" s="51"/>
      <c r="Z395" s="51"/>
      <c r="AA395" s="51"/>
      <c r="AB395" s="51"/>
      <c r="AC395" s="51"/>
      <c r="AD395" s="51"/>
      <c r="AE395" s="51"/>
      <c r="AF395" s="51"/>
      <c r="AG395" s="51"/>
      <c r="AH395" s="51"/>
      <c r="AI395" s="51"/>
      <c r="AJ395" s="51"/>
      <c r="AK395" s="51"/>
      <c r="AL395" s="51"/>
      <c r="AM395" s="51"/>
      <c r="AN395" s="51"/>
      <c r="AO395" s="51"/>
      <c r="AP395" s="51"/>
      <c r="AQ395" s="51"/>
      <c r="AR395" s="51"/>
      <c r="AS395" s="51"/>
      <c r="AT395" s="51"/>
      <c r="AU395" s="51"/>
      <c r="AV395" s="51"/>
      <c r="AW395" s="51"/>
      <c r="AX395" s="51"/>
      <c r="AY395" s="51"/>
      <c r="AZ395" s="51"/>
      <c r="BA395" s="51"/>
      <c r="BB395" s="51"/>
      <c r="BC395" s="51"/>
      <c r="BD395" s="51"/>
      <c r="BE395" s="51"/>
      <c r="BF395" s="51"/>
      <c r="BG395" s="51"/>
      <c r="BH395" s="51"/>
      <c r="BI395" s="51"/>
      <c r="BJ395" s="51"/>
      <c r="BK395" s="51"/>
      <c r="BL395" s="51"/>
      <c r="BM395" s="51"/>
      <c r="BN395" s="51"/>
      <c r="BO395" s="51"/>
      <c r="BP395" s="51"/>
      <c r="BQ395" s="51"/>
      <c r="BR395" s="9">
        <f t="shared" si="59"/>
        <v>1</v>
      </c>
      <c r="BT395" s="53" t="str">
        <f t="shared" si="60"/>
        <v>Northwest Africa 12830</v>
      </c>
      <c r="BU395" s="25"/>
    </row>
    <row r="396" spans="1:73" ht="12.75" customHeight="1" x14ac:dyDescent="0.25">
      <c r="B396" s="23"/>
      <c r="C396" s="209" t="str">
        <f>HYPERLINK("https://sites.wustl.edu/meteoritesite/items/lm_nwa_12831/",Q396)</f>
        <v>Northwest Africa 12831</v>
      </c>
      <c r="D396" s="210"/>
      <c r="E396" s="210"/>
      <c r="F396" s="211"/>
      <c r="G396" s="89">
        <v>2019</v>
      </c>
      <c r="H396" s="214" t="s">
        <v>396</v>
      </c>
      <c r="I396" s="215"/>
      <c r="J396" s="62">
        <v>30.07</v>
      </c>
      <c r="K396" s="212" t="s">
        <v>66</v>
      </c>
      <c r="L396" s="213"/>
      <c r="M396" s="32" t="s">
        <v>40</v>
      </c>
      <c r="N396" s="32" t="s">
        <v>40</v>
      </c>
      <c r="P396" s="125">
        <f t="shared" si="83"/>
        <v>30.07</v>
      </c>
      <c r="Q396" s="54" t="s">
        <v>378</v>
      </c>
      <c r="R396" s="48"/>
      <c r="S396" s="49"/>
      <c r="T396" s="50">
        <f t="shared" si="55"/>
        <v>0</v>
      </c>
      <c r="V396" s="51">
        <v>30.07</v>
      </c>
      <c r="W396" s="51"/>
      <c r="X396" s="51"/>
      <c r="Y396" s="51"/>
      <c r="Z396" s="51"/>
      <c r="AA396" s="51"/>
      <c r="AB396" s="51"/>
      <c r="AC396" s="51"/>
      <c r="AD396" s="51"/>
      <c r="AE396" s="51"/>
      <c r="AF396" s="51"/>
      <c r="AG396" s="51"/>
      <c r="AH396" s="51"/>
      <c r="AI396" s="51"/>
      <c r="AJ396" s="51"/>
      <c r="AK396" s="51"/>
      <c r="AL396" s="51"/>
      <c r="AM396" s="51"/>
      <c r="AN396" s="51"/>
      <c r="AO396" s="51"/>
      <c r="AP396" s="51"/>
      <c r="AQ396" s="51"/>
      <c r="AR396" s="51"/>
      <c r="AS396" s="51"/>
      <c r="AT396" s="51"/>
      <c r="AU396" s="51"/>
      <c r="AV396" s="51"/>
      <c r="AW396" s="51"/>
      <c r="AX396" s="51"/>
      <c r="AY396" s="51"/>
      <c r="AZ396" s="51"/>
      <c r="BA396" s="51"/>
      <c r="BB396" s="51"/>
      <c r="BC396" s="51"/>
      <c r="BD396" s="51"/>
      <c r="BE396" s="51"/>
      <c r="BF396" s="51"/>
      <c r="BG396" s="51"/>
      <c r="BH396" s="51"/>
      <c r="BI396" s="51"/>
      <c r="BJ396" s="51"/>
      <c r="BK396" s="51"/>
      <c r="BL396" s="51"/>
      <c r="BM396" s="51"/>
      <c r="BN396" s="51"/>
      <c r="BO396" s="51"/>
      <c r="BP396" s="51"/>
      <c r="BQ396" s="51"/>
      <c r="BR396" s="9">
        <f t="shared" si="59"/>
        <v>1</v>
      </c>
      <c r="BT396" s="53" t="str">
        <f t="shared" si="60"/>
        <v>Northwest Africa 12831</v>
      </c>
      <c r="BU396" s="25"/>
    </row>
    <row r="397" spans="1:73" s="8" customFormat="1" ht="12.75" customHeight="1" x14ac:dyDescent="0.25">
      <c r="A397"/>
      <c r="B397" s="23"/>
      <c r="C397" s="209" t="str">
        <f>HYPERLINK("https://sites.wustl.edu/meteoritesite/items/lm_nwa_12839/",Q397)</f>
        <v>Northwest Africa 12839</v>
      </c>
      <c r="D397" s="210"/>
      <c r="E397" s="210"/>
      <c r="F397" s="211"/>
      <c r="G397" s="89">
        <v>2019</v>
      </c>
      <c r="H397" s="240" t="s">
        <v>380</v>
      </c>
      <c r="I397" s="240"/>
      <c r="J397" s="62">
        <v>68.75</v>
      </c>
      <c r="K397" s="207" t="s">
        <v>39</v>
      </c>
      <c r="L397" s="207"/>
      <c r="M397" s="32" t="s">
        <v>342</v>
      </c>
      <c r="N397" s="32" t="s">
        <v>40</v>
      </c>
      <c r="O397" s="15"/>
      <c r="P397" s="125">
        <f t="shared" si="83"/>
        <v>68.75</v>
      </c>
      <c r="Q397" s="54" t="s">
        <v>381</v>
      </c>
      <c r="R397" s="48"/>
      <c r="S397" s="49"/>
      <c r="T397" s="50">
        <f>J397-P397</f>
        <v>0</v>
      </c>
      <c r="U397" s="9"/>
      <c r="V397" s="51">
        <v>68.75</v>
      </c>
      <c r="W397" s="51"/>
      <c r="X397" s="51"/>
      <c r="Y397" s="52"/>
      <c r="Z397" s="51"/>
      <c r="AA397" s="51"/>
      <c r="AB397" s="51"/>
      <c r="AC397" s="51"/>
      <c r="AD397" s="51"/>
      <c r="AE397" s="51"/>
      <c r="AF397" s="51"/>
      <c r="AG397" s="51"/>
      <c r="AH397" s="51"/>
      <c r="AI397" s="51"/>
      <c r="AJ397" s="51"/>
      <c r="AK397" s="51"/>
      <c r="AL397" s="51"/>
      <c r="AM397" s="51"/>
      <c r="AN397" s="51"/>
      <c r="AO397" s="51"/>
      <c r="AP397" s="51"/>
      <c r="AQ397" s="51"/>
      <c r="AR397" s="51"/>
      <c r="AS397" s="51"/>
      <c r="AT397" s="51"/>
      <c r="AU397" s="51"/>
      <c r="AV397" s="51"/>
      <c r="AW397" s="51"/>
      <c r="AX397" s="51"/>
      <c r="AY397" s="51"/>
      <c r="AZ397" s="51"/>
      <c r="BA397" s="51"/>
      <c r="BB397" s="51"/>
      <c r="BC397" s="51"/>
      <c r="BD397" s="51"/>
      <c r="BE397" s="51"/>
      <c r="BF397" s="51"/>
      <c r="BG397" s="51"/>
      <c r="BH397" s="51"/>
      <c r="BI397" s="51"/>
      <c r="BJ397" s="51"/>
      <c r="BK397" s="51"/>
      <c r="BL397" s="51"/>
      <c r="BM397" s="51"/>
      <c r="BN397" s="51"/>
      <c r="BO397" s="51"/>
      <c r="BP397" s="51"/>
      <c r="BQ397" s="51"/>
      <c r="BR397" s="9">
        <f>COUNT(V397:BQ397)</f>
        <v>1</v>
      </c>
      <c r="BS397" s="9"/>
      <c r="BT397" s="53" t="str">
        <f>Q397</f>
        <v>Northwest Africa 12839</v>
      </c>
      <c r="BU397" s="25" t="s">
        <v>230</v>
      </c>
    </row>
    <row r="398" spans="1:73" ht="12.75" customHeight="1" x14ac:dyDescent="0.25">
      <c r="B398" s="23"/>
      <c r="C398" s="209" t="str">
        <f>HYPERLINK("https://sites.wustl.edu/meteoritesite/items/lm_nwa_12909/",Q398)</f>
        <v>Northwest Africa 12909</v>
      </c>
      <c r="D398" s="210"/>
      <c r="E398" s="210"/>
      <c r="F398" s="211"/>
      <c r="G398" s="89">
        <v>2019</v>
      </c>
      <c r="H398" s="214" t="s">
        <v>396</v>
      </c>
      <c r="I398" s="215"/>
      <c r="J398" s="33">
        <v>2742</v>
      </c>
      <c r="K398" s="212" t="s">
        <v>39</v>
      </c>
      <c r="L398" s="213"/>
      <c r="M398" s="32" t="s">
        <v>40</v>
      </c>
      <c r="N398" s="32" t="s">
        <v>40</v>
      </c>
      <c r="P398" s="125">
        <f t="shared" si="83"/>
        <v>2742</v>
      </c>
      <c r="Q398" s="54" t="s">
        <v>387</v>
      </c>
      <c r="R398" s="48"/>
      <c r="S398" s="49"/>
      <c r="T398" s="50">
        <f t="shared" si="55"/>
        <v>0</v>
      </c>
      <c r="V398" s="51">
        <v>2742</v>
      </c>
      <c r="W398" s="51"/>
      <c r="X398" s="51"/>
      <c r="Y398" s="51"/>
      <c r="Z398" s="51"/>
      <c r="AA398" s="51"/>
      <c r="AB398" s="51"/>
      <c r="AC398" s="51"/>
      <c r="AD398" s="51"/>
      <c r="AE398" s="51"/>
      <c r="AF398" s="51"/>
      <c r="AG398" s="51"/>
      <c r="AH398" s="51"/>
      <c r="AI398" s="51"/>
      <c r="AJ398" s="51"/>
      <c r="AK398" s="51"/>
      <c r="AL398" s="51"/>
      <c r="AM398" s="51"/>
      <c r="AN398" s="51"/>
      <c r="AO398" s="51"/>
      <c r="AP398" s="51"/>
      <c r="AQ398" s="51"/>
      <c r="AR398" s="51"/>
      <c r="AS398" s="51"/>
      <c r="AT398" s="51"/>
      <c r="AU398" s="51"/>
      <c r="AV398" s="51"/>
      <c r="AW398" s="51"/>
      <c r="AX398" s="51"/>
      <c r="AY398" s="51"/>
      <c r="AZ398" s="51"/>
      <c r="BA398" s="51"/>
      <c r="BB398" s="51"/>
      <c r="BC398" s="51"/>
      <c r="BD398" s="51"/>
      <c r="BE398" s="51"/>
      <c r="BF398" s="51"/>
      <c r="BG398" s="51"/>
      <c r="BH398" s="51"/>
      <c r="BI398" s="51"/>
      <c r="BJ398" s="51"/>
      <c r="BK398" s="51"/>
      <c r="BL398" s="51"/>
      <c r="BM398" s="51"/>
      <c r="BN398" s="51"/>
      <c r="BO398" s="51"/>
      <c r="BP398" s="51"/>
      <c r="BQ398" s="51"/>
      <c r="BR398" s="9">
        <f t="shared" si="59"/>
        <v>1</v>
      </c>
      <c r="BT398" s="53" t="str">
        <f t="shared" si="60"/>
        <v>Northwest Africa 12909</v>
      </c>
      <c r="BU398" s="25"/>
    </row>
    <row r="399" spans="1:73" ht="12.75" customHeight="1" x14ac:dyDescent="0.25">
      <c r="B399" s="23"/>
      <c r="C399" s="209" t="str">
        <f>HYPERLINK("https://sites.wustl.edu/meteoritesite/items/lm_nwa_12952/",Q399)</f>
        <v>Northwest Africa 12952</v>
      </c>
      <c r="D399" s="210"/>
      <c r="E399" s="210"/>
      <c r="F399" s="211"/>
      <c r="G399" s="89">
        <v>2011</v>
      </c>
      <c r="H399" s="214" t="s">
        <v>396</v>
      </c>
      <c r="I399" s="215"/>
      <c r="J399" s="33">
        <v>808</v>
      </c>
      <c r="K399" s="212" t="s">
        <v>39</v>
      </c>
      <c r="L399" s="213"/>
      <c r="M399" s="32" t="s">
        <v>40</v>
      </c>
      <c r="N399" s="32" t="s">
        <v>40</v>
      </c>
      <c r="P399" s="125">
        <f t="shared" si="83"/>
        <v>808</v>
      </c>
      <c r="Q399" s="54" t="s">
        <v>388</v>
      </c>
      <c r="R399" s="48"/>
      <c r="S399" s="49"/>
      <c r="T399" s="50">
        <f t="shared" si="55"/>
        <v>0</v>
      </c>
      <c r="V399" s="51">
        <v>808</v>
      </c>
      <c r="W399" s="51"/>
      <c r="X399" s="51"/>
      <c r="Y399" s="51"/>
      <c r="Z399" s="51"/>
      <c r="AA399" s="51"/>
      <c r="AB399" s="51"/>
      <c r="AC399" s="51"/>
      <c r="AD399" s="51"/>
      <c r="AE399" s="51"/>
      <c r="AF399" s="51"/>
      <c r="AG399" s="51"/>
      <c r="AH399" s="51"/>
      <c r="AI399" s="51"/>
      <c r="AJ399" s="51"/>
      <c r="AK399" s="51"/>
      <c r="AL399" s="51"/>
      <c r="AM399" s="51"/>
      <c r="AN399" s="51"/>
      <c r="AO399" s="51"/>
      <c r="AP399" s="51"/>
      <c r="AQ399" s="51"/>
      <c r="AR399" s="51"/>
      <c r="AS399" s="51"/>
      <c r="AT399" s="51"/>
      <c r="AU399" s="51"/>
      <c r="AV399" s="51"/>
      <c r="AW399" s="51"/>
      <c r="AX399" s="51"/>
      <c r="AY399" s="51"/>
      <c r="AZ399" s="51"/>
      <c r="BA399" s="51"/>
      <c r="BB399" s="51"/>
      <c r="BC399" s="51"/>
      <c r="BD399" s="51"/>
      <c r="BE399" s="51"/>
      <c r="BF399" s="51"/>
      <c r="BG399" s="51"/>
      <c r="BH399" s="51"/>
      <c r="BI399" s="51"/>
      <c r="BJ399" s="51"/>
      <c r="BK399" s="51"/>
      <c r="BL399" s="51"/>
      <c r="BM399" s="51"/>
      <c r="BN399" s="51"/>
      <c r="BO399" s="51"/>
      <c r="BP399" s="51"/>
      <c r="BQ399" s="51"/>
      <c r="BR399" s="9">
        <f t="shared" si="59"/>
        <v>1</v>
      </c>
      <c r="BT399" s="53" t="str">
        <f t="shared" si="60"/>
        <v>Northwest Africa 12952</v>
      </c>
      <c r="BU399" s="25"/>
    </row>
    <row r="400" spans="1:73" ht="12.75" customHeight="1" x14ac:dyDescent="0.25">
      <c r="B400" s="23"/>
      <c r="C400" s="209" t="str">
        <f>HYPERLINK("https://sites.wustl.edu/meteoritesite/items/lm_nwa_12971/",Q400)</f>
        <v>Northwest Africa 12971</v>
      </c>
      <c r="D400" s="210"/>
      <c r="E400" s="210"/>
      <c r="F400" s="211"/>
      <c r="G400" s="89">
        <v>2019</v>
      </c>
      <c r="H400" s="214" t="s">
        <v>726</v>
      </c>
      <c r="I400" s="215"/>
      <c r="J400" s="33">
        <v>280</v>
      </c>
      <c r="K400" s="212" t="s">
        <v>39</v>
      </c>
      <c r="L400" s="213"/>
      <c r="M400" s="32" t="s">
        <v>40</v>
      </c>
      <c r="N400" s="32" t="s">
        <v>40</v>
      </c>
      <c r="P400" s="125">
        <f t="shared" si="83"/>
        <v>280</v>
      </c>
      <c r="Q400" s="54" t="s">
        <v>391</v>
      </c>
      <c r="R400" s="48"/>
      <c r="S400" s="49"/>
      <c r="T400" s="50">
        <f t="shared" si="55"/>
        <v>0</v>
      </c>
      <c r="V400" s="51">
        <v>280</v>
      </c>
      <c r="W400" s="51"/>
      <c r="X400" s="51"/>
      <c r="Y400" s="51"/>
      <c r="Z400" s="51"/>
      <c r="AA400" s="51"/>
      <c r="AB400" s="51"/>
      <c r="AC400" s="51"/>
      <c r="AD400" s="51"/>
      <c r="AE400" s="51"/>
      <c r="AF400" s="51"/>
      <c r="AG400" s="51"/>
      <c r="AH400" s="51"/>
      <c r="AI400" s="51"/>
      <c r="AJ400" s="51"/>
      <c r="AK400" s="51"/>
      <c r="AL400" s="51"/>
      <c r="AM400" s="51"/>
      <c r="AN400" s="51"/>
      <c r="AO400" s="51"/>
      <c r="AP400" s="51"/>
      <c r="AQ400" s="51"/>
      <c r="AR400" s="51"/>
      <c r="AS400" s="51"/>
      <c r="AT400" s="51"/>
      <c r="AU400" s="51"/>
      <c r="AV400" s="51"/>
      <c r="AW400" s="51"/>
      <c r="AX400" s="51"/>
      <c r="AY400" s="51"/>
      <c r="AZ400" s="51"/>
      <c r="BA400" s="51"/>
      <c r="BB400" s="51"/>
      <c r="BC400" s="51"/>
      <c r="BD400" s="51"/>
      <c r="BE400" s="51"/>
      <c r="BF400" s="51"/>
      <c r="BG400" s="51"/>
      <c r="BH400" s="51"/>
      <c r="BI400" s="51"/>
      <c r="BJ400" s="51"/>
      <c r="BK400" s="51"/>
      <c r="BL400" s="51"/>
      <c r="BM400" s="51"/>
      <c r="BN400" s="51"/>
      <c r="BO400" s="51"/>
      <c r="BP400" s="51"/>
      <c r="BQ400" s="51"/>
      <c r="BR400" s="9">
        <f t="shared" si="59"/>
        <v>1</v>
      </c>
      <c r="BT400" s="53" t="str">
        <f t="shared" si="60"/>
        <v>Northwest Africa 12971</v>
      </c>
      <c r="BU400" s="25"/>
    </row>
    <row r="401" spans="1:73" s="1" customFormat="1" ht="12.75" customHeight="1" x14ac:dyDescent="0.25">
      <c r="A401"/>
      <c r="B401" s="243" t="s">
        <v>28</v>
      </c>
      <c r="C401" s="230" t="s">
        <v>29</v>
      </c>
      <c r="D401" s="231"/>
      <c r="E401" s="231"/>
      <c r="F401" s="232"/>
      <c r="G401" s="241" t="s">
        <v>282</v>
      </c>
      <c r="H401" s="219" t="s">
        <v>249</v>
      </c>
      <c r="I401" s="220"/>
      <c r="J401" s="241" t="s">
        <v>30</v>
      </c>
      <c r="K401" s="219" t="s">
        <v>31</v>
      </c>
      <c r="L401" s="220"/>
      <c r="M401" s="223" t="s">
        <v>245</v>
      </c>
      <c r="N401" s="225" t="s">
        <v>32</v>
      </c>
      <c r="O401" s="15"/>
      <c r="P401" s="127"/>
      <c r="Q401" s="15"/>
      <c r="R401" s="15"/>
      <c r="S401" s="15"/>
      <c r="T401" s="50"/>
      <c r="U401" s="9"/>
      <c r="V401" s="42"/>
      <c r="W401" s="42"/>
      <c r="X401" s="42"/>
      <c r="Y401" s="42"/>
      <c r="Z401" s="42"/>
      <c r="AA401" s="42"/>
      <c r="AB401" s="42"/>
      <c r="AC401" s="42"/>
      <c r="AD401" s="42"/>
      <c r="AE401" s="42"/>
      <c r="AF401" s="42"/>
      <c r="AG401" s="42"/>
      <c r="AH401" s="42"/>
      <c r="AI401" s="42"/>
      <c r="AJ401" s="42"/>
      <c r="AK401" s="42"/>
      <c r="AL401" s="42"/>
      <c r="AM401" s="42"/>
      <c r="AN401" s="42"/>
      <c r="AO401" s="42"/>
      <c r="AP401" s="42"/>
      <c r="AQ401" s="42"/>
      <c r="AR401" s="42"/>
      <c r="AS401" s="42"/>
      <c r="AT401" s="42"/>
      <c r="AU401" s="42"/>
      <c r="AV401" s="42"/>
      <c r="AW401" s="42"/>
      <c r="AX401" s="42"/>
      <c r="AY401" s="42"/>
      <c r="AZ401" s="42"/>
      <c r="BA401" s="42"/>
      <c r="BB401" s="42"/>
      <c r="BC401" s="42"/>
      <c r="BD401" s="42"/>
      <c r="BE401" s="42"/>
      <c r="BF401" s="42"/>
      <c r="BG401" s="42"/>
      <c r="BH401" s="42"/>
      <c r="BI401" s="42"/>
      <c r="BJ401" s="42"/>
      <c r="BK401" s="42"/>
      <c r="BL401" s="42"/>
      <c r="BM401" s="42"/>
      <c r="BN401" s="42"/>
      <c r="BO401" s="42"/>
      <c r="BP401" s="42"/>
      <c r="BQ401" s="42"/>
      <c r="BR401" s="9"/>
      <c r="BS401" s="42"/>
      <c r="BT401" s="53"/>
      <c r="BU401" s="25"/>
    </row>
    <row r="402" spans="1:73" s="1" customFormat="1" ht="12.75" customHeight="1" x14ac:dyDescent="0.25">
      <c r="A402"/>
      <c r="B402" s="229"/>
      <c r="C402" s="233"/>
      <c r="D402" s="234"/>
      <c r="E402" s="234"/>
      <c r="F402" s="235"/>
      <c r="G402" s="242"/>
      <c r="H402" s="221"/>
      <c r="I402" s="222"/>
      <c r="J402" s="242"/>
      <c r="K402" s="221"/>
      <c r="L402" s="222"/>
      <c r="M402" s="224"/>
      <c r="N402" s="226"/>
      <c r="O402" s="15"/>
      <c r="P402" s="127"/>
      <c r="Q402" s="15"/>
      <c r="R402" s="15"/>
      <c r="S402" s="15"/>
      <c r="T402" s="50"/>
      <c r="U402" s="9"/>
      <c r="V402" s="42"/>
      <c r="W402" s="42"/>
      <c r="X402" s="42"/>
      <c r="Y402" s="42"/>
      <c r="Z402" s="42"/>
      <c r="AA402" s="42"/>
      <c r="AB402" s="42"/>
      <c r="AC402" s="42"/>
      <c r="AD402" s="42"/>
      <c r="AE402" s="42"/>
      <c r="AF402" s="42"/>
      <c r="AG402" s="42"/>
      <c r="AH402" s="42"/>
      <c r="AI402" s="42"/>
      <c r="AJ402" s="42"/>
      <c r="AK402" s="42"/>
      <c r="AL402" s="42"/>
      <c r="AM402" s="42"/>
      <c r="AN402" s="42"/>
      <c r="AO402" s="42"/>
      <c r="AP402" s="42"/>
      <c r="AQ402" s="42"/>
      <c r="AR402" s="42"/>
      <c r="AS402" s="42"/>
      <c r="AT402" s="42"/>
      <c r="AU402" s="42"/>
      <c r="AV402" s="42"/>
      <c r="AW402" s="42"/>
      <c r="AX402" s="42"/>
      <c r="AY402" s="42"/>
      <c r="AZ402" s="42"/>
      <c r="BA402" s="42"/>
      <c r="BB402" s="42"/>
      <c r="BC402" s="42"/>
      <c r="BD402" s="42"/>
      <c r="BE402" s="42"/>
      <c r="BF402" s="42"/>
      <c r="BG402" s="42"/>
      <c r="BH402" s="42"/>
      <c r="BI402" s="42"/>
      <c r="BJ402" s="42"/>
      <c r="BK402" s="42"/>
      <c r="BL402" s="42"/>
      <c r="BM402" s="42"/>
      <c r="BN402" s="42"/>
      <c r="BO402" s="42"/>
      <c r="BP402" s="42"/>
      <c r="BQ402" s="42"/>
      <c r="BR402" s="9"/>
      <c r="BS402" s="42"/>
      <c r="BT402" s="53"/>
      <c r="BU402" s="25"/>
    </row>
    <row r="403" spans="1:73" ht="12.75" customHeight="1" x14ac:dyDescent="0.25">
      <c r="B403" s="23"/>
      <c r="C403" s="209" t="str">
        <f>HYPERLINK("https://sites.wustl.edu/meteoritesite/items/lm_nwa_13036/",Q403)</f>
        <v>Northwest Africa 13036</v>
      </c>
      <c r="D403" s="210"/>
      <c r="E403" s="210"/>
      <c r="F403" s="211"/>
      <c r="G403" s="89">
        <v>2019</v>
      </c>
      <c r="H403" s="208" t="s">
        <v>616</v>
      </c>
      <c r="I403" s="208"/>
      <c r="J403" s="33">
        <v>1780</v>
      </c>
      <c r="K403" s="212" t="s">
        <v>35</v>
      </c>
      <c r="L403" s="213"/>
      <c r="M403" s="32" t="s">
        <v>40</v>
      </c>
      <c r="N403" s="32" t="s">
        <v>40</v>
      </c>
      <c r="P403" s="125">
        <f t="shared" si="83"/>
        <v>1780</v>
      </c>
      <c r="Q403" s="54" t="s">
        <v>402</v>
      </c>
      <c r="R403" s="48"/>
      <c r="S403" s="49"/>
      <c r="T403" s="50">
        <f t="shared" si="55"/>
        <v>0</v>
      </c>
      <c r="V403" s="51">
        <v>1780</v>
      </c>
      <c r="W403" s="51"/>
      <c r="X403" s="51"/>
      <c r="Y403" s="51"/>
      <c r="Z403" s="51"/>
      <c r="AA403" s="51"/>
      <c r="AB403" s="51"/>
      <c r="AC403" s="51"/>
      <c r="AD403" s="51"/>
      <c r="AE403" s="51"/>
      <c r="AF403" s="51"/>
      <c r="AG403" s="51"/>
      <c r="AH403" s="51"/>
      <c r="AI403" s="51"/>
      <c r="AJ403" s="51"/>
      <c r="AK403" s="51"/>
      <c r="AL403" s="51"/>
      <c r="AM403" s="51"/>
      <c r="AN403" s="51"/>
      <c r="AO403" s="51"/>
      <c r="AP403" s="51"/>
      <c r="AQ403" s="51"/>
      <c r="AR403" s="51"/>
      <c r="AS403" s="51"/>
      <c r="AT403" s="51"/>
      <c r="AU403" s="51"/>
      <c r="AV403" s="51"/>
      <c r="AW403" s="51"/>
      <c r="AX403" s="51"/>
      <c r="AY403" s="51"/>
      <c r="AZ403" s="51"/>
      <c r="BA403" s="51"/>
      <c r="BB403" s="51"/>
      <c r="BC403" s="51"/>
      <c r="BD403" s="51"/>
      <c r="BE403" s="51"/>
      <c r="BF403" s="51"/>
      <c r="BG403" s="51"/>
      <c r="BH403" s="51"/>
      <c r="BI403" s="51"/>
      <c r="BJ403" s="51"/>
      <c r="BK403" s="51"/>
      <c r="BL403" s="51"/>
      <c r="BM403" s="51"/>
      <c r="BN403" s="51"/>
      <c r="BO403" s="51"/>
      <c r="BP403" s="51"/>
      <c r="BQ403" s="51"/>
      <c r="BR403" s="9">
        <f t="shared" si="59"/>
        <v>1</v>
      </c>
      <c r="BT403" s="53" t="str">
        <f t="shared" si="60"/>
        <v>Northwest Africa 13036</v>
      </c>
      <c r="BU403" s="25"/>
    </row>
    <row r="404" spans="1:73" ht="12.75" customHeight="1" x14ac:dyDescent="0.25">
      <c r="B404" s="23"/>
      <c r="C404" s="209" t="str">
        <f>HYPERLINK("https://sites.wustl.edu/meteoritesite/items/lm_nwa_13112/",Q404)</f>
        <v>Northwest Africa 13112</v>
      </c>
      <c r="D404" s="210"/>
      <c r="E404" s="210"/>
      <c r="F404" s="211"/>
      <c r="G404" s="89">
        <v>2019</v>
      </c>
      <c r="H404" s="214" t="s">
        <v>41</v>
      </c>
      <c r="I404" s="215"/>
      <c r="J404" s="33">
        <v>386</v>
      </c>
      <c r="K404" s="212" t="s">
        <v>39</v>
      </c>
      <c r="L404" s="213"/>
      <c r="M404" s="32" t="s">
        <v>40</v>
      </c>
      <c r="N404" s="32" t="s">
        <v>40</v>
      </c>
      <c r="P404" s="125">
        <f t="shared" si="83"/>
        <v>386</v>
      </c>
      <c r="Q404" s="54" t="s">
        <v>403</v>
      </c>
      <c r="R404" s="48"/>
      <c r="S404" s="49"/>
      <c r="T404" s="50">
        <f t="shared" si="55"/>
        <v>0</v>
      </c>
      <c r="V404" s="51">
        <v>386</v>
      </c>
      <c r="W404" s="51"/>
      <c r="X404" s="51"/>
      <c r="Y404" s="51"/>
      <c r="Z404" s="51"/>
      <c r="AA404" s="51"/>
      <c r="AB404" s="51"/>
      <c r="AC404" s="51"/>
      <c r="AD404" s="51"/>
      <c r="AE404" s="51"/>
      <c r="AF404" s="51"/>
      <c r="AG404" s="51"/>
      <c r="AH404" s="51"/>
      <c r="AI404" s="51"/>
      <c r="AJ404" s="51"/>
      <c r="AK404" s="51"/>
      <c r="AL404" s="51"/>
      <c r="AM404" s="51"/>
      <c r="AN404" s="51"/>
      <c r="AO404" s="51"/>
      <c r="AP404" s="51"/>
      <c r="AQ404" s="51"/>
      <c r="AR404" s="51"/>
      <c r="AS404" s="51"/>
      <c r="AT404" s="51"/>
      <c r="AU404" s="51"/>
      <c r="AV404" s="51"/>
      <c r="AW404" s="51"/>
      <c r="AX404" s="51"/>
      <c r="AY404" s="51"/>
      <c r="AZ404" s="51"/>
      <c r="BA404" s="51"/>
      <c r="BB404" s="51"/>
      <c r="BC404" s="51"/>
      <c r="BD404" s="51"/>
      <c r="BE404" s="51"/>
      <c r="BF404" s="51"/>
      <c r="BG404" s="51"/>
      <c r="BH404" s="51"/>
      <c r="BI404" s="51"/>
      <c r="BJ404" s="51"/>
      <c r="BK404" s="51"/>
      <c r="BL404" s="51"/>
      <c r="BM404" s="51"/>
      <c r="BN404" s="51"/>
      <c r="BO404" s="51"/>
      <c r="BP404" s="51"/>
      <c r="BQ404" s="51"/>
      <c r="BR404" s="9">
        <f t="shared" si="59"/>
        <v>1</v>
      </c>
      <c r="BT404" s="53" t="str">
        <f t="shared" si="60"/>
        <v>Northwest Africa 13112</v>
      </c>
      <c r="BU404" s="25"/>
    </row>
    <row r="405" spans="1:73" ht="12.75" customHeight="1" x14ac:dyDescent="0.25">
      <c r="B405" s="23"/>
      <c r="C405" s="209" t="str">
        <f>HYPERLINK("https://sites.wustl.edu/meteoritesite/items/lm_nwa_13119/",Q405)</f>
        <v>Northwest Africa 13119</v>
      </c>
      <c r="D405" s="210"/>
      <c r="E405" s="210"/>
      <c r="F405" s="211"/>
      <c r="G405" s="89">
        <v>2019</v>
      </c>
      <c r="H405" s="208" t="s">
        <v>38</v>
      </c>
      <c r="I405" s="208"/>
      <c r="J405" s="33">
        <v>7000</v>
      </c>
      <c r="K405" s="207" t="s">
        <v>51</v>
      </c>
      <c r="L405" s="207"/>
      <c r="M405" s="32" t="s">
        <v>40</v>
      </c>
      <c r="N405" s="32" t="s">
        <v>40</v>
      </c>
      <c r="P405" s="125">
        <f t="shared" si="83"/>
        <v>7000</v>
      </c>
      <c r="Q405" s="54" t="s">
        <v>404</v>
      </c>
      <c r="R405" s="48"/>
      <c r="S405" s="49"/>
      <c r="T405" s="50">
        <f t="shared" si="55"/>
        <v>0</v>
      </c>
      <c r="V405" s="51">
        <v>7000</v>
      </c>
      <c r="W405" s="51"/>
      <c r="X405" s="51"/>
      <c r="Y405" s="51"/>
      <c r="Z405" s="51"/>
      <c r="AA405" s="51"/>
      <c r="AB405" s="51"/>
      <c r="AC405" s="51"/>
      <c r="AD405" s="51"/>
      <c r="AE405" s="51"/>
      <c r="AF405" s="51"/>
      <c r="AG405" s="51"/>
      <c r="AH405" s="51"/>
      <c r="AI405" s="51"/>
      <c r="AJ405" s="51"/>
      <c r="AK405" s="51"/>
      <c r="AL405" s="51"/>
      <c r="AM405" s="51"/>
      <c r="AN405" s="51"/>
      <c r="AO405" s="51"/>
      <c r="AP405" s="51"/>
      <c r="AQ405" s="51"/>
      <c r="AR405" s="51"/>
      <c r="AS405" s="51"/>
      <c r="AT405" s="51"/>
      <c r="AU405" s="51"/>
      <c r="AV405" s="51"/>
      <c r="AW405" s="51"/>
      <c r="AX405" s="51"/>
      <c r="AY405" s="51"/>
      <c r="AZ405" s="51"/>
      <c r="BA405" s="51"/>
      <c r="BB405" s="51"/>
      <c r="BC405" s="51"/>
      <c r="BD405" s="51"/>
      <c r="BE405" s="51"/>
      <c r="BF405" s="51"/>
      <c r="BG405" s="51"/>
      <c r="BH405" s="51"/>
      <c r="BI405" s="51"/>
      <c r="BJ405" s="51"/>
      <c r="BK405" s="51"/>
      <c r="BL405" s="51"/>
      <c r="BM405" s="51"/>
      <c r="BN405" s="51"/>
      <c r="BO405" s="51"/>
      <c r="BP405" s="51"/>
      <c r="BQ405" s="51"/>
      <c r="BR405" s="9">
        <f t="shared" si="59"/>
        <v>1</v>
      </c>
      <c r="BT405" s="53" t="str">
        <f t="shared" si="60"/>
        <v>Northwest Africa 13119</v>
      </c>
      <c r="BU405" s="25"/>
    </row>
    <row r="406" spans="1:73" ht="12.75" customHeight="1" x14ac:dyDescent="0.25">
      <c r="B406" s="23"/>
      <c r="C406" s="209" t="str">
        <f>HYPERLINK("https://sites.wustl.edu/meteoritesite/items/lm_nwa_13185/",Q406)</f>
        <v>Northwest Africa 13185</v>
      </c>
      <c r="D406" s="210"/>
      <c r="E406" s="210"/>
      <c r="F406" s="211"/>
      <c r="G406" s="89">
        <v>2019</v>
      </c>
      <c r="H406" s="214" t="s">
        <v>41</v>
      </c>
      <c r="I406" s="215"/>
      <c r="J406" s="33">
        <v>300</v>
      </c>
      <c r="K406" s="212" t="s">
        <v>39</v>
      </c>
      <c r="L406" s="213"/>
      <c r="M406" s="32" t="s">
        <v>40</v>
      </c>
      <c r="N406" s="32" t="s">
        <v>40</v>
      </c>
      <c r="P406" s="125">
        <f t="shared" si="83"/>
        <v>300</v>
      </c>
      <c r="Q406" s="54" t="s">
        <v>407</v>
      </c>
      <c r="R406" s="48"/>
      <c r="S406" s="49"/>
      <c r="T406" s="50">
        <f t="shared" si="55"/>
        <v>0</v>
      </c>
      <c r="V406" s="51">
        <v>300</v>
      </c>
      <c r="W406" s="51"/>
      <c r="X406" s="51"/>
      <c r="Y406" s="51"/>
      <c r="Z406" s="51"/>
      <c r="AA406" s="51"/>
      <c r="AB406" s="51"/>
      <c r="AC406" s="51"/>
      <c r="AD406" s="51"/>
      <c r="AE406" s="51"/>
      <c r="AF406" s="51"/>
      <c r="AG406" s="51"/>
      <c r="AH406" s="51"/>
      <c r="AI406" s="51"/>
      <c r="AJ406" s="51"/>
      <c r="AK406" s="51"/>
      <c r="AL406" s="51"/>
      <c r="AM406" s="51"/>
      <c r="AN406" s="51"/>
      <c r="AO406" s="51"/>
      <c r="AP406" s="51"/>
      <c r="AQ406" s="51"/>
      <c r="AR406" s="51"/>
      <c r="AS406" s="51"/>
      <c r="AT406" s="51"/>
      <c r="AU406" s="51"/>
      <c r="AV406" s="51"/>
      <c r="AW406" s="51"/>
      <c r="AX406" s="51"/>
      <c r="AY406" s="51"/>
      <c r="AZ406" s="51"/>
      <c r="BA406" s="51"/>
      <c r="BB406" s="51"/>
      <c r="BC406" s="51"/>
      <c r="BD406" s="51"/>
      <c r="BE406" s="51"/>
      <c r="BF406" s="51"/>
      <c r="BG406" s="51"/>
      <c r="BH406" s="51"/>
      <c r="BI406" s="51"/>
      <c r="BJ406" s="51"/>
      <c r="BK406" s="51"/>
      <c r="BL406" s="51"/>
      <c r="BM406" s="51"/>
      <c r="BN406" s="51"/>
      <c r="BO406" s="51"/>
      <c r="BP406" s="51"/>
      <c r="BQ406" s="51"/>
      <c r="BR406" s="9">
        <f t="shared" si="59"/>
        <v>1</v>
      </c>
      <c r="BT406" s="53" t="str">
        <f t="shared" si="60"/>
        <v>Northwest Africa 13185</v>
      </c>
      <c r="BU406" s="25"/>
    </row>
    <row r="407" spans="1:73" ht="12.75" customHeight="1" x14ac:dyDescent="0.25">
      <c r="B407" s="23"/>
      <c r="C407" s="209" t="str">
        <f>HYPERLINK("https://sites.wustl.edu/meteoritesite/items/lm_nwa_13256/",Q407)</f>
        <v>Northwest Africa 13256</v>
      </c>
      <c r="D407" s="210"/>
      <c r="E407" s="210"/>
      <c r="F407" s="211"/>
      <c r="G407" s="89">
        <v>2019</v>
      </c>
      <c r="H407" s="208" t="s">
        <v>38</v>
      </c>
      <c r="I407" s="208"/>
      <c r="J407" s="33">
        <v>3000</v>
      </c>
      <c r="K407" s="207" t="s">
        <v>44</v>
      </c>
      <c r="L407" s="207"/>
      <c r="M407" s="32" t="s">
        <v>40</v>
      </c>
      <c r="N407" s="32" t="s">
        <v>40</v>
      </c>
      <c r="P407" s="125">
        <f t="shared" si="83"/>
        <v>3000</v>
      </c>
      <c r="Q407" s="54" t="s">
        <v>413</v>
      </c>
      <c r="R407" s="48"/>
      <c r="S407" s="49"/>
      <c r="T407" s="50">
        <f t="shared" si="55"/>
        <v>0</v>
      </c>
      <c r="V407" s="51">
        <v>3000</v>
      </c>
      <c r="W407" s="51"/>
      <c r="X407" s="51"/>
      <c r="Y407" s="51"/>
      <c r="Z407" s="51"/>
      <c r="AA407" s="51"/>
      <c r="AB407" s="51"/>
      <c r="AC407" s="51"/>
      <c r="AD407" s="51"/>
      <c r="AE407" s="51"/>
      <c r="AF407" s="51"/>
      <c r="AG407" s="51"/>
      <c r="AH407" s="51"/>
      <c r="AI407" s="51"/>
      <c r="AJ407" s="51"/>
      <c r="AK407" s="51"/>
      <c r="AL407" s="51"/>
      <c r="AM407" s="51"/>
      <c r="AN407" s="51"/>
      <c r="AO407" s="51"/>
      <c r="AP407" s="51"/>
      <c r="AQ407" s="51"/>
      <c r="AR407" s="51"/>
      <c r="AS407" s="51"/>
      <c r="AT407" s="51"/>
      <c r="AU407" s="51"/>
      <c r="AV407" s="51"/>
      <c r="AW407" s="51"/>
      <c r="AX407" s="51"/>
      <c r="AY407" s="51"/>
      <c r="AZ407" s="51"/>
      <c r="BA407" s="51"/>
      <c r="BB407" s="51"/>
      <c r="BC407" s="51"/>
      <c r="BD407" s="51"/>
      <c r="BE407" s="51"/>
      <c r="BF407" s="51"/>
      <c r="BG407" s="51"/>
      <c r="BH407" s="51"/>
      <c r="BI407" s="51"/>
      <c r="BJ407" s="51"/>
      <c r="BK407" s="51"/>
      <c r="BL407" s="51"/>
      <c r="BM407" s="51"/>
      <c r="BN407" s="51"/>
      <c r="BO407" s="51"/>
      <c r="BP407" s="51"/>
      <c r="BQ407" s="51"/>
      <c r="BR407" s="9">
        <f t="shared" si="59"/>
        <v>1</v>
      </c>
      <c r="BT407" s="53" t="str">
        <f t="shared" si="60"/>
        <v>Northwest Africa 13256</v>
      </c>
      <c r="BU407" s="25"/>
    </row>
    <row r="408" spans="1:73" ht="14.25" customHeight="1" x14ac:dyDescent="0.25">
      <c r="B408" s="23"/>
      <c r="C408" s="209" t="str">
        <f>HYPERLINK("https://sites.wustl.edu/meteoritesite/items/lm_nwa_13306/",Q408)</f>
        <v>Northwest Africa 13306</v>
      </c>
      <c r="D408" s="210"/>
      <c r="E408" s="210"/>
      <c r="F408" s="211"/>
      <c r="G408" s="89">
        <v>2020</v>
      </c>
      <c r="H408" s="214" t="s">
        <v>396</v>
      </c>
      <c r="I408" s="215"/>
      <c r="J408" s="33">
        <v>1560</v>
      </c>
      <c r="K408" s="212" t="s">
        <v>39</v>
      </c>
      <c r="L408" s="213"/>
      <c r="M408" s="32" t="s">
        <v>40</v>
      </c>
      <c r="N408" s="32" t="s">
        <v>40</v>
      </c>
      <c r="P408" s="125">
        <f t="shared" si="83"/>
        <v>1560</v>
      </c>
      <c r="Q408" s="54" t="s">
        <v>420</v>
      </c>
      <c r="R408" s="48"/>
      <c r="S408" s="49"/>
      <c r="T408" s="50">
        <f t="shared" si="55"/>
        <v>0</v>
      </c>
      <c r="V408" s="51">
        <v>1560</v>
      </c>
      <c r="W408" s="51"/>
      <c r="X408" s="51"/>
      <c r="Y408" s="51"/>
      <c r="Z408" s="51"/>
      <c r="AA408" s="51"/>
      <c r="AB408" s="51"/>
      <c r="AC408" s="51"/>
      <c r="AD408" s="51"/>
      <c r="AE408" s="51"/>
      <c r="AF408" s="51"/>
      <c r="AG408" s="51"/>
      <c r="AH408" s="51"/>
      <c r="AI408" s="51"/>
      <c r="AJ408" s="51"/>
      <c r="AK408" s="51"/>
      <c r="AL408" s="51"/>
      <c r="AM408" s="51"/>
      <c r="AN408" s="51"/>
      <c r="AO408" s="51"/>
      <c r="AP408" s="51"/>
      <c r="AQ408" s="51"/>
      <c r="AR408" s="51"/>
      <c r="AS408" s="51"/>
      <c r="AT408" s="51"/>
      <c r="AU408" s="51"/>
      <c r="AV408" s="51"/>
      <c r="AW408" s="51"/>
      <c r="AX408" s="51"/>
      <c r="AY408" s="51"/>
      <c r="AZ408" s="51"/>
      <c r="BA408" s="51"/>
      <c r="BB408" s="51"/>
      <c r="BC408" s="51"/>
      <c r="BD408" s="51"/>
      <c r="BE408" s="51"/>
      <c r="BF408" s="51"/>
      <c r="BG408" s="51"/>
      <c r="BH408" s="51"/>
      <c r="BI408" s="51"/>
      <c r="BJ408" s="51"/>
      <c r="BK408" s="51"/>
      <c r="BL408" s="51"/>
      <c r="BM408" s="51"/>
      <c r="BN408" s="51"/>
      <c r="BO408" s="51"/>
      <c r="BP408" s="51"/>
      <c r="BQ408" s="51"/>
      <c r="BR408" s="9">
        <f t="shared" si="59"/>
        <v>1</v>
      </c>
      <c r="BT408" s="53" t="str">
        <f t="shared" si="60"/>
        <v>Northwest Africa 13306</v>
      </c>
      <c r="BU408" s="25"/>
    </row>
    <row r="409" spans="1:73" ht="12.75" customHeight="1" x14ac:dyDescent="0.25">
      <c r="B409" s="23"/>
      <c r="C409" s="209" t="str">
        <f>HYPERLINK("https://sites.wustl.edu/meteoritesite/items/lm_nwa_13346/",Q409)</f>
        <v>Northwest Africa 13346</v>
      </c>
      <c r="D409" s="210"/>
      <c r="E409" s="210"/>
      <c r="F409" s="211"/>
      <c r="G409" s="89">
        <v>2020</v>
      </c>
      <c r="H409" s="236" t="s">
        <v>41</v>
      </c>
      <c r="I409" s="237"/>
      <c r="J409" s="32">
        <v>48.7</v>
      </c>
      <c r="K409" s="212" t="s">
        <v>39</v>
      </c>
      <c r="L409" s="213"/>
      <c r="M409" s="32" t="s">
        <v>40</v>
      </c>
      <c r="N409" s="32" t="s">
        <v>40</v>
      </c>
      <c r="P409" s="125">
        <f t="shared" si="83"/>
        <v>48.7</v>
      </c>
      <c r="Q409" s="54" t="s">
        <v>424</v>
      </c>
      <c r="R409" s="48"/>
      <c r="S409" s="49"/>
      <c r="T409" s="50">
        <f t="shared" si="55"/>
        <v>0</v>
      </c>
      <c r="V409" s="77">
        <v>48.7</v>
      </c>
      <c r="W409" s="51"/>
      <c r="X409" s="51"/>
      <c r="Y409" s="51"/>
      <c r="Z409" s="51"/>
      <c r="AA409" s="51"/>
      <c r="AB409" s="51"/>
      <c r="AC409" s="51"/>
      <c r="AD409" s="51"/>
      <c r="AE409" s="51"/>
      <c r="AF409" s="51"/>
      <c r="AG409" s="51"/>
      <c r="AH409" s="51"/>
      <c r="AI409" s="51"/>
      <c r="AJ409" s="51"/>
      <c r="AK409" s="51"/>
      <c r="AL409" s="51"/>
      <c r="AM409" s="51"/>
      <c r="AN409" s="51"/>
      <c r="AO409" s="51"/>
      <c r="AP409" s="51"/>
      <c r="AQ409" s="51"/>
      <c r="AR409" s="51"/>
      <c r="AS409" s="51"/>
      <c r="AT409" s="51"/>
      <c r="AU409" s="51"/>
      <c r="AV409" s="51"/>
      <c r="AW409" s="51"/>
      <c r="AX409" s="51"/>
      <c r="AY409" s="51"/>
      <c r="AZ409" s="51"/>
      <c r="BA409" s="51"/>
      <c r="BB409" s="51"/>
      <c r="BC409" s="51"/>
      <c r="BD409" s="51"/>
      <c r="BE409" s="51"/>
      <c r="BF409" s="51"/>
      <c r="BG409" s="51"/>
      <c r="BH409" s="51"/>
      <c r="BI409" s="51"/>
      <c r="BJ409" s="51"/>
      <c r="BK409" s="51"/>
      <c r="BL409" s="51"/>
      <c r="BM409" s="51"/>
      <c r="BN409" s="51"/>
      <c r="BO409" s="51"/>
      <c r="BP409" s="51"/>
      <c r="BQ409" s="51"/>
      <c r="BR409" s="9">
        <f t="shared" si="59"/>
        <v>1</v>
      </c>
      <c r="BT409" s="53" t="str">
        <f t="shared" si="60"/>
        <v>Northwest Africa 13346</v>
      </c>
      <c r="BU409" s="25"/>
    </row>
    <row r="410" spans="1:73" ht="12.75" customHeight="1" x14ac:dyDescent="0.25">
      <c r="B410" s="23"/>
      <c r="C410" s="209" t="str">
        <f>HYPERLINK("https://sites.wustl.edu/meteoritesite/items/lm_nwa_13450/",Q410)</f>
        <v>Northwest Africa 13450</v>
      </c>
      <c r="D410" s="210"/>
      <c r="E410" s="210"/>
      <c r="F410" s="211"/>
      <c r="G410" s="89">
        <v>2020</v>
      </c>
      <c r="H410" s="214" t="s">
        <v>396</v>
      </c>
      <c r="I410" s="215"/>
      <c r="J410" s="33">
        <v>629</v>
      </c>
      <c r="K410" s="212" t="s">
        <v>66</v>
      </c>
      <c r="L410" s="213"/>
      <c r="M410" s="32" t="s">
        <v>40</v>
      </c>
      <c r="N410" s="32" t="s">
        <v>40</v>
      </c>
      <c r="P410" s="125">
        <f t="shared" si="83"/>
        <v>629</v>
      </c>
      <c r="Q410" s="54" t="s">
        <v>440</v>
      </c>
      <c r="R410" s="48"/>
      <c r="S410" s="49"/>
      <c r="T410" s="50">
        <f t="shared" si="55"/>
        <v>0</v>
      </c>
      <c r="V410" s="51">
        <v>629</v>
      </c>
      <c r="W410" s="51"/>
      <c r="X410" s="51"/>
      <c r="Y410" s="51"/>
      <c r="Z410" s="51"/>
      <c r="AA410" s="51"/>
      <c r="AB410" s="51"/>
      <c r="AC410" s="51"/>
      <c r="AD410" s="51"/>
      <c r="AE410" s="51"/>
      <c r="AF410" s="51"/>
      <c r="AG410" s="51"/>
      <c r="AH410" s="51"/>
      <c r="AI410" s="51"/>
      <c r="AJ410" s="51"/>
      <c r="AK410" s="51"/>
      <c r="AL410" s="51"/>
      <c r="AM410" s="51"/>
      <c r="AN410" s="51"/>
      <c r="AO410" s="51"/>
      <c r="AP410" s="51"/>
      <c r="AQ410" s="51"/>
      <c r="AR410" s="51"/>
      <c r="AS410" s="51"/>
      <c r="AT410" s="51"/>
      <c r="AU410" s="51"/>
      <c r="AV410" s="51"/>
      <c r="AW410" s="51"/>
      <c r="AX410" s="51"/>
      <c r="AY410" s="51"/>
      <c r="AZ410" s="51"/>
      <c r="BA410" s="51"/>
      <c r="BB410" s="51"/>
      <c r="BC410" s="51"/>
      <c r="BD410" s="51"/>
      <c r="BE410" s="51"/>
      <c r="BF410" s="51"/>
      <c r="BG410" s="51"/>
      <c r="BH410" s="51"/>
      <c r="BI410" s="51"/>
      <c r="BJ410" s="51"/>
      <c r="BK410" s="51"/>
      <c r="BL410" s="51"/>
      <c r="BM410" s="51"/>
      <c r="BN410" s="51"/>
      <c r="BO410" s="51"/>
      <c r="BP410" s="51"/>
      <c r="BQ410" s="51"/>
      <c r="BR410" s="9">
        <f t="shared" si="59"/>
        <v>1</v>
      </c>
      <c r="BT410" s="53" t="str">
        <f t="shared" si="60"/>
        <v>Northwest Africa 13450</v>
      </c>
      <c r="BU410" s="25"/>
    </row>
    <row r="411" spans="1:73" ht="12.75" customHeight="1" x14ac:dyDescent="0.25">
      <c r="B411" s="23"/>
      <c r="C411" s="209" t="str">
        <f>HYPERLINK("https://sites.wustl.edu/meteoritesite/items/lm_nwa_13478/",Q411)</f>
        <v>Northwest Africa 13478</v>
      </c>
      <c r="D411" s="210"/>
      <c r="E411" s="210"/>
      <c r="F411" s="211"/>
      <c r="G411" s="89">
        <v>2020</v>
      </c>
      <c r="H411" s="214" t="s">
        <v>396</v>
      </c>
      <c r="I411" s="215"/>
      <c r="J411" s="33">
        <v>59</v>
      </c>
      <c r="K411" s="212" t="s">
        <v>39</v>
      </c>
      <c r="L411" s="213"/>
      <c r="M411" s="32" t="s">
        <v>40</v>
      </c>
      <c r="N411" s="32" t="s">
        <v>40</v>
      </c>
      <c r="P411" s="125">
        <f t="shared" si="83"/>
        <v>59</v>
      </c>
      <c r="Q411" s="54" t="s">
        <v>439</v>
      </c>
      <c r="R411" s="48"/>
      <c r="S411" s="49"/>
      <c r="T411" s="50">
        <f t="shared" si="55"/>
        <v>0</v>
      </c>
      <c r="V411" s="51">
        <v>59</v>
      </c>
      <c r="W411" s="51"/>
      <c r="X411" s="51"/>
      <c r="Y411" s="51"/>
      <c r="Z411" s="51"/>
      <c r="AA411" s="51"/>
      <c r="AB411" s="51"/>
      <c r="AC411" s="51"/>
      <c r="AD411" s="51"/>
      <c r="AE411" s="51"/>
      <c r="AF411" s="51"/>
      <c r="AG411" s="51"/>
      <c r="AH411" s="51"/>
      <c r="AI411" s="51"/>
      <c r="AJ411" s="51"/>
      <c r="AK411" s="51"/>
      <c r="AL411" s="51"/>
      <c r="AM411" s="51"/>
      <c r="AN411" s="51"/>
      <c r="AO411" s="51"/>
      <c r="AP411" s="51"/>
      <c r="AQ411" s="51"/>
      <c r="AR411" s="51"/>
      <c r="AS411" s="51"/>
      <c r="AT411" s="51"/>
      <c r="AU411" s="51"/>
      <c r="AV411" s="51"/>
      <c r="AW411" s="51"/>
      <c r="AX411" s="51"/>
      <c r="AY411" s="51"/>
      <c r="AZ411" s="51"/>
      <c r="BA411" s="51"/>
      <c r="BB411" s="51"/>
      <c r="BC411" s="51"/>
      <c r="BD411" s="51"/>
      <c r="BE411" s="51"/>
      <c r="BF411" s="51"/>
      <c r="BG411" s="51"/>
      <c r="BH411" s="51"/>
      <c r="BI411" s="51"/>
      <c r="BJ411" s="51"/>
      <c r="BK411" s="51"/>
      <c r="BL411" s="51"/>
      <c r="BM411" s="51"/>
      <c r="BN411" s="51"/>
      <c r="BO411" s="51"/>
      <c r="BP411" s="51"/>
      <c r="BQ411" s="51"/>
      <c r="BR411" s="9">
        <f t="shared" si="59"/>
        <v>1</v>
      </c>
      <c r="BT411" s="53" t="str">
        <f t="shared" si="60"/>
        <v>Northwest Africa 13478</v>
      </c>
      <c r="BU411" s="25"/>
    </row>
    <row r="412" spans="1:73" ht="12.75" customHeight="1" x14ac:dyDescent="0.25">
      <c r="B412" s="23"/>
      <c r="C412" s="209" t="str">
        <f>HYPERLINK("https://sites.wustl.edu/meteoritesite/items/lm_nwa_13531/",Q412)</f>
        <v>Northwest Africa 13531</v>
      </c>
      <c r="D412" s="210"/>
      <c r="E412" s="210"/>
      <c r="F412" s="211"/>
      <c r="G412" s="89">
        <v>2017</v>
      </c>
      <c r="H412" s="214" t="s">
        <v>396</v>
      </c>
      <c r="I412" s="215"/>
      <c r="J412" s="32">
        <v>22.9</v>
      </c>
      <c r="K412" s="212" t="s">
        <v>39</v>
      </c>
      <c r="L412" s="213"/>
      <c r="M412" s="32" t="s">
        <v>469</v>
      </c>
      <c r="N412" s="32" t="s">
        <v>40</v>
      </c>
      <c r="P412" s="125">
        <f t="shared" si="83"/>
        <v>22.9</v>
      </c>
      <c r="Q412" s="54" t="s">
        <v>446</v>
      </c>
      <c r="R412" s="48"/>
      <c r="S412" s="49"/>
      <c r="T412" s="50">
        <f t="shared" si="55"/>
        <v>0</v>
      </c>
      <c r="V412" s="51">
        <v>22.9</v>
      </c>
      <c r="W412" s="51"/>
      <c r="X412" s="51"/>
      <c r="Y412" s="51"/>
      <c r="Z412" s="51"/>
      <c r="AA412" s="51"/>
      <c r="AB412" s="51"/>
      <c r="AC412" s="51"/>
      <c r="AD412" s="51"/>
      <c r="AE412" s="51"/>
      <c r="AF412" s="51"/>
      <c r="AG412" s="51"/>
      <c r="AH412" s="51"/>
      <c r="AI412" s="51"/>
      <c r="AJ412" s="51"/>
      <c r="AK412" s="51"/>
      <c r="AL412" s="51"/>
      <c r="AM412" s="51"/>
      <c r="AN412" s="51"/>
      <c r="AO412" s="51"/>
      <c r="AP412" s="51"/>
      <c r="AQ412" s="51"/>
      <c r="AR412" s="51"/>
      <c r="AS412" s="51"/>
      <c r="AT412" s="51"/>
      <c r="AU412" s="51"/>
      <c r="AV412" s="51"/>
      <c r="AW412" s="51"/>
      <c r="AX412" s="51"/>
      <c r="AY412" s="51"/>
      <c r="AZ412" s="51"/>
      <c r="BA412" s="51"/>
      <c r="BB412" s="51"/>
      <c r="BC412" s="51"/>
      <c r="BD412" s="51"/>
      <c r="BE412" s="51"/>
      <c r="BF412" s="51"/>
      <c r="BG412" s="51"/>
      <c r="BH412" s="51"/>
      <c r="BI412" s="51"/>
      <c r="BJ412" s="51"/>
      <c r="BK412" s="51"/>
      <c r="BL412" s="51"/>
      <c r="BM412" s="51"/>
      <c r="BN412" s="51"/>
      <c r="BO412" s="51"/>
      <c r="BP412" s="51"/>
      <c r="BQ412" s="51"/>
      <c r="BR412" s="9">
        <f t="shared" si="59"/>
        <v>1</v>
      </c>
      <c r="BT412" s="53" t="str">
        <f t="shared" si="60"/>
        <v>Northwest Africa 13531</v>
      </c>
      <c r="BU412" s="25"/>
    </row>
    <row r="413" spans="1:73" ht="12.75" customHeight="1" x14ac:dyDescent="0.25">
      <c r="B413" s="23"/>
      <c r="C413" s="209" t="str">
        <f>HYPERLINK("https://sites.wustl.edu/meteoritesite/items/lm_nwa_13582/",Q413)</f>
        <v>Northwest Africa 13582</v>
      </c>
      <c r="D413" s="210"/>
      <c r="E413" s="210"/>
      <c r="F413" s="211"/>
      <c r="G413" s="89">
        <v>2019</v>
      </c>
      <c r="H413" s="214" t="s">
        <v>396</v>
      </c>
      <c r="I413" s="215"/>
      <c r="J413" s="31">
        <v>11280</v>
      </c>
      <c r="K413" s="212" t="s">
        <v>39</v>
      </c>
      <c r="L413" s="213"/>
      <c r="M413" s="32" t="s">
        <v>40</v>
      </c>
      <c r="N413" s="32" t="s">
        <v>40</v>
      </c>
      <c r="P413" s="125">
        <f t="shared" si="83"/>
        <v>11280</v>
      </c>
      <c r="Q413" s="54" t="s">
        <v>447</v>
      </c>
      <c r="R413" s="48"/>
      <c r="S413" s="49"/>
      <c r="T413" s="50">
        <f t="shared" si="55"/>
        <v>0</v>
      </c>
      <c r="V413" s="51">
        <v>11280</v>
      </c>
      <c r="W413" s="51"/>
      <c r="X413" s="51"/>
      <c r="Y413" s="51"/>
      <c r="Z413" s="51"/>
      <c r="AA413" s="51"/>
      <c r="AB413" s="51"/>
      <c r="AC413" s="51"/>
      <c r="AD413" s="51"/>
      <c r="AE413" s="51"/>
      <c r="AF413" s="51"/>
      <c r="AG413" s="51"/>
      <c r="AH413" s="51"/>
      <c r="AI413" s="51"/>
      <c r="AJ413" s="51"/>
      <c r="AK413" s="51"/>
      <c r="AL413" s="51"/>
      <c r="AM413" s="51"/>
      <c r="AN413" s="51"/>
      <c r="AO413" s="51"/>
      <c r="AP413" s="51"/>
      <c r="AQ413" s="51"/>
      <c r="AR413" s="51"/>
      <c r="AS413" s="51"/>
      <c r="AT413" s="51"/>
      <c r="AU413" s="51"/>
      <c r="AV413" s="51"/>
      <c r="AW413" s="51"/>
      <c r="AX413" s="51"/>
      <c r="AY413" s="51"/>
      <c r="AZ413" s="51"/>
      <c r="BA413" s="51"/>
      <c r="BB413" s="51"/>
      <c r="BC413" s="51"/>
      <c r="BD413" s="51"/>
      <c r="BE413" s="51"/>
      <c r="BF413" s="51"/>
      <c r="BG413" s="51"/>
      <c r="BH413" s="51"/>
      <c r="BI413" s="51"/>
      <c r="BJ413" s="51"/>
      <c r="BK413" s="51"/>
      <c r="BL413" s="51"/>
      <c r="BM413" s="51"/>
      <c r="BN413" s="51"/>
      <c r="BO413" s="51"/>
      <c r="BP413" s="51"/>
      <c r="BQ413" s="51"/>
      <c r="BR413" s="9">
        <f t="shared" si="59"/>
        <v>1</v>
      </c>
      <c r="BT413" s="53" t="str">
        <f t="shared" si="60"/>
        <v>Northwest Africa 13582</v>
      </c>
      <c r="BU413" s="25"/>
    </row>
    <row r="414" spans="1:73" ht="12.75" customHeight="1" x14ac:dyDescent="0.25">
      <c r="B414" s="23"/>
      <c r="C414" s="209" t="str">
        <f>HYPERLINK("https://sites.wustl.edu/meteoritesite/items/lm_nwa_13638/",Q414)</f>
        <v>Northwest Africa 13638</v>
      </c>
      <c r="D414" s="210"/>
      <c r="E414" s="210"/>
      <c r="F414" s="211"/>
      <c r="G414" s="89">
        <v>2020</v>
      </c>
      <c r="H414" s="208" t="s">
        <v>616</v>
      </c>
      <c r="I414" s="208"/>
      <c r="J414" s="33">
        <v>512</v>
      </c>
      <c r="K414" s="212" t="s">
        <v>66</v>
      </c>
      <c r="L414" s="213"/>
      <c r="M414" s="32" t="s">
        <v>40</v>
      </c>
      <c r="N414" s="32" t="s">
        <v>40</v>
      </c>
      <c r="P414" s="125">
        <f t="shared" si="83"/>
        <v>512</v>
      </c>
      <c r="Q414" s="54" t="s">
        <v>457</v>
      </c>
      <c r="R414" s="48"/>
      <c r="S414" s="49"/>
      <c r="T414" s="50">
        <f t="shared" si="55"/>
        <v>0</v>
      </c>
      <c r="V414" s="51">
        <v>512</v>
      </c>
      <c r="W414" s="51"/>
      <c r="X414" s="51"/>
      <c r="Y414" s="51"/>
      <c r="Z414" s="51"/>
      <c r="AA414" s="51"/>
      <c r="AB414" s="51"/>
      <c r="AC414" s="51"/>
      <c r="AD414" s="51"/>
      <c r="AE414" s="51"/>
      <c r="AF414" s="51"/>
      <c r="AG414" s="51"/>
      <c r="AH414" s="51"/>
      <c r="AI414" s="51"/>
      <c r="AJ414" s="51"/>
      <c r="AK414" s="51"/>
      <c r="AL414" s="51"/>
      <c r="AM414" s="51"/>
      <c r="AN414" s="51"/>
      <c r="AO414" s="51"/>
      <c r="AP414" s="51"/>
      <c r="AQ414" s="51"/>
      <c r="AR414" s="51"/>
      <c r="AS414" s="51"/>
      <c r="AT414" s="51"/>
      <c r="AU414" s="51"/>
      <c r="AV414" s="51"/>
      <c r="AW414" s="51"/>
      <c r="AX414" s="51"/>
      <c r="AY414" s="51"/>
      <c r="AZ414" s="51"/>
      <c r="BA414" s="51"/>
      <c r="BB414" s="51"/>
      <c r="BC414" s="51"/>
      <c r="BD414" s="51"/>
      <c r="BE414" s="51"/>
      <c r="BF414" s="51"/>
      <c r="BG414" s="51"/>
      <c r="BH414" s="51"/>
      <c r="BI414" s="51"/>
      <c r="BJ414" s="51"/>
      <c r="BK414" s="51"/>
      <c r="BL414" s="51"/>
      <c r="BM414" s="51"/>
      <c r="BN414" s="51"/>
      <c r="BO414" s="51"/>
      <c r="BP414" s="51"/>
      <c r="BQ414" s="51"/>
      <c r="BR414" s="9">
        <f t="shared" si="59"/>
        <v>1</v>
      </c>
      <c r="BT414" s="53" t="str">
        <f t="shared" si="60"/>
        <v>Northwest Africa 13638</v>
      </c>
      <c r="BU414" s="25"/>
    </row>
    <row r="415" spans="1:73" ht="12.75" customHeight="1" x14ac:dyDescent="0.25">
      <c r="B415" s="23"/>
      <c r="C415" s="209" t="str">
        <f>HYPERLINK("https://sites.wustl.edu/meteoritesite/items/lm_nwa_13676/",Q415)</f>
        <v>Northwest Africa 13676/ 13757/ 13908/ 15352</v>
      </c>
      <c r="D415" s="210"/>
      <c r="E415" s="210"/>
      <c r="F415" s="211"/>
      <c r="G415" s="89">
        <v>2020</v>
      </c>
      <c r="H415" s="214" t="s">
        <v>616</v>
      </c>
      <c r="I415" s="215"/>
      <c r="J415" s="31">
        <v>23477</v>
      </c>
      <c r="K415" s="212" t="s">
        <v>66</v>
      </c>
      <c r="L415" s="213"/>
      <c r="M415" s="32" t="s">
        <v>40</v>
      </c>
      <c r="N415" s="32" t="s">
        <v>40</v>
      </c>
      <c r="P415" s="125">
        <f t="shared" si="83"/>
        <v>23477</v>
      </c>
      <c r="Q415" s="54" t="s">
        <v>636</v>
      </c>
      <c r="R415" s="48"/>
      <c r="S415" s="49"/>
      <c r="T415" s="50">
        <f t="shared" si="55"/>
        <v>0</v>
      </c>
      <c r="V415" s="51">
        <v>698</v>
      </c>
      <c r="W415" s="51">
        <v>16974</v>
      </c>
      <c r="X415" s="51">
        <v>1680</v>
      </c>
      <c r="Y415" s="51">
        <v>4125</v>
      </c>
      <c r="Z415" s="51"/>
      <c r="AA415" s="51"/>
      <c r="AB415" s="51"/>
      <c r="AC415" s="51"/>
      <c r="AD415" s="51"/>
      <c r="AE415" s="51"/>
      <c r="AF415" s="51"/>
      <c r="AG415" s="51"/>
      <c r="AH415" s="51"/>
      <c r="AI415" s="51"/>
      <c r="AJ415" s="51"/>
      <c r="AK415" s="51"/>
      <c r="AL415" s="51"/>
      <c r="AM415" s="51"/>
      <c r="AN415" s="51"/>
      <c r="AO415" s="51"/>
      <c r="AP415" s="51"/>
      <c r="AQ415" s="51"/>
      <c r="AR415" s="51"/>
      <c r="AS415" s="51"/>
      <c r="AT415" s="51"/>
      <c r="AU415" s="51"/>
      <c r="AV415" s="51"/>
      <c r="AW415" s="51"/>
      <c r="AX415" s="51"/>
      <c r="AY415" s="51"/>
      <c r="AZ415" s="51"/>
      <c r="BA415" s="51"/>
      <c r="BB415" s="51"/>
      <c r="BC415" s="51"/>
      <c r="BD415" s="51"/>
      <c r="BE415" s="51"/>
      <c r="BF415" s="51"/>
      <c r="BG415" s="51"/>
      <c r="BH415" s="51"/>
      <c r="BI415" s="51"/>
      <c r="BJ415" s="51"/>
      <c r="BK415" s="51"/>
      <c r="BL415" s="51"/>
      <c r="BM415" s="51"/>
      <c r="BN415" s="51"/>
      <c r="BO415" s="51"/>
      <c r="BP415" s="51"/>
      <c r="BQ415" s="51"/>
      <c r="BR415" s="9">
        <f t="shared" si="59"/>
        <v>4</v>
      </c>
      <c r="BT415" s="53" t="str">
        <f t="shared" si="60"/>
        <v>Northwest Africa 13676/ 13757/ 13908/ 15352</v>
      </c>
      <c r="BU415" s="25"/>
    </row>
    <row r="416" spans="1:73" ht="12.75" customHeight="1" x14ac:dyDescent="0.25">
      <c r="B416" s="23"/>
      <c r="C416" s="209" t="str">
        <f>HYPERLINK("https://sites.wustl.edu/meteoritesite/items/lm_nwa_13714/",Q416)</f>
        <v>Northwest Africa 13714</v>
      </c>
      <c r="D416" s="210"/>
      <c r="E416" s="210"/>
      <c r="F416" s="211"/>
      <c r="G416" s="89">
        <v>2020</v>
      </c>
      <c r="H416" s="214" t="s">
        <v>396</v>
      </c>
      <c r="I416" s="215"/>
      <c r="J416" s="32">
        <v>39.200000000000003</v>
      </c>
      <c r="K416" s="212" t="s">
        <v>39</v>
      </c>
      <c r="L416" s="213"/>
      <c r="M416" s="32" t="s">
        <v>40</v>
      </c>
      <c r="N416" s="32" t="s">
        <v>40</v>
      </c>
      <c r="P416" s="125">
        <f t="shared" si="83"/>
        <v>39.200000000000003</v>
      </c>
      <c r="Q416" s="54" t="s">
        <v>460</v>
      </c>
      <c r="R416" s="48"/>
      <c r="S416" s="49"/>
      <c r="T416" s="50">
        <f t="shared" si="55"/>
        <v>0</v>
      </c>
      <c r="V416" s="51">
        <v>39.200000000000003</v>
      </c>
      <c r="W416" s="51"/>
      <c r="X416" s="51"/>
      <c r="Y416" s="51"/>
      <c r="Z416" s="51"/>
      <c r="AA416" s="51"/>
      <c r="AB416" s="51"/>
      <c r="AC416" s="51"/>
      <c r="AD416" s="51"/>
      <c r="AE416" s="51"/>
      <c r="AF416" s="51"/>
      <c r="AG416" s="51"/>
      <c r="AH416" s="51"/>
      <c r="AI416" s="51"/>
      <c r="AJ416" s="51"/>
      <c r="AK416" s="51"/>
      <c r="AL416" s="51"/>
      <c r="AM416" s="51"/>
      <c r="AN416" s="51"/>
      <c r="AO416" s="51"/>
      <c r="AP416" s="51"/>
      <c r="AQ416" s="51"/>
      <c r="AR416" s="51"/>
      <c r="AS416" s="51"/>
      <c r="AT416" s="51"/>
      <c r="AU416" s="51"/>
      <c r="AV416" s="51"/>
      <c r="AW416" s="51"/>
      <c r="AX416" s="51"/>
      <c r="AY416" s="51"/>
      <c r="AZ416" s="51"/>
      <c r="BA416" s="51"/>
      <c r="BB416" s="51"/>
      <c r="BC416" s="51"/>
      <c r="BD416" s="51"/>
      <c r="BE416" s="51"/>
      <c r="BF416" s="51"/>
      <c r="BG416" s="51"/>
      <c r="BH416" s="51"/>
      <c r="BI416" s="51"/>
      <c r="BJ416" s="51"/>
      <c r="BK416" s="51"/>
      <c r="BL416" s="51"/>
      <c r="BM416" s="51"/>
      <c r="BN416" s="51"/>
      <c r="BO416" s="51"/>
      <c r="BP416" s="51"/>
      <c r="BQ416" s="51"/>
      <c r="BR416" s="9">
        <f t="shared" si="59"/>
        <v>1</v>
      </c>
      <c r="BT416" s="53" t="str">
        <f t="shared" si="60"/>
        <v>Northwest Africa 13714</v>
      </c>
      <c r="BU416" s="25"/>
    </row>
    <row r="417" spans="2:73" ht="12.75" customHeight="1" x14ac:dyDescent="0.25">
      <c r="B417" s="23"/>
      <c r="C417" s="209" t="str">
        <f>HYPERLINK("https://sites.wustl.edu/meteoritesite/items/lm_nwa_13717/",Q417)</f>
        <v>Northwest Africa 13717</v>
      </c>
      <c r="D417" s="210"/>
      <c r="E417" s="210"/>
      <c r="F417" s="211"/>
      <c r="G417" s="89">
        <v>2020</v>
      </c>
      <c r="H417" s="214" t="s">
        <v>396</v>
      </c>
      <c r="I417" s="215"/>
      <c r="J417" s="32">
        <v>24.2</v>
      </c>
      <c r="K417" s="212" t="s">
        <v>39</v>
      </c>
      <c r="L417" s="213"/>
      <c r="M417" s="32" t="s">
        <v>40</v>
      </c>
      <c r="N417" s="32" t="s">
        <v>40</v>
      </c>
      <c r="P417" s="125">
        <f t="shared" si="83"/>
        <v>24.2</v>
      </c>
      <c r="Q417" s="54" t="s">
        <v>461</v>
      </c>
      <c r="R417" s="48"/>
      <c r="S417" s="49"/>
      <c r="T417" s="50">
        <f t="shared" si="55"/>
        <v>0</v>
      </c>
      <c r="V417" s="51">
        <v>24.2</v>
      </c>
      <c r="W417" s="51"/>
      <c r="X417" s="51"/>
      <c r="Y417" s="51"/>
      <c r="Z417" s="51"/>
      <c r="AA417" s="51"/>
      <c r="AB417" s="51"/>
      <c r="AC417" s="51"/>
      <c r="AD417" s="51"/>
      <c r="AE417" s="51"/>
      <c r="AF417" s="51"/>
      <c r="AG417" s="51"/>
      <c r="AH417" s="51"/>
      <c r="AI417" s="51"/>
      <c r="AJ417" s="51"/>
      <c r="AK417" s="51"/>
      <c r="AL417" s="51"/>
      <c r="AM417" s="51"/>
      <c r="AN417" s="51"/>
      <c r="AO417" s="51"/>
      <c r="AP417" s="51"/>
      <c r="AQ417" s="51"/>
      <c r="AR417" s="51"/>
      <c r="AS417" s="51"/>
      <c r="AT417" s="51"/>
      <c r="AU417" s="51"/>
      <c r="AV417" s="51"/>
      <c r="AW417" s="51"/>
      <c r="AX417" s="51"/>
      <c r="AY417" s="51"/>
      <c r="AZ417" s="51"/>
      <c r="BA417" s="51"/>
      <c r="BB417" s="51"/>
      <c r="BC417" s="51"/>
      <c r="BD417" s="51"/>
      <c r="BE417" s="51"/>
      <c r="BF417" s="51"/>
      <c r="BG417" s="51"/>
      <c r="BH417" s="51"/>
      <c r="BI417" s="51"/>
      <c r="BJ417" s="51"/>
      <c r="BK417" s="51"/>
      <c r="BL417" s="51"/>
      <c r="BM417" s="51"/>
      <c r="BN417" s="51"/>
      <c r="BO417" s="51"/>
      <c r="BP417" s="51"/>
      <c r="BQ417" s="51"/>
      <c r="BR417" s="9">
        <f t="shared" si="59"/>
        <v>1</v>
      </c>
      <c r="BT417" s="53" t="str">
        <f t="shared" si="60"/>
        <v>Northwest Africa 13717</v>
      </c>
      <c r="BU417" s="25"/>
    </row>
    <row r="418" spans="2:73" ht="12.75" customHeight="1" x14ac:dyDescent="0.25">
      <c r="B418" s="23"/>
      <c r="C418" s="209" t="str">
        <f>HYPERLINK("https://sites.wustl.edu/meteoritesite/items/lm_nwa_13779/",Q418)</f>
        <v>Northwest Africa 13779</v>
      </c>
      <c r="D418" s="210"/>
      <c r="E418" s="210"/>
      <c r="F418" s="211"/>
      <c r="G418" s="89">
        <v>2020</v>
      </c>
      <c r="H418" s="214" t="s">
        <v>396</v>
      </c>
      <c r="I418" s="215"/>
      <c r="J418" s="32">
        <v>80</v>
      </c>
      <c r="K418" s="212" t="s">
        <v>39</v>
      </c>
      <c r="L418" s="213"/>
      <c r="M418" s="32" t="s">
        <v>40</v>
      </c>
      <c r="N418" s="32" t="s">
        <v>40</v>
      </c>
      <c r="P418" s="125">
        <f t="shared" si="83"/>
        <v>80</v>
      </c>
      <c r="Q418" s="54" t="s">
        <v>474</v>
      </c>
      <c r="R418" s="48"/>
      <c r="S418" s="49"/>
      <c r="T418" s="50">
        <f t="shared" si="55"/>
        <v>0</v>
      </c>
      <c r="V418" s="51">
        <v>80</v>
      </c>
      <c r="W418" s="51"/>
      <c r="X418" s="51"/>
      <c r="Y418" s="51"/>
      <c r="Z418" s="51"/>
      <c r="AA418" s="51"/>
      <c r="AB418" s="51"/>
      <c r="AC418" s="51"/>
      <c r="AD418" s="51"/>
      <c r="AE418" s="51"/>
      <c r="AF418" s="51"/>
      <c r="AG418" s="51"/>
      <c r="AH418" s="51"/>
      <c r="AI418" s="51"/>
      <c r="AJ418" s="51"/>
      <c r="AK418" s="51"/>
      <c r="AL418" s="51"/>
      <c r="AM418" s="51"/>
      <c r="AN418" s="51"/>
      <c r="AO418" s="51"/>
      <c r="AP418" s="51"/>
      <c r="AQ418" s="51"/>
      <c r="AR418" s="51"/>
      <c r="AS418" s="51"/>
      <c r="AT418" s="51"/>
      <c r="AU418" s="51"/>
      <c r="AV418" s="51"/>
      <c r="AW418" s="51"/>
      <c r="AX418" s="51"/>
      <c r="AY418" s="51"/>
      <c r="AZ418" s="51"/>
      <c r="BA418" s="51"/>
      <c r="BB418" s="51"/>
      <c r="BC418" s="51"/>
      <c r="BD418" s="51"/>
      <c r="BE418" s="51"/>
      <c r="BF418" s="51"/>
      <c r="BG418" s="51"/>
      <c r="BH418" s="51"/>
      <c r="BI418" s="51"/>
      <c r="BJ418" s="51"/>
      <c r="BK418" s="51"/>
      <c r="BL418" s="51"/>
      <c r="BM418" s="51"/>
      <c r="BN418" s="51"/>
      <c r="BO418" s="51"/>
      <c r="BP418" s="51"/>
      <c r="BQ418" s="51"/>
      <c r="BR418" s="9">
        <f t="shared" si="59"/>
        <v>1</v>
      </c>
      <c r="BT418" s="53" t="str">
        <f t="shared" si="60"/>
        <v>Northwest Africa 13779</v>
      </c>
      <c r="BU418" s="25"/>
    </row>
    <row r="419" spans="2:73" ht="12.75" customHeight="1" x14ac:dyDescent="0.25">
      <c r="B419" s="23"/>
      <c r="C419" s="209" t="str">
        <f>HYPERLINK("https://sites.wustl.edu/meteoritesite/items/lm_nwa_13785/",Q419)</f>
        <v>Northwest Africa 13785</v>
      </c>
      <c r="D419" s="210"/>
      <c r="E419" s="210"/>
      <c r="F419" s="211"/>
      <c r="G419" s="89">
        <v>2021</v>
      </c>
      <c r="H419" s="214" t="s">
        <v>396</v>
      </c>
      <c r="I419" s="215"/>
      <c r="J419" s="33">
        <v>35</v>
      </c>
      <c r="K419" s="212" t="s">
        <v>39</v>
      </c>
      <c r="L419" s="213"/>
      <c r="M419" s="32" t="s">
        <v>40</v>
      </c>
      <c r="N419" s="32" t="s">
        <v>40</v>
      </c>
      <c r="P419" s="125">
        <f t="shared" si="83"/>
        <v>35</v>
      </c>
      <c r="Q419" s="54" t="s">
        <v>463</v>
      </c>
      <c r="R419" s="48"/>
      <c r="S419" s="49"/>
      <c r="T419" s="50">
        <f t="shared" si="55"/>
        <v>0</v>
      </c>
      <c r="V419" s="51">
        <v>35</v>
      </c>
      <c r="W419" s="51"/>
      <c r="X419" s="51"/>
      <c r="Y419" s="51"/>
      <c r="Z419" s="51"/>
      <c r="AA419" s="51"/>
      <c r="AB419" s="51"/>
      <c r="AC419" s="51"/>
      <c r="AD419" s="51"/>
      <c r="AE419" s="51"/>
      <c r="AF419" s="51"/>
      <c r="AG419" s="51"/>
      <c r="AH419" s="51"/>
      <c r="AI419" s="51"/>
      <c r="AJ419" s="51"/>
      <c r="AK419" s="51"/>
      <c r="AL419" s="51"/>
      <c r="AM419" s="51"/>
      <c r="AN419" s="51"/>
      <c r="AO419" s="51"/>
      <c r="AP419" s="51"/>
      <c r="AQ419" s="51"/>
      <c r="AR419" s="51"/>
      <c r="AS419" s="51"/>
      <c r="AT419" s="51"/>
      <c r="AU419" s="51"/>
      <c r="AV419" s="51"/>
      <c r="AW419" s="51"/>
      <c r="AX419" s="51"/>
      <c r="AY419" s="51"/>
      <c r="AZ419" s="51"/>
      <c r="BA419" s="51"/>
      <c r="BB419" s="51"/>
      <c r="BC419" s="51"/>
      <c r="BD419" s="51"/>
      <c r="BE419" s="51"/>
      <c r="BF419" s="51"/>
      <c r="BG419" s="51"/>
      <c r="BH419" s="51"/>
      <c r="BI419" s="51"/>
      <c r="BJ419" s="51"/>
      <c r="BK419" s="51"/>
      <c r="BL419" s="51"/>
      <c r="BM419" s="51"/>
      <c r="BN419" s="51"/>
      <c r="BO419" s="51"/>
      <c r="BP419" s="51"/>
      <c r="BQ419" s="51"/>
      <c r="BR419" s="9">
        <f t="shared" si="59"/>
        <v>1</v>
      </c>
      <c r="BT419" s="53" t="str">
        <f t="shared" si="60"/>
        <v>Northwest Africa 13785</v>
      </c>
      <c r="BU419" s="25"/>
    </row>
    <row r="420" spans="2:73" ht="12.75" customHeight="1" x14ac:dyDescent="0.25">
      <c r="B420" s="23"/>
      <c r="C420" s="209" t="str">
        <f>HYPERLINK("https://sites.wustl.edu/meteoritesite/items/lm_nwa_13788/",Q420)</f>
        <v>Northwest Africa 13788</v>
      </c>
      <c r="D420" s="210"/>
      <c r="E420" s="210"/>
      <c r="F420" s="211"/>
      <c r="G420" s="89">
        <v>2021</v>
      </c>
      <c r="H420" s="208" t="s">
        <v>616</v>
      </c>
      <c r="I420" s="208"/>
      <c r="J420" s="33">
        <v>2600</v>
      </c>
      <c r="K420" s="212" t="s">
        <v>66</v>
      </c>
      <c r="L420" s="213"/>
      <c r="M420" s="32" t="s">
        <v>40</v>
      </c>
      <c r="N420" s="32" t="s">
        <v>40</v>
      </c>
      <c r="P420" s="125">
        <f t="shared" si="83"/>
        <v>2600</v>
      </c>
      <c r="Q420" s="54" t="s">
        <v>464</v>
      </c>
      <c r="R420" s="48"/>
      <c r="S420" s="49"/>
      <c r="T420" s="50">
        <f t="shared" si="55"/>
        <v>0</v>
      </c>
      <c r="V420" s="51">
        <v>2600</v>
      </c>
      <c r="W420" s="51"/>
      <c r="X420" s="51"/>
      <c r="Y420" s="51"/>
      <c r="Z420" s="51"/>
      <c r="AA420" s="51"/>
      <c r="AB420" s="51"/>
      <c r="AC420" s="51"/>
      <c r="AD420" s="51"/>
      <c r="AE420" s="51"/>
      <c r="AF420" s="51"/>
      <c r="AG420" s="51"/>
      <c r="AH420" s="51"/>
      <c r="AI420" s="51"/>
      <c r="AJ420" s="51"/>
      <c r="AK420" s="51"/>
      <c r="AL420" s="51"/>
      <c r="AM420" s="51"/>
      <c r="AN420" s="51"/>
      <c r="AO420" s="51"/>
      <c r="AP420" s="51"/>
      <c r="AQ420" s="51"/>
      <c r="AR420" s="51"/>
      <c r="AS420" s="51"/>
      <c r="AT420" s="51"/>
      <c r="AU420" s="51"/>
      <c r="AV420" s="51"/>
      <c r="AW420" s="51"/>
      <c r="AX420" s="51"/>
      <c r="AY420" s="51"/>
      <c r="AZ420" s="51"/>
      <c r="BA420" s="51"/>
      <c r="BB420" s="51"/>
      <c r="BC420" s="51"/>
      <c r="BD420" s="51"/>
      <c r="BE420" s="51"/>
      <c r="BF420" s="51"/>
      <c r="BG420" s="51"/>
      <c r="BH420" s="51"/>
      <c r="BI420" s="51"/>
      <c r="BJ420" s="51"/>
      <c r="BK420" s="51"/>
      <c r="BL420" s="51"/>
      <c r="BM420" s="51"/>
      <c r="BN420" s="51"/>
      <c r="BO420" s="51"/>
      <c r="BP420" s="51"/>
      <c r="BQ420" s="51"/>
      <c r="BR420" s="9">
        <f t="shared" si="59"/>
        <v>1</v>
      </c>
      <c r="BT420" s="53" t="str">
        <f t="shared" si="60"/>
        <v>Northwest Africa 13788</v>
      </c>
      <c r="BU420" s="25"/>
    </row>
    <row r="421" spans="2:73" ht="12.75" customHeight="1" x14ac:dyDescent="0.25">
      <c r="B421" s="23"/>
      <c r="C421" s="209" t="str">
        <f>HYPERLINK("https://sites.wustl.edu/meteoritesite/items/lm_nwa_13837/",Q421)</f>
        <v>Northwest Africa 13837</v>
      </c>
      <c r="D421" s="210"/>
      <c r="E421" s="210"/>
      <c r="F421" s="211"/>
      <c r="G421" s="89">
        <v>2020</v>
      </c>
      <c r="H421" s="208" t="s">
        <v>476</v>
      </c>
      <c r="I421" s="208"/>
      <c r="J421" s="33">
        <v>20.309999999999999</v>
      </c>
      <c r="K421" s="212" t="s">
        <v>39</v>
      </c>
      <c r="L421" s="213"/>
      <c r="M421" s="32" t="s">
        <v>40</v>
      </c>
      <c r="N421" s="32" t="s">
        <v>40</v>
      </c>
      <c r="P421" s="125">
        <f t="shared" si="83"/>
        <v>20.309999999999999</v>
      </c>
      <c r="Q421" s="54" t="s">
        <v>475</v>
      </c>
      <c r="R421" s="48"/>
      <c r="S421" s="49"/>
      <c r="T421" s="50">
        <f t="shared" si="55"/>
        <v>0</v>
      </c>
      <c r="V421" s="51">
        <v>20.309999999999999</v>
      </c>
      <c r="W421" s="51"/>
      <c r="X421" s="51"/>
      <c r="Y421" s="51"/>
      <c r="Z421" s="51"/>
      <c r="AA421" s="51"/>
      <c r="AB421" s="51"/>
      <c r="AC421" s="51"/>
      <c r="AD421" s="51"/>
      <c r="AE421" s="51"/>
      <c r="AF421" s="51"/>
      <c r="AG421" s="51"/>
      <c r="AH421" s="51"/>
      <c r="AI421" s="51"/>
      <c r="AJ421" s="51"/>
      <c r="AK421" s="51"/>
      <c r="AL421" s="51"/>
      <c r="AM421" s="51"/>
      <c r="AN421" s="51"/>
      <c r="AO421" s="51"/>
      <c r="AP421" s="51"/>
      <c r="AQ421" s="51"/>
      <c r="AR421" s="51"/>
      <c r="AS421" s="51"/>
      <c r="AT421" s="51"/>
      <c r="AU421" s="51"/>
      <c r="AV421" s="51"/>
      <c r="AW421" s="51"/>
      <c r="AX421" s="51"/>
      <c r="AY421" s="51"/>
      <c r="AZ421" s="51"/>
      <c r="BA421" s="51"/>
      <c r="BB421" s="51"/>
      <c r="BC421" s="51"/>
      <c r="BD421" s="51"/>
      <c r="BE421" s="51"/>
      <c r="BF421" s="51"/>
      <c r="BG421" s="51"/>
      <c r="BH421" s="51"/>
      <c r="BI421" s="51"/>
      <c r="BJ421" s="51"/>
      <c r="BK421" s="51"/>
      <c r="BL421" s="51"/>
      <c r="BM421" s="51"/>
      <c r="BN421" s="51"/>
      <c r="BO421" s="51"/>
      <c r="BP421" s="51"/>
      <c r="BQ421" s="51"/>
      <c r="BR421" s="9">
        <f t="shared" si="59"/>
        <v>1</v>
      </c>
      <c r="BT421" s="53" t="str">
        <f t="shared" si="60"/>
        <v>Northwest Africa 13837</v>
      </c>
      <c r="BU421" s="25"/>
    </row>
    <row r="422" spans="2:73" ht="12.75" customHeight="1" x14ac:dyDescent="0.25">
      <c r="B422" s="23"/>
      <c r="C422" s="209" t="str">
        <f>HYPERLINK("https://sites.wustl.edu/meteoritesite/items/lm_nwa_13859/",Q422)</f>
        <v>Northwest Africa 13859</v>
      </c>
      <c r="D422" s="210"/>
      <c r="E422" s="210"/>
      <c r="F422" s="211"/>
      <c r="G422" s="89">
        <v>2020</v>
      </c>
      <c r="H422" s="214" t="s">
        <v>396</v>
      </c>
      <c r="I422" s="215"/>
      <c r="J422" s="33">
        <v>2045</v>
      </c>
      <c r="K422" s="212" t="s">
        <v>39</v>
      </c>
      <c r="L422" s="213"/>
      <c r="M422" s="32" t="s">
        <v>40</v>
      </c>
      <c r="N422" s="32" t="s">
        <v>40</v>
      </c>
      <c r="P422" s="125">
        <f t="shared" si="83"/>
        <v>2045</v>
      </c>
      <c r="Q422" s="54" t="s">
        <v>478</v>
      </c>
      <c r="R422" s="48"/>
      <c r="S422" s="49"/>
      <c r="T422" s="50">
        <f t="shared" si="55"/>
        <v>0</v>
      </c>
      <c r="V422" s="51">
        <v>2045</v>
      </c>
      <c r="W422" s="51"/>
      <c r="X422" s="51"/>
      <c r="Y422" s="51"/>
      <c r="Z422" s="51"/>
      <c r="AA422" s="51"/>
      <c r="AB422" s="51"/>
      <c r="AC422" s="51"/>
      <c r="AD422" s="51"/>
      <c r="AE422" s="51"/>
      <c r="AF422" s="51"/>
      <c r="AG422" s="51"/>
      <c r="AH422" s="51"/>
      <c r="AI422" s="51"/>
      <c r="AJ422" s="51"/>
      <c r="AK422" s="51"/>
      <c r="AL422" s="51"/>
      <c r="AM422" s="51"/>
      <c r="AN422" s="51"/>
      <c r="AO422" s="51"/>
      <c r="AP422" s="51"/>
      <c r="AQ422" s="51"/>
      <c r="AR422" s="51"/>
      <c r="AS422" s="51"/>
      <c r="AT422" s="51"/>
      <c r="AU422" s="51"/>
      <c r="AV422" s="51"/>
      <c r="AW422" s="51"/>
      <c r="AX422" s="51"/>
      <c r="AY422" s="51"/>
      <c r="AZ422" s="51"/>
      <c r="BA422" s="51"/>
      <c r="BB422" s="51"/>
      <c r="BC422" s="51"/>
      <c r="BD422" s="51"/>
      <c r="BE422" s="51"/>
      <c r="BF422" s="51"/>
      <c r="BG422" s="51"/>
      <c r="BH422" s="51"/>
      <c r="BI422" s="51"/>
      <c r="BJ422" s="51"/>
      <c r="BK422" s="51"/>
      <c r="BL422" s="51"/>
      <c r="BM422" s="51"/>
      <c r="BN422" s="51"/>
      <c r="BO422" s="51"/>
      <c r="BP422" s="51"/>
      <c r="BQ422" s="51"/>
      <c r="BR422" s="9">
        <f t="shared" si="59"/>
        <v>1</v>
      </c>
      <c r="BT422" s="53" t="str">
        <f t="shared" si="60"/>
        <v>Northwest Africa 13859</v>
      </c>
      <c r="BU422" s="25"/>
    </row>
    <row r="423" spans="2:73" ht="12.75" customHeight="1" x14ac:dyDescent="0.25">
      <c r="B423" s="23"/>
      <c r="C423" s="209" t="str">
        <f>HYPERLINK("https://sites.wustl.edu/meteoritesite/items/lm_nwa_13892/",Q423)</f>
        <v>Northwest Africa 13892</v>
      </c>
      <c r="D423" s="210"/>
      <c r="E423" s="210"/>
      <c r="F423" s="211"/>
      <c r="G423" s="89">
        <v>2019</v>
      </c>
      <c r="H423" s="208" t="s">
        <v>616</v>
      </c>
      <c r="I423" s="208"/>
      <c r="J423" s="33">
        <v>46</v>
      </c>
      <c r="K423" s="212" t="s">
        <v>35</v>
      </c>
      <c r="L423" s="213"/>
      <c r="M423" s="32" t="s">
        <v>40</v>
      </c>
      <c r="N423" s="32" t="s">
        <v>40</v>
      </c>
      <c r="P423" s="125">
        <f t="shared" si="83"/>
        <v>46</v>
      </c>
      <c r="Q423" s="54" t="s">
        <v>530</v>
      </c>
      <c r="R423" s="48"/>
      <c r="S423" s="49"/>
      <c r="T423" s="50">
        <f t="shared" si="55"/>
        <v>0</v>
      </c>
      <c r="V423" s="51">
        <v>46</v>
      </c>
      <c r="W423" s="51"/>
      <c r="X423" s="51"/>
      <c r="Y423" s="51"/>
      <c r="Z423" s="51"/>
      <c r="AA423" s="51"/>
      <c r="AB423" s="51"/>
      <c r="AC423" s="51"/>
      <c r="AD423" s="51"/>
      <c r="AE423" s="51"/>
      <c r="AF423" s="51"/>
      <c r="AG423" s="51"/>
      <c r="AH423" s="51"/>
      <c r="AI423" s="51"/>
      <c r="AJ423" s="51"/>
      <c r="AK423" s="51"/>
      <c r="AL423" s="51"/>
      <c r="AM423" s="51"/>
      <c r="AN423" s="51"/>
      <c r="AO423" s="51"/>
      <c r="AP423" s="51"/>
      <c r="AQ423" s="51"/>
      <c r="AR423" s="51"/>
      <c r="AS423" s="51"/>
      <c r="AT423" s="51"/>
      <c r="AU423" s="51"/>
      <c r="AV423" s="51"/>
      <c r="AW423" s="51"/>
      <c r="AX423" s="51"/>
      <c r="AY423" s="51"/>
      <c r="AZ423" s="51"/>
      <c r="BA423" s="51"/>
      <c r="BB423" s="51"/>
      <c r="BC423" s="51"/>
      <c r="BD423" s="51"/>
      <c r="BE423" s="51"/>
      <c r="BF423" s="51"/>
      <c r="BG423" s="51"/>
      <c r="BH423" s="51"/>
      <c r="BI423" s="51"/>
      <c r="BJ423" s="51"/>
      <c r="BK423" s="51"/>
      <c r="BL423" s="51"/>
      <c r="BM423" s="51"/>
      <c r="BN423" s="51"/>
      <c r="BO423" s="51"/>
      <c r="BP423" s="51"/>
      <c r="BQ423" s="51"/>
      <c r="BR423" s="9">
        <f t="shared" si="59"/>
        <v>1</v>
      </c>
      <c r="BT423" s="53" t="str">
        <f t="shared" si="60"/>
        <v>Northwest Africa 13892</v>
      </c>
      <c r="BU423" s="25"/>
    </row>
    <row r="424" spans="2:73" ht="12.75" customHeight="1" x14ac:dyDescent="0.25">
      <c r="B424" s="23"/>
      <c r="C424" s="209" t="str">
        <f>HYPERLINK("https://sites.wustl.edu/meteoritesite/items/lm_nwa_13896/",Q424)</f>
        <v>Northwest Africa 13896</v>
      </c>
      <c r="D424" s="210"/>
      <c r="E424" s="210"/>
      <c r="F424" s="211"/>
      <c r="G424" s="89">
        <v>2019</v>
      </c>
      <c r="H424" s="214" t="s">
        <v>396</v>
      </c>
      <c r="I424" s="215"/>
      <c r="J424" s="33">
        <v>8</v>
      </c>
      <c r="K424" s="212" t="s">
        <v>39</v>
      </c>
      <c r="L424" s="213"/>
      <c r="M424" s="32" t="s">
        <v>40</v>
      </c>
      <c r="N424" s="32" t="s">
        <v>40</v>
      </c>
      <c r="P424" s="125">
        <f t="shared" si="83"/>
        <v>8</v>
      </c>
      <c r="Q424" s="54" t="s">
        <v>534</v>
      </c>
      <c r="R424" s="48"/>
      <c r="S424" s="49"/>
      <c r="T424" s="50">
        <f t="shared" si="55"/>
        <v>0</v>
      </c>
      <c r="V424" s="51">
        <v>8</v>
      </c>
      <c r="W424" s="51"/>
      <c r="X424" s="51"/>
      <c r="Y424" s="51"/>
      <c r="Z424" s="51"/>
      <c r="AA424" s="51"/>
      <c r="AB424" s="51"/>
      <c r="AC424" s="51"/>
      <c r="AD424" s="51"/>
      <c r="AE424" s="51"/>
      <c r="AF424" s="51"/>
      <c r="AG424" s="51"/>
      <c r="AH424" s="51"/>
      <c r="AI424" s="51"/>
      <c r="AJ424" s="51"/>
      <c r="AK424" s="51"/>
      <c r="AL424" s="51"/>
      <c r="AM424" s="51"/>
      <c r="AN424" s="51"/>
      <c r="AO424" s="51"/>
      <c r="AP424" s="51"/>
      <c r="AQ424" s="51"/>
      <c r="AR424" s="51"/>
      <c r="AS424" s="51"/>
      <c r="AT424" s="51"/>
      <c r="AU424" s="51"/>
      <c r="AV424" s="51"/>
      <c r="AW424" s="51"/>
      <c r="AX424" s="51"/>
      <c r="AY424" s="51"/>
      <c r="AZ424" s="51"/>
      <c r="BA424" s="51"/>
      <c r="BB424" s="51"/>
      <c r="BC424" s="51"/>
      <c r="BD424" s="51"/>
      <c r="BE424" s="51"/>
      <c r="BF424" s="51"/>
      <c r="BG424" s="51"/>
      <c r="BH424" s="51"/>
      <c r="BI424" s="51"/>
      <c r="BJ424" s="51"/>
      <c r="BK424" s="51"/>
      <c r="BL424" s="51"/>
      <c r="BM424" s="51"/>
      <c r="BN424" s="51"/>
      <c r="BO424" s="51"/>
      <c r="BP424" s="51"/>
      <c r="BQ424" s="51"/>
      <c r="BR424" s="9">
        <f t="shared" si="59"/>
        <v>1</v>
      </c>
      <c r="BT424" s="53" t="str">
        <f t="shared" si="60"/>
        <v>Northwest Africa 13896</v>
      </c>
      <c r="BU424" s="25"/>
    </row>
    <row r="425" spans="2:73" ht="12.75" customHeight="1" x14ac:dyDescent="0.25">
      <c r="B425" s="23"/>
      <c r="C425" s="209" t="str">
        <f>HYPERLINK("https://sites.wustl.edu/meteoritesite/items/lm_nwa_13899/",Q425)</f>
        <v>Northwest Africa 13899</v>
      </c>
      <c r="D425" s="210"/>
      <c r="E425" s="210"/>
      <c r="F425" s="211"/>
      <c r="G425" s="89">
        <v>2019</v>
      </c>
      <c r="H425" s="208" t="s">
        <v>38</v>
      </c>
      <c r="I425" s="208"/>
      <c r="J425" s="32">
        <v>5.5</v>
      </c>
      <c r="K425" s="212" t="s">
        <v>39</v>
      </c>
      <c r="L425" s="213"/>
      <c r="M425" s="32" t="s">
        <v>40</v>
      </c>
      <c r="N425" s="32" t="s">
        <v>40</v>
      </c>
      <c r="P425" s="125">
        <f t="shared" si="83"/>
        <v>5.5</v>
      </c>
      <c r="Q425" s="54" t="s">
        <v>535</v>
      </c>
      <c r="R425" s="48"/>
      <c r="S425" s="49"/>
      <c r="T425" s="50">
        <f t="shared" si="55"/>
        <v>0</v>
      </c>
      <c r="V425" s="51">
        <v>5.5</v>
      </c>
      <c r="W425" s="51"/>
      <c r="X425" s="51"/>
      <c r="Y425" s="51"/>
      <c r="Z425" s="51"/>
      <c r="AA425" s="51"/>
      <c r="AB425" s="51"/>
      <c r="AC425" s="51"/>
      <c r="AD425" s="51"/>
      <c r="AE425" s="51"/>
      <c r="AF425" s="51"/>
      <c r="AG425" s="51"/>
      <c r="AH425" s="51"/>
      <c r="AI425" s="51"/>
      <c r="AJ425" s="51"/>
      <c r="AK425" s="51"/>
      <c r="AL425" s="51"/>
      <c r="AM425" s="51"/>
      <c r="AN425" s="51"/>
      <c r="AO425" s="51"/>
      <c r="AP425" s="51"/>
      <c r="AQ425" s="51"/>
      <c r="AR425" s="51"/>
      <c r="AS425" s="51"/>
      <c r="AT425" s="51"/>
      <c r="AU425" s="51"/>
      <c r="AV425" s="51"/>
      <c r="AW425" s="51"/>
      <c r="AX425" s="51"/>
      <c r="AY425" s="51"/>
      <c r="AZ425" s="51"/>
      <c r="BA425" s="51"/>
      <c r="BB425" s="51"/>
      <c r="BC425" s="51"/>
      <c r="BD425" s="51"/>
      <c r="BE425" s="51"/>
      <c r="BF425" s="51"/>
      <c r="BG425" s="51"/>
      <c r="BH425" s="51"/>
      <c r="BI425" s="51"/>
      <c r="BJ425" s="51"/>
      <c r="BK425" s="51"/>
      <c r="BL425" s="51"/>
      <c r="BM425" s="51"/>
      <c r="BN425" s="51"/>
      <c r="BO425" s="51"/>
      <c r="BP425" s="51"/>
      <c r="BQ425" s="51"/>
      <c r="BR425" s="9">
        <f t="shared" si="59"/>
        <v>1</v>
      </c>
      <c r="BT425" s="53" t="str">
        <f t="shared" si="60"/>
        <v>Northwest Africa 13899</v>
      </c>
      <c r="BU425" s="25"/>
    </row>
    <row r="426" spans="2:73" ht="12.75" customHeight="1" x14ac:dyDescent="0.25">
      <c r="B426" s="23"/>
      <c r="C426" s="209" t="str">
        <f>HYPERLINK("https://sites.wustl.edu/meteoritesite/items/lm_nwa_13907/",Q426)</f>
        <v>Northwest Africa 13907</v>
      </c>
      <c r="D426" s="210"/>
      <c r="E426" s="210"/>
      <c r="F426" s="211"/>
      <c r="G426" s="89">
        <v>2021</v>
      </c>
      <c r="H426" s="208" t="s">
        <v>38</v>
      </c>
      <c r="I426" s="208"/>
      <c r="J426" s="33">
        <v>158</v>
      </c>
      <c r="K426" s="212" t="s">
        <v>66</v>
      </c>
      <c r="L426" s="213"/>
      <c r="M426" s="32" t="s">
        <v>40</v>
      </c>
      <c r="N426" s="32" t="s">
        <v>40</v>
      </c>
      <c r="P426" s="125">
        <f t="shared" si="83"/>
        <v>158</v>
      </c>
      <c r="Q426" s="54" t="s">
        <v>479</v>
      </c>
      <c r="R426" s="48"/>
      <c r="S426" s="49"/>
      <c r="T426" s="50">
        <f t="shared" si="55"/>
        <v>0</v>
      </c>
      <c r="V426" s="51">
        <v>158</v>
      </c>
      <c r="W426" s="51"/>
      <c r="X426" s="51"/>
      <c r="Y426" s="51"/>
      <c r="Z426" s="51"/>
      <c r="AA426" s="51"/>
      <c r="AB426" s="51"/>
      <c r="AC426" s="51"/>
      <c r="AD426" s="51"/>
      <c r="AE426" s="51"/>
      <c r="AF426" s="51"/>
      <c r="AG426" s="51"/>
      <c r="AH426" s="51"/>
      <c r="AI426" s="51"/>
      <c r="AJ426" s="51"/>
      <c r="AK426" s="51"/>
      <c r="AL426" s="51"/>
      <c r="AM426" s="51"/>
      <c r="AN426" s="51"/>
      <c r="AO426" s="51"/>
      <c r="AP426" s="51"/>
      <c r="AQ426" s="51"/>
      <c r="AR426" s="51"/>
      <c r="AS426" s="51"/>
      <c r="AT426" s="51"/>
      <c r="AU426" s="51"/>
      <c r="AV426" s="51"/>
      <c r="AW426" s="51"/>
      <c r="AX426" s="51"/>
      <c r="AY426" s="51"/>
      <c r="AZ426" s="51"/>
      <c r="BA426" s="51"/>
      <c r="BB426" s="51"/>
      <c r="BC426" s="51"/>
      <c r="BD426" s="51"/>
      <c r="BE426" s="51"/>
      <c r="BF426" s="51"/>
      <c r="BG426" s="51"/>
      <c r="BH426" s="51"/>
      <c r="BI426" s="51"/>
      <c r="BJ426" s="51"/>
      <c r="BK426" s="51"/>
      <c r="BL426" s="51"/>
      <c r="BM426" s="51"/>
      <c r="BN426" s="51"/>
      <c r="BO426" s="51"/>
      <c r="BP426" s="51"/>
      <c r="BQ426" s="51"/>
      <c r="BR426" s="9">
        <f t="shared" si="59"/>
        <v>1</v>
      </c>
      <c r="BT426" s="53" t="str">
        <f t="shared" si="60"/>
        <v>Northwest Africa 13907</v>
      </c>
      <c r="BU426" s="25"/>
    </row>
    <row r="427" spans="2:73" ht="12.75" customHeight="1" x14ac:dyDescent="0.25">
      <c r="B427" s="23"/>
      <c r="C427" s="209" t="str">
        <f>HYPERLINK("https://sites.wustl.edu/meteoritesite/items/lm_nwa_13916/",Q427)</f>
        <v>Northwest Africa 13916</v>
      </c>
      <c r="D427" s="210"/>
      <c r="E427" s="210"/>
      <c r="F427" s="211"/>
      <c r="G427" s="89">
        <v>2021</v>
      </c>
      <c r="H427" s="208" t="s">
        <v>38</v>
      </c>
      <c r="I427" s="208"/>
      <c r="J427" s="62">
        <v>175.38</v>
      </c>
      <c r="K427" s="212" t="s">
        <v>66</v>
      </c>
      <c r="L427" s="213"/>
      <c r="M427" s="32" t="s">
        <v>40</v>
      </c>
      <c r="N427" s="32" t="s">
        <v>40</v>
      </c>
      <c r="P427" s="125">
        <f t="shared" si="83"/>
        <v>175.38</v>
      </c>
      <c r="Q427" s="54" t="s">
        <v>480</v>
      </c>
      <c r="R427" s="48"/>
      <c r="S427" s="49"/>
      <c r="T427" s="50">
        <f t="shared" si="55"/>
        <v>0</v>
      </c>
      <c r="V427" s="51">
        <v>175.38</v>
      </c>
      <c r="W427" s="51"/>
      <c r="X427" s="51"/>
      <c r="Y427" s="51"/>
      <c r="Z427" s="51"/>
      <c r="AA427" s="51"/>
      <c r="AB427" s="51"/>
      <c r="AC427" s="51"/>
      <c r="AD427" s="51"/>
      <c r="AE427" s="51"/>
      <c r="AF427" s="51"/>
      <c r="AG427" s="51"/>
      <c r="AH427" s="51"/>
      <c r="AI427" s="51"/>
      <c r="AJ427" s="51"/>
      <c r="AK427" s="51"/>
      <c r="AL427" s="51"/>
      <c r="AM427" s="51"/>
      <c r="AN427" s="51"/>
      <c r="AO427" s="51"/>
      <c r="AP427" s="51"/>
      <c r="AQ427" s="51"/>
      <c r="AR427" s="51"/>
      <c r="AS427" s="51"/>
      <c r="AT427" s="51"/>
      <c r="AU427" s="51"/>
      <c r="AV427" s="51"/>
      <c r="AW427" s="51"/>
      <c r="AX427" s="51"/>
      <c r="AY427" s="51"/>
      <c r="AZ427" s="51"/>
      <c r="BA427" s="51"/>
      <c r="BB427" s="51"/>
      <c r="BC427" s="51"/>
      <c r="BD427" s="51"/>
      <c r="BE427" s="51"/>
      <c r="BF427" s="51"/>
      <c r="BG427" s="51"/>
      <c r="BH427" s="51"/>
      <c r="BI427" s="51"/>
      <c r="BJ427" s="51"/>
      <c r="BK427" s="51"/>
      <c r="BL427" s="51"/>
      <c r="BM427" s="51"/>
      <c r="BN427" s="51"/>
      <c r="BO427" s="51"/>
      <c r="BP427" s="51"/>
      <c r="BQ427" s="51"/>
      <c r="BR427" s="9">
        <f t="shared" si="59"/>
        <v>1</v>
      </c>
      <c r="BT427" s="53" t="str">
        <f t="shared" si="60"/>
        <v>Northwest Africa 13916</v>
      </c>
      <c r="BU427" s="25"/>
    </row>
    <row r="428" spans="2:73" ht="12.75" customHeight="1" x14ac:dyDescent="0.25">
      <c r="B428" s="23"/>
      <c r="C428" s="209" t="str">
        <f>HYPERLINK("https://sites.wustl.edu/meteoritesite/items/lm_nwa_13930/",Q428)</f>
        <v>Northwest Africa 13930</v>
      </c>
      <c r="D428" s="210"/>
      <c r="E428" s="210"/>
      <c r="F428" s="211"/>
      <c r="G428" s="89">
        <v>2020</v>
      </c>
      <c r="H428" s="208" t="s">
        <v>38</v>
      </c>
      <c r="I428" s="208"/>
      <c r="J428" s="33">
        <v>92</v>
      </c>
      <c r="K428" s="212" t="s">
        <v>66</v>
      </c>
      <c r="L428" s="213"/>
      <c r="M428" s="32" t="s">
        <v>40</v>
      </c>
      <c r="N428" s="32" t="s">
        <v>40</v>
      </c>
      <c r="P428" s="125">
        <f t="shared" si="83"/>
        <v>92</v>
      </c>
      <c r="Q428" s="54" t="s">
        <v>484</v>
      </c>
      <c r="R428" s="48"/>
      <c r="S428" s="49"/>
      <c r="T428" s="50">
        <f t="shared" si="55"/>
        <v>0</v>
      </c>
      <c r="V428" s="51">
        <v>92</v>
      </c>
      <c r="W428" s="51"/>
      <c r="X428" s="51"/>
      <c r="Y428" s="51"/>
      <c r="Z428" s="51"/>
      <c r="AA428" s="51"/>
      <c r="AB428" s="51"/>
      <c r="AC428" s="51"/>
      <c r="AD428" s="51"/>
      <c r="AE428" s="51"/>
      <c r="AF428" s="51"/>
      <c r="AG428" s="51"/>
      <c r="AH428" s="51"/>
      <c r="AI428" s="51"/>
      <c r="AJ428" s="51"/>
      <c r="AK428" s="51"/>
      <c r="AL428" s="51"/>
      <c r="AM428" s="51"/>
      <c r="AN428" s="51"/>
      <c r="AO428" s="51"/>
      <c r="AP428" s="51"/>
      <c r="AQ428" s="51"/>
      <c r="AR428" s="51"/>
      <c r="AS428" s="51"/>
      <c r="AT428" s="51"/>
      <c r="AU428" s="51"/>
      <c r="AV428" s="51"/>
      <c r="AW428" s="51"/>
      <c r="AX428" s="51"/>
      <c r="AY428" s="51"/>
      <c r="AZ428" s="51"/>
      <c r="BA428" s="51"/>
      <c r="BB428" s="51"/>
      <c r="BC428" s="51"/>
      <c r="BD428" s="51"/>
      <c r="BE428" s="51"/>
      <c r="BF428" s="51"/>
      <c r="BG428" s="51"/>
      <c r="BH428" s="51"/>
      <c r="BI428" s="51"/>
      <c r="BJ428" s="51"/>
      <c r="BK428" s="51"/>
      <c r="BL428" s="51"/>
      <c r="BM428" s="51"/>
      <c r="BN428" s="51"/>
      <c r="BO428" s="51"/>
      <c r="BP428" s="51"/>
      <c r="BQ428" s="51"/>
      <c r="BR428" s="9">
        <f t="shared" ref="BR428:BR663" si="137">COUNT(V428:BQ428)</f>
        <v>1</v>
      </c>
      <c r="BT428" s="53" t="str">
        <f t="shared" ref="BT428:BT663" si="138">Q428</f>
        <v>Northwest Africa 13930</v>
      </c>
      <c r="BU428" s="25"/>
    </row>
    <row r="429" spans="2:73" ht="12.75" customHeight="1" x14ac:dyDescent="0.25">
      <c r="B429" s="23"/>
      <c r="C429" s="209" t="str">
        <f>HYPERLINK("https://sites.wustl.edu/meteoritesite/items/lm_nwa_13937/",Q429)</f>
        <v>Northwest Africa 13937</v>
      </c>
      <c r="D429" s="210"/>
      <c r="E429" s="210"/>
      <c r="F429" s="211"/>
      <c r="G429" s="89">
        <v>2021</v>
      </c>
      <c r="H429" s="208" t="s">
        <v>38</v>
      </c>
      <c r="I429" s="208"/>
      <c r="J429" s="33">
        <v>1000</v>
      </c>
      <c r="K429" s="212" t="s">
        <v>39</v>
      </c>
      <c r="L429" s="213"/>
      <c r="M429" s="32" t="s">
        <v>40</v>
      </c>
      <c r="N429" s="32" t="s">
        <v>40</v>
      </c>
      <c r="P429" s="125">
        <f t="shared" si="83"/>
        <v>1000</v>
      </c>
      <c r="Q429" s="54" t="s">
        <v>490</v>
      </c>
      <c r="R429" s="48"/>
      <c r="S429" s="49"/>
      <c r="T429" s="50">
        <f t="shared" si="55"/>
        <v>0</v>
      </c>
      <c r="V429" s="51">
        <v>1000</v>
      </c>
      <c r="W429" s="51"/>
      <c r="X429" s="51"/>
      <c r="Y429" s="51"/>
      <c r="Z429" s="51"/>
      <c r="AA429" s="51"/>
      <c r="AB429" s="51"/>
      <c r="AC429" s="51"/>
      <c r="AD429" s="51"/>
      <c r="AE429" s="51"/>
      <c r="AF429" s="51"/>
      <c r="AG429" s="51"/>
      <c r="AH429" s="51"/>
      <c r="AI429" s="51"/>
      <c r="AJ429" s="51"/>
      <c r="AK429" s="51"/>
      <c r="AL429" s="51"/>
      <c r="AM429" s="51"/>
      <c r="AN429" s="51"/>
      <c r="AO429" s="51"/>
      <c r="AP429" s="51"/>
      <c r="AQ429" s="51"/>
      <c r="AR429" s="51"/>
      <c r="AS429" s="51"/>
      <c r="AT429" s="51"/>
      <c r="AU429" s="51"/>
      <c r="AV429" s="51"/>
      <c r="AW429" s="51"/>
      <c r="AX429" s="51"/>
      <c r="AY429" s="51"/>
      <c r="AZ429" s="51"/>
      <c r="BA429" s="51"/>
      <c r="BB429" s="51"/>
      <c r="BC429" s="51"/>
      <c r="BD429" s="51"/>
      <c r="BE429" s="51"/>
      <c r="BF429" s="51"/>
      <c r="BG429" s="51"/>
      <c r="BH429" s="51"/>
      <c r="BI429" s="51"/>
      <c r="BJ429" s="51"/>
      <c r="BK429" s="51"/>
      <c r="BL429" s="51"/>
      <c r="BM429" s="51"/>
      <c r="BN429" s="51"/>
      <c r="BO429" s="51"/>
      <c r="BP429" s="51"/>
      <c r="BQ429" s="51"/>
      <c r="BR429" s="9">
        <f t="shared" si="137"/>
        <v>1</v>
      </c>
      <c r="BT429" s="53" t="str">
        <f t="shared" si="138"/>
        <v>Northwest Africa 13937</v>
      </c>
      <c r="BU429" s="25"/>
    </row>
    <row r="430" spans="2:73" ht="12.75" customHeight="1" x14ac:dyDescent="0.25">
      <c r="B430" s="23"/>
      <c r="C430" s="209" t="str">
        <f>HYPERLINK("https://sites.wustl.edu/meteoritesite/items/lm_nwa_13942/",Q430)</f>
        <v>Northwest Africa 13942</v>
      </c>
      <c r="D430" s="210"/>
      <c r="E430" s="210"/>
      <c r="F430" s="211"/>
      <c r="G430" s="89">
        <v>2021</v>
      </c>
      <c r="H430" s="208" t="s">
        <v>616</v>
      </c>
      <c r="I430" s="208"/>
      <c r="J430" s="33">
        <v>1036</v>
      </c>
      <c r="K430" s="212" t="s">
        <v>66</v>
      </c>
      <c r="L430" s="213"/>
      <c r="M430" s="32" t="s">
        <v>40</v>
      </c>
      <c r="N430" s="32" t="s">
        <v>40</v>
      </c>
      <c r="P430" s="125">
        <f t="shared" si="83"/>
        <v>1036</v>
      </c>
      <c r="Q430" s="54" t="s">
        <v>485</v>
      </c>
      <c r="R430" s="48"/>
      <c r="S430" s="49"/>
      <c r="T430" s="50">
        <f t="shared" si="55"/>
        <v>0</v>
      </c>
      <c r="V430" s="51">
        <v>1036</v>
      </c>
      <c r="W430" s="51"/>
      <c r="X430" s="51"/>
      <c r="Y430" s="51"/>
      <c r="Z430" s="51"/>
      <c r="AA430" s="51"/>
      <c r="AB430" s="51"/>
      <c r="AC430" s="51"/>
      <c r="AD430" s="51"/>
      <c r="AE430" s="51"/>
      <c r="AF430" s="51"/>
      <c r="AG430" s="51"/>
      <c r="AH430" s="51"/>
      <c r="AI430" s="51"/>
      <c r="AJ430" s="51"/>
      <c r="AK430" s="51"/>
      <c r="AL430" s="51"/>
      <c r="AM430" s="51"/>
      <c r="AN430" s="51"/>
      <c r="AO430" s="51"/>
      <c r="AP430" s="51"/>
      <c r="AQ430" s="51"/>
      <c r="AR430" s="51"/>
      <c r="AS430" s="51"/>
      <c r="AT430" s="51"/>
      <c r="AU430" s="51"/>
      <c r="AV430" s="51"/>
      <c r="AW430" s="51"/>
      <c r="AX430" s="51"/>
      <c r="AY430" s="51"/>
      <c r="AZ430" s="51"/>
      <c r="BA430" s="51"/>
      <c r="BB430" s="51"/>
      <c r="BC430" s="51"/>
      <c r="BD430" s="51"/>
      <c r="BE430" s="51"/>
      <c r="BF430" s="51"/>
      <c r="BG430" s="51"/>
      <c r="BH430" s="51"/>
      <c r="BI430" s="51"/>
      <c r="BJ430" s="51"/>
      <c r="BK430" s="51"/>
      <c r="BL430" s="51"/>
      <c r="BM430" s="51"/>
      <c r="BN430" s="51"/>
      <c r="BO430" s="51"/>
      <c r="BP430" s="51"/>
      <c r="BQ430" s="51"/>
      <c r="BR430" s="9">
        <f t="shared" si="137"/>
        <v>1</v>
      </c>
      <c r="BT430" s="53" t="str">
        <f t="shared" si="138"/>
        <v>Northwest Africa 13942</v>
      </c>
      <c r="BU430" s="25"/>
    </row>
    <row r="431" spans="2:73" ht="12.75" customHeight="1" x14ac:dyDescent="0.25">
      <c r="B431" s="23"/>
      <c r="C431" s="209" t="str">
        <f>HYPERLINK("https://sites.wustl.edu/meteoritesite/items/lm_nwa_13951/",Q431)</f>
        <v>Northwest Africa 13951</v>
      </c>
      <c r="D431" s="210"/>
      <c r="E431" s="210"/>
      <c r="F431" s="211"/>
      <c r="G431" s="89">
        <v>2021</v>
      </c>
      <c r="H431" s="214" t="s">
        <v>396</v>
      </c>
      <c r="I431" s="215"/>
      <c r="J431" s="33">
        <v>4300</v>
      </c>
      <c r="K431" s="212" t="s">
        <v>51</v>
      </c>
      <c r="L431" s="213"/>
      <c r="M431" s="32" t="s">
        <v>40</v>
      </c>
      <c r="N431" s="32" t="s">
        <v>40</v>
      </c>
      <c r="P431" s="125">
        <f t="shared" si="83"/>
        <v>4300</v>
      </c>
      <c r="Q431" s="54" t="s">
        <v>486</v>
      </c>
      <c r="R431" s="48"/>
      <c r="S431" s="49"/>
      <c r="T431" s="50">
        <f t="shared" ref="T431:T666" si="139">J431-P431</f>
        <v>0</v>
      </c>
      <c r="V431" s="51">
        <v>4300</v>
      </c>
      <c r="W431" s="51"/>
      <c r="X431" s="51"/>
      <c r="Y431" s="51"/>
      <c r="Z431" s="51"/>
      <c r="AA431" s="51"/>
      <c r="AB431" s="51"/>
      <c r="AC431" s="51"/>
      <c r="AD431" s="51"/>
      <c r="AE431" s="51"/>
      <c r="AF431" s="51"/>
      <c r="AG431" s="51"/>
      <c r="AH431" s="51"/>
      <c r="AI431" s="51"/>
      <c r="AJ431" s="51"/>
      <c r="AK431" s="51"/>
      <c r="AL431" s="51"/>
      <c r="AM431" s="51"/>
      <c r="AN431" s="51"/>
      <c r="AO431" s="51"/>
      <c r="AP431" s="51"/>
      <c r="AQ431" s="51"/>
      <c r="AR431" s="51"/>
      <c r="AS431" s="51"/>
      <c r="AT431" s="51"/>
      <c r="AU431" s="51"/>
      <c r="AV431" s="51"/>
      <c r="AW431" s="51"/>
      <c r="AX431" s="51"/>
      <c r="AY431" s="51"/>
      <c r="AZ431" s="51"/>
      <c r="BA431" s="51"/>
      <c r="BB431" s="51"/>
      <c r="BC431" s="51"/>
      <c r="BD431" s="51"/>
      <c r="BE431" s="51"/>
      <c r="BF431" s="51"/>
      <c r="BG431" s="51"/>
      <c r="BH431" s="51"/>
      <c r="BI431" s="51"/>
      <c r="BJ431" s="51"/>
      <c r="BK431" s="51"/>
      <c r="BL431" s="51"/>
      <c r="BM431" s="51"/>
      <c r="BN431" s="51"/>
      <c r="BO431" s="51"/>
      <c r="BP431" s="51"/>
      <c r="BQ431" s="51"/>
      <c r="BR431" s="9">
        <f t="shared" si="137"/>
        <v>1</v>
      </c>
      <c r="BT431" s="53" t="str">
        <f t="shared" si="138"/>
        <v>Northwest Africa 13951</v>
      </c>
      <c r="BU431" s="25"/>
    </row>
    <row r="432" spans="2:73" ht="12.75" customHeight="1" x14ac:dyDescent="0.25">
      <c r="B432" s="23"/>
      <c r="C432" s="209" t="str">
        <f>HYPERLINK("https://sites.wustl.edu/meteoritesite/items/lm_nwa_13957/",Q432)</f>
        <v>Northwest Africa 13957</v>
      </c>
      <c r="D432" s="210"/>
      <c r="E432" s="210"/>
      <c r="F432" s="211"/>
      <c r="G432" s="89">
        <v>2019</v>
      </c>
      <c r="H432" s="208" t="s">
        <v>38</v>
      </c>
      <c r="I432" s="208"/>
      <c r="J432" s="33">
        <v>190</v>
      </c>
      <c r="K432" s="212" t="s">
        <v>39</v>
      </c>
      <c r="L432" s="213"/>
      <c r="M432" s="32" t="s">
        <v>40</v>
      </c>
      <c r="N432" s="32" t="s">
        <v>40</v>
      </c>
      <c r="P432" s="125">
        <f t="shared" ref="P432:P499" si="140">SUM(V432:BQ432)</f>
        <v>190</v>
      </c>
      <c r="Q432" s="54" t="s">
        <v>487</v>
      </c>
      <c r="R432" s="48"/>
      <c r="S432" s="49"/>
      <c r="T432" s="50">
        <f t="shared" si="139"/>
        <v>0</v>
      </c>
      <c r="V432" s="51">
        <v>190</v>
      </c>
      <c r="W432" s="51"/>
      <c r="X432" s="51"/>
      <c r="Y432" s="51"/>
      <c r="Z432" s="51"/>
      <c r="AA432" s="51"/>
      <c r="AB432" s="51"/>
      <c r="AC432" s="51"/>
      <c r="AD432" s="51"/>
      <c r="AE432" s="51"/>
      <c r="AF432" s="51"/>
      <c r="AG432" s="51"/>
      <c r="AH432" s="51"/>
      <c r="AI432" s="51"/>
      <c r="AJ432" s="51"/>
      <c r="AK432" s="51"/>
      <c r="AL432" s="51"/>
      <c r="AM432" s="51"/>
      <c r="AN432" s="51"/>
      <c r="AO432" s="51"/>
      <c r="AP432" s="51"/>
      <c r="AQ432" s="51"/>
      <c r="AR432" s="51"/>
      <c r="AS432" s="51"/>
      <c r="AT432" s="51"/>
      <c r="AU432" s="51"/>
      <c r="AV432" s="51"/>
      <c r="AW432" s="51"/>
      <c r="AX432" s="51"/>
      <c r="AY432" s="51"/>
      <c r="AZ432" s="51"/>
      <c r="BA432" s="51"/>
      <c r="BB432" s="51"/>
      <c r="BC432" s="51"/>
      <c r="BD432" s="51"/>
      <c r="BE432" s="51"/>
      <c r="BF432" s="51"/>
      <c r="BG432" s="51"/>
      <c r="BH432" s="51"/>
      <c r="BI432" s="51"/>
      <c r="BJ432" s="51"/>
      <c r="BK432" s="51"/>
      <c r="BL432" s="51"/>
      <c r="BM432" s="51"/>
      <c r="BN432" s="51"/>
      <c r="BO432" s="51"/>
      <c r="BP432" s="51"/>
      <c r="BQ432" s="51"/>
      <c r="BR432" s="9">
        <f t="shared" si="137"/>
        <v>1</v>
      </c>
      <c r="BT432" s="53" t="str">
        <f t="shared" si="138"/>
        <v>Northwest Africa 13957</v>
      </c>
      <c r="BU432" s="25"/>
    </row>
    <row r="433" spans="1:73" ht="12.75" customHeight="1" x14ac:dyDescent="0.25">
      <c r="B433" s="23"/>
      <c r="C433" s="209" t="str">
        <f>HYPERLINK("https://sites.wustl.edu/meteoritesite/items/lm_nwa_13964/",Q433)</f>
        <v>Northwest Africa 13964</v>
      </c>
      <c r="D433" s="210"/>
      <c r="E433" s="210"/>
      <c r="F433" s="211"/>
      <c r="G433" s="89">
        <v>2021</v>
      </c>
      <c r="H433" s="214" t="s">
        <v>396</v>
      </c>
      <c r="I433" s="215"/>
      <c r="J433" s="33">
        <v>6500</v>
      </c>
      <c r="K433" s="212" t="s">
        <v>66</v>
      </c>
      <c r="L433" s="213"/>
      <c r="M433" s="32" t="s">
        <v>40</v>
      </c>
      <c r="N433" s="32" t="s">
        <v>40</v>
      </c>
      <c r="P433" s="125">
        <f t="shared" si="140"/>
        <v>6500</v>
      </c>
      <c r="Q433" s="54" t="s">
        <v>497</v>
      </c>
      <c r="R433" s="48"/>
      <c r="S433" s="49"/>
      <c r="T433" s="50">
        <f t="shared" si="139"/>
        <v>0</v>
      </c>
      <c r="V433" s="51">
        <v>6500</v>
      </c>
      <c r="W433" s="51"/>
      <c r="X433" s="51"/>
      <c r="Y433" s="51"/>
      <c r="Z433" s="51"/>
      <c r="AA433" s="51"/>
      <c r="AB433" s="51"/>
      <c r="AC433" s="51"/>
      <c r="AD433" s="51"/>
      <c r="AE433" s="51"/>
      <c r="AF433" s="51"/>
      <c r="AG433" s="51"/>
      <c r="AH433" s="51"/>
      <c r="AI433" s="51"/>
      <c r="AJ433" s="51"/>
      <c r="AK433" s="51"/>
      <c r="AL433" s="51"/>
      <c r="AM433" s="51"/>
      <c r="AN433" s="51"/>
      <c r="AO433" s="51"/>
      <c r="AP433" s="51"/>
      <c r="AQ433" s="51"/>
      <c r="AR433" s="51"/>
      <c r="AS433" s="51"/>
      <c r="AT433" s="51"/>
      <c r="AU433" s="51"/>
      <c r="AV433" s="51"/>
      <c r="AW433" s="51"/>
      <c r="AX433" s="51"/>
      <c r="AY433" s="51"/>
      <c r="AZ433" s="51"/>
      <c r="BA433" s="51"/>
      <c r="BB433" s="51"/>
      <c r="BC433" s="51"/>
      <c r="BD433" s="51"/>
      <c r="BE433" s="51"/>
      <c r="BF433" s="51"/>
      <c r="BG433" s="51"/>
      <c r="BH433" s="51"/>
      <c r="BI433" s="51"/>
      <c r="BJ433" s="51"/>
      <c r="BK433" s="51"/>
      <c r="BL433" s="51"/>
      <c r="BM433" s="51"/>
      <c r="BN433" s="51"/>
      <c r="BO433" s="51"/>
      <c r="BP433" s="51"/>
      <c r="BQ433" s="51"/>
      <c r="BR433" s="9">
        <f t="shared" si="137"/>
        <v>1</v>
      </c>
      <c r="BT433" s="53" t="str">
        <f t="shared" si="138"/>
        <v>Northwest Africa 13964</v>
      </c>
      <c r="BU433" s="25"/>
    </row>
    <row r="434" spans="1:73" ht="12.75" customHeight="1" x14ac:dyDescent="0.25">
      <c r="B434" s="23"/>
      <c r="C434" s="209" t="str">
        <f>HYPERLINK("https://sites.wustl.edu/meteoritesite/items/lm_nwa_13967/",Q434)</f>
        <v>Northwest Africa 13967</v>
      </c>
      <c r="D434" s="210"/>
      <c r="E434" s="210"/>
      <c r="F434" s="211"/>
      <c r="G434" s="89">
        <v>2015</v>
      </c>
      <c r="H434" s="214" t="s">
        <v>396</v>
      </c>
      <c r="I434" s="215"/>
      <c r="J434" s="32">
        <v>251.8</v>
      </c>
      <c r="K434" s="212" t="s">
        <v>39</v>
      </c>
      <c r="L434" s="213"/>
      <c r="M434" s="32" t="s">
        <v>40</v>
      </c>
      <c r="N434" s="32" t="s">
        <v>40</v>
      </c>
      <c r="P434" s="125">
        <f t="shared" si="140"/>
        <v>251.8</v>
      </c>
      <c r="Q434" s="54" t="s">
        <v>501</v>
      </c>
      <c r="R434" s="48"/>
      <c r="S434" s="49"/>
      <c r="T434" s="50">
        <f t="shared" si="139"/>
        <v>0</v>
      </c>
      <c r="V434" s="51">
        <v>251.8</v>
      </c>
      <c r="W434" s="51"/>
      <c r="X434" s="51"/>
      <c r="Y434" s="51"/>
      <c r="Z434" s="51"/>
      <c r="AA434" s="51"/>
      <c r="AB434" s="51"/>
      <c r="AC434" s="51"/>
      <c r="AD434" s="51"/>
      <c r="AE434" s="51"/>
      <c r="AF434" s="51"/>
      <c r="AG434" s="51"/>
      <c r="AH434" s="51"/>
      <c r="AI434" s="51"/>
      <c r="AJ434" s="51"/>
      <c r="AK434" s="51"/>
      <c r="AL434" s="51"/>
      <c r="AM434" s="51"/>
      <c r="AN434" s="51"/>
      <c r="AO434" s="51"/>
      <c r="AP434" s="51"/>
      <c r="AQ434" s="51"/>
      <c r="AR434" s="51"/>
      <c r="AS434" s="51"/>
      <c r="AT434" s="51"/>
      <c r="AU434" s="51"/>
      <c r="AV434" s="51"/>
      <c r="AW434" s="51"/>
      <c r="AX434" s="51"/>
      <c r="AY434" s="51"/>
      <c r="AZ434" s="51"/>
      <c r="BA434" s="51"/>
      <c r="BB434" s="51"/>
      <c r="BC434" s="51"/>
      <c r="BD434" s="51"/>
      <c r="BE434" s="51"/>
      <c r="BF434" s="51"/>
      <c r="BG434" s="51"/>
      <c r="BH434" s="51"/>
      <c r="BI434" s="51"/>
      <c r="BJ434" s="51"/>
      <c r="BK434" s="51"/>
      <c r="BL434" s="51"/>
      <c r="BM434" s="51"/>
      <c r="BN434" s="51"/>
      <c r="BO434" s="51"/>
      <c r="BP434" s="51"/>
      <c r="BQ434" s="51"/>
      <c r="BR434" s="9">
        <f t="shared" si="137"/>
        <v>1</v>
      </c>
      <c r="BT434" s="53" t="str">
        <f t="shared" si="138"/>
        <v>Northwest Africa 13967</v>
      </c>
      <c r="BU434" s="25"/>
    </row>
    <row r="435" spans="1:73" ht="12.75" customHeight="1" x14ac:dyDescent="0.25">
      <c r="B435" s="23"/>
      <c r="C435" s="209" t="str">
        <f>HYPERLINK("https://sites.wustl.edu/meteoritesite/items/lm_nwa_13974/",Q435)</f>
        <v>Northwest Africa 13974</v>
      </c>
      <c r="D435" s="210"/>
      <c r="E435" s="210"/>
      <c r="F435" s="211"/>
      <c r="G435" s="89">
        <v>2021</v>
      </c>
      <c r="H435" s="208" t="s">
        <v>616</v>
      </c>
      <c r="I435" s="208"/>
      <c r="J435" s="33">
        <v>7940</v>
      </c>
      <c r="K435" s="212" t="s">
        <v>39</v>
      </c>
      <c r="L435" s="213"/>
      <c r="M435" s="32" t="s">
        <v>40</v>
      </c>
      <c r="N435" s="32" t="s">
        <v>40</v>
      </c>
      <c r="P435" s="125">
        <f t="shared" si="140"/>
        <v>7940</v>
      </c>
      <c r="Q435" s="54" t="s">
        <v>491</v>
      </c>
      <c r="R435" s="48"/>
      <c r="S435" s="49"/>
      <c r="T435" s="50">
        <f t="shared" si="139"/>
        <v>0</v>
      </c>
      <c r="V435" s="51">
        <v>7940</v>
      </c>
      <c r="W435" s="51"/>
      <c r="X435" s="51"/>
      <c r="Y435" s="51"/>
      <c r="Z435" s="51"/>
      <c r="AA435" s="51"/>
      <c r="AB435" s="51"/>
      <c r="AC435" s="51"/>
      <c r="AD435" s="51"/>
      <c r="AE435" s="51"/>
      <c r="AF435" s="51"/>
      <c r="AG435" s="51"/>
      <c r="AH435" s="51"/>
      <c r="AI435" s="51"/>
      <c r="AJ435" s="51"/>
      <c r="AK435" s="51"/>
      <c r="AL435" s="51"/>
      <c r="AM435" s="51"/>
      <c r="AN435" s="51"/>
      <c r="AO435" s="51"/>
      <c r="AP435" s="51"/>
      <c r="AQ435" s="51"/>
      <c r="AR435" s="51"/>
      <c r="AS435" s="51"/>
      <c r="AT435" s="51"/>
      <c r="AU435" s="51"/>
      <c r="AV435" s="51"/>
      <c r="AW435" s="51"/>
      <c r="AX435" s="51"/>
      <c r="AY435" s="51"/>
      <c r="AZ435" s="51"/>
      <c r="BA435" s="51"/>
      <c r="BB435" s="51"/>
      <c r="BC435" s="51"/>
      <c r="BD435" s="51"/>
      <c r="BE435" s="51"/>
      <c r="BF435" s="51"/>
      <c r="BG435" s="51"/>
      <c r="BH435" s="51"/>
      <c r="BI435" s="51"/>
      <c r="BJ435" s="51"/>
      <c r="BK435" s="51"/>
      <c r="BL435" s="51"/>
      <c r="BM435" s="51"/>
      <c r="BN435" s="51"/>
      <c r="BO435" s="51"/>
      <c r="BP435" s="51"/>
      <c r="BQ435" s="51"/>
      <c r="BR435" s="9">
        <f t="shared" si="137"/>
        <v>1</v>
      </c>
      <c r="BT435" s="53" t="str">
        <f t="shared" si="138"/>
        <v>Northwest Africa 13974</v>
      </c>
      <c r="BU435" s="25"/>
    </row>
    <row r="436" spans="1:73" ht="12.75" customHeight="1" x14ac:dyDescent="0.25">
      <c r="B436" s="23"/>
      <c r="C436" s="209" t="str">
        <f>HYPERLINK("https://sites.wustl.edu/meteoritesite/items/lm_nwa_13979/",Q436)</f>
        <v>Northwest Africa 13979</v>
      </c>
      <c r="D436" s="210"/>
      <c r="E436" s="210"/>
      <c r="F436" s="211"/>
      <c r="G436" s="89" t="s">
        <v>496</v>
      </c>
      <c r="H436" s="208" t="s">
        <v>38</v>
      </c>
      <c r="I436" s="208"/>
      <c r="J436" s="33">
        <v>1321</v>
      </c>
      <c r="K436" s="212" t="s">
        <v>39</v>
      </c>
      <c r="L436" s="213"/>
      <c r="M436" s="32" t="s">
        <v>40</v>
      </c>
      <c r="N436" s="32" t="s">
        <v>40</v>
      </c>
      <c r="P436" s="125">
        <f t="shared" si="140"/>
        <v>1321</v>
      </c>
      <c r="Q436" s="54" t="s">
        <v>492</v>
      </c>
      <c r="R436" s="48"/>
      <c r="S436" s="49"/>
      <c r="T436" s="50">
        <f t="shared" si="139"/>
        <v>0</v>
      </c>
      <c r="V436" s="51">
        <v>1321</v>
      </c>
      <c r="W436" s="51"/>
      <c r="X436" s="51"/>
      <c r="Y436" s="51"/>
      <c r="Z436" s="51"/>
      <c r="AA436" s="51"/>
      <c r="AB436" s="51"/>
      <c r="AC436" s="51"/>
      <c r="AD436" s="51"/>
      <c r="AE436" s="51"/>
      <c r="AF436" s="51"/>
      <c r="AG436" s="51"/>
      <c r="AH436" s="51"/>
      <c r="AI436" s="51"/>
      <c r="AJ436" s="51"/>
      <c r="AK436" s="51"/>
      <c r="AL436" s="51"/>
      <c r="AM436" s="51"/>
      <c r="AN436" s="51"/>
      <c r="AO436" s="51"/>
      <c r="AP436" s="51"/>
      <c r="AQ436" s="51"/>
      <c r="AR436" s="51"/>
      <c r="AS436" s="51"/>
      <c r="AT436" s="51"/>
      <c r="AU436" s="51"/>
      <c r="AV436" s="51"/>
      <c r="AW436" s="51"/>
      <c r="AX436" s="51"/>
      <c r="AY436" s="51"/>
      <c r="AZ436" s="51"/>
      <c r="BA436" s="51"/>
      <c r="BB436" s="51"/>
      <c r="BC436" s="51"/>
      <c r="BD436" s="51"/>
      <c r="BE436" s="51"/>
      <c r="BF436" s="51"/>
      <c r="BG436" s="51"/>
      <c r="BH436" s="51"/>
      <c r="BI436" s="51"/>
      <c r="BJ436" s="51"/>
      <c r="BK436" s="51"/>
      <c r="BL436" s="51"/>
      <c r="BM436" s="51"/>
      <c r="BN436" s="51"/>
      <c r="BO436" s="51"/>
      <c r="BP436" s="51"/>
      <c r="BQ436" s="51"/>
      <c r="BR436" s="9">
        <f t="shared" si="137"/>
        <v>1</v>
      </c>
      <c r="BT436" s="53" t="str">
        <f t="shared" si="138"/>
        <v>Northwest Africa 13979</v>
      </c>
      <c r="BU436" s="25"/>
    </row>
    <row r="437" spans="1:73" ht="12.75" customHeight="1" x14ac:dyDescent="0.25">
      <c r="B437" s="23"/>
      <c r="C437" s="209" t="str">
        <f>HYPERLINK("https://sites.wustl.edu/meteoritesite/items/lm_nwa_13989/",Q437)</f>
        <v>Northwest Africa 13989</v>
      </c>
      <c r="D437" s="210"/>
      <c r="E437" s="210"/>
      <c r="F437" s="211"/>
      <c r="G437" s="89">
        <v>2021</v>
      </c>
      <c r="H437" s="208" t="s">
        <v>38</v>
      </c>
      <c r="I437" s="208"/>
      <c r="J437" s="32">
        <v>296.8</v>
      </c>
      <c r="K437" s="212" t="s">
        <v>39</v>
      </c>
      <c r="L437" s="213"/>
      <c r="M437" s="32" t="s">
        <v>40</v>
      </c>
      <c r="N437" s="32" t="s">
        <v>40</v>
      </c>
      <c r="P437" s="125">
        <f t="shared" si="140"/>
        <v>296.8</v>
      </c>
      <c r="Q437" s="54" t="s">
        <v>493</v>
      </c>
      <c r="R437" s="48"/>
      <c r="S437" s="49"/>
      <c r="T437" s="50">
        <f t="shared" si="139"/>
        <v>0</v>
      </c>
      <c r="V437" s="51">
        <v>296.8</v>
      </c>
      <c r="W437" s="51"/>
      <c r="X437" s="51"/>
      <c r="Y437" s="51"/>
      <c r="Z437" s="51"/>
      <c r="AA437" s="51"/>
      <c r="AB437" s="51"/>
      <c r="AC437" s="51"/>
      <c r="AD437" s="51"/>
      <c r="AE437" s="51"/>
      <c r="AF437" s="51"/>
      <c r="AG437" s="51"/>
      <c r="AH437" s="51"/>
      <c r="AI437" s="51"/>
      <c r="AJ437" s="51"/>
      <c r="AK437" s="51"/>
      <c r="AL437" s="51"/>
      <c r="AM437" s="51"/>
      <c r="AN437" s="51"/>
      <c r="AO437" s="51"/>
      <c r="AP437" s="51"/>
      <c r="AQ437" s="51"/>
      <c r="AR437" s="51"/>
      <c r="AS437" s="51"/>
      <c r="AT437" s="51"/>
      <c r="AU437" s="51"/>
      <c r="AV437" s="51"/>
      <c r="AW437" s="51"/>
      <c r="AX437" s="51"/>
      <c r="AY437" s="51"/>
      <c r="AZ437" s="51"/>
      <c r="BA437" s="51"/>
      <c r="BB437" s="51"/>
      <c r="BC437" s="51"/>
      <c r="BD437" s="51"/>
      <c r="BE437" s="51"/>
      <c r="BF437" s="51"/>
      <c r="BG437" s="51"/>
      <c r="BH437" s="51"/>
      <c r="BI437" s="51"/>
      <c r="BJ437" s="51"/>
      <c r="BK437" s="51"/>
      <c r="BL437" s="51"/>
      <c r="BM437" s="51"/>
      <c r="BN437" s="51"/>
      <c r="BO437" s="51"/>
      <c r="BP437" s="51"/>
      <c r="BQ437" s="51"/>
      <c r="BR437" s="9">
        <f t="shared" si="137"/>
        <v>1</v>
      </c>
      <c r="BT437" s="53" t="str">
        <f t="shared" si="138"/>
        <v>Northwest Africa 13989</v>
      </c>
      <c r="BU437" s="25"/>
    </row>
    <row r="438" spans="1:73" ht="12.75" customHeight="1" x14ac:dyDescent="0.25">
      <c r="B438" s="23"/>
      <c r="C438" s="209" t="str">
        <f>HYPERLINK("https://sites.wustl.edu/meteoritesite/items/lm_nwa_13992/",Q438)</f>
        <v>Northwest Africa 13992</v>
      </c>
      <c r="D438" s="210"/>
      <c r="E438" s="210"/>
      <c r="F438" s="211"/>
      <c r="G438" s="89">
        <v>2021</v>
      </c>
      <c r="H438" s="208" t="s">
        <v>38</v>
      </c>
      <c r="I438" s="208"/>
      <c r="J438" s="33">
        <v>1035</v>
      </c>
      <c r="K438" s="207" t="s">
        <v>51</v>
      </c>
      <c r="L438" s="207"/>
      <c r="M438" s="32" t="s">
        <v>40</v>
      </c>
      <c r="N438" s="32" t="s">
        <v>40</v>
      </c>
      <c r="P438" s="125">
        <f t="shared" si="140"/>
        <v>1035</v>
      </c>
      <c r="Q438" s="54" t="s">
        <v>494</v>
      </c>
      <c r="R438" s="48"/>
      <c r="S438" s="49"/>
      <c r="T438" s="50">
        <f t="shared" si="139"/>
        <v>0</v>
      </c>
      <c r="V438" s="51">
        <v>1035</v>
      </c>
      <c r="W438" s="51"/>
      <c r="X438" s="51"/>
      <c r="Y438" s="51"/>
      <c r="Z438" s="51"/>
      <c r="AA438" s="51"/>
      <c r="AB438" s="51"/>
      <c r="AC438" s="51"/>
      <c r="AD438" s="51"/>
      <c r="AE438" s="51"/>
      <c r="AF438" s="51"/>
      <c r="AG438" s="51"/>
      <c r="AH438" s="51"/>
      <c r="AI438" s="51"/>
      <c r="AJ438" s="51"/>
      <c r="AK438" s="51"/>
      <c r="AL438" s="51"/>
      <c r="AM438" s="51"/>
      <c r="AN438" s="51"/>
      <c r="AO438" s="51"/>
      <c r="AP438" s="51"/>
      <c r="AQ438" s="51"/>
      <c r="AR438" s="51"/>
      <c r="AS438" s="51"/>
      <c r="AT438" s="51"/>
      <c r="AU438" s="51"/>
      <c r="AV438" s="51"/>
      <c r="AW438" s="51"/>
      <c r="AX438" s="51"/>
      <c r="AY438" s="51"/>
      <c r="AZ438" s="51"/>
      <c r="BA438" s="51"/>
      <c r="BB438" s="51"/>
      <c r="BC438" s="51"/>
      <c r="BD438" s="51"/>
      <c r="BE438" s="51"/>
      <c r="BF438" s="51"/>
      <c r="BG438" s="51"/>
      <c r="BH438" s="51"/>
      <c r="BI438" s="51"/>
      <c r="BJ438" s="51"/>
      <c r="BK438" s="51"/>
      <c r="BL438" s="51"/>
      <c r="BM438" s="51"/>
      <c r="BN438" s="51"/>
      <c r="BO438" s="51"/>
      <c r="BP438" s="51"/>
      <c r="BQ438" s="51"/>
      <c r="BR438" s="9">
        <f t="shared" si="137"/>
        <v>1</v>
      </c>
      <c r="BT438" s="53" t="str">
        <f t="shared" si="138"/>
        <v>Northwest Africa 13992</v>
      </c>
      <c r="BU438" s="25"/>
    </row>
    <row r="439" spans="1:73" s="1" customFormat="1" ht="12.75" customHeight="1" x14ac:dyDescent="0.25">
      <c r="A439"/>
      <c r="B439" s="243" t="s">
        <v>28</v>
      </c>
      <c r="C439" s="230" t="s">
        <v>29</v>
      </c>
      <c r="D439" s="231"/>
      <c r="E439" s="231"/>
      <c r="F439" s="232"/>
      <c r="G439" s="241" t="s">
        <v>282</v>
      </c>
      <c r="H439" s="219" t="s">
        <v>249</v>
      </c>
      <c r="I439" s="220"/>
      <c r="J439" s="241" t="s">
        <v>30</v>
      </c>
      <c r="K439" s="219" t="s">
        <v>31</v>
      </c>
      <c r="L439" s="220"/>
      <c r="M439" s="223" t="s">
        <v>245</v>
      </c>
      <c r="N439" s="225" t="s">
        <v>32</v>
      </c>
      <c r="O439" s="15"/>
      <c r="P439" s="127"/>
      <c r="Q439" s="15"/>
      <c r="R439" s="15"/>
      <c r="S439" s="15"/>
      <c r="T439" s="50"/>
      <c r="U439" s="9"/>
      <c r="V439" s="42"/>
      <c r="W439" s="42"/>
      <c r="X439" s="42"/>
      <c r="Y439" s="42"/>
      <c r="Z439" s="42"/>
      <c r="AA439" s="42"/>
      <c r="AB439" s="42"/>
      <c r="AC439" s="42"/>
      <c r="AD439" s="42"/>
      <c r="AE439" s="42"/>
      <c r="AF439" s="42"/>
      <c r="AG439" s="42"/>
      <c r="AH439" s="42"/>
      <c r="AI439" s="42"/>
      <c r="AJ439" s="42"/>
      <c r="AK439" s="42"/>
      <c r="AL439" s="42"/>
      <c r="AM439" s="42"/>
      <c r="AN439" s="42"/>
      <c r="AO439" s="42"/>
      <c r="AP439" s="42"/>
      <c r="AQ439" s="42"/>
      <c r="AR439" s="42"/>
      <c r="AS439" s="42"/>
      <c r="AT439" s="42"/>
      <c r="AU439" s="42"/>
      <c r="AV439" s="42"/>
      <c r="AW439" s="42"/>
      <c r="AX439" s="42"/>
      <c r="AY439" s="42"/>
      <c r="AZ439" s="42"/>
      <c r="BA439" s="42"/>
      <c r="BB439" s="42"/>
      <c r="BC439" s="42"/>
      <c r="BD439" s="42"/>
      <c r="BE439" s="42"/>
      <c r="BF439" s="42"/>
      <c r="BG439" s="42"/>
      <c r="BH439" s="42"/>
      <c r="BI439" s="42"/>
      <c r="BJ439" s="42"/>
      <c r="BK439" s="42"/>
      <c r="BL439" s="42"/>
      <c r="BM439" s="42"/>
      <c r="BN439" s="42"/>
      <c r="BO439" s="42"/>
      <c r="BP439" s="42"/>
      <c r="BQ439" s="42"/>
      <c r="BR439" s="9"/>
      <c r="BS439" s="42"/>
      <c r="BT439" s="53"/>
      <c r="BU439" s="25"/>
    </row>
    <row r="440" spans="1:73" s="1" customFormat="1" ht="12.75" customHeight="1" x14ac:dyDescent="0.25">
      <c r="A440"/>
      <c r="B440" s="229"/>
      <c r="C440" s="233"/>
      <c r="D440" s="234"/>
      <c r="E440" s="234"/>
      <c r="F440" s="235"/>
      <c r="G440" s="242"/>
      <c r="H440" s="221"/>
      <c r="I440" s="222"/>
      <c r="J440" s="242"/>
      <c r="K440" s="221"/>
      <c r="L440" s="222"/>
      <c r="M440" s="224"/>
      <c r="N440" s="226"/>
      <c r="O440" s="15"/>
      <c r="P440" s="127"/>
      <c r="Q440" s="15"/>
      <c r="R440" s="15"/>
      <c r="S440" s="15"/>
      <c r="T440" s="50"/>
      <c r="U440" s="9"/>
      <c r="V440" s="42"/>
      <c r="W440" s="42"/>
      <c r="X440" s="42"/>
      <c r="Y440" s="42"/>
      <c r="Z440" s="42"/>
      <c r="AA440" s="42"/>
      <c r="AB440" s="42"/>
      <c r="AC440" s="42"/>
      <c r="AD440" s="42"/>
      <c r="AE440" s="42"/>
      <c r="AF440" s="42"/>
      <c r="AG440" s="42"/>
      <c r="AH440" s="42"/>
      <c r="AI440" s="42"/>
      <c r="AJ440" s="42"/>
      <c r="AK440" s="42"/>
      <c r="AL440" s="42"/>
      <c r="AM440" s="42"/>
      <c r="AN440" s="42"/>
      <c r="AO440" s="42"/>
      <c r="AP440" s="42"/>
      <c r="AQ440" s="42"/>
      <c r="AR440" s="42"/>
      <c r="AS440" s="42"/>
      <c r="AT440" s="42"/>
      <c r="AU440" s="42"/>
      <c r="AV440" s="42"/>
      <c r="AW440" s="42"/>
      <c r="AX440" s="42"/>
      <c r="AY440" s="42"/>
      <c r="AZ440" s="42"/>
      <c r="BA440" s="42"/>
      <c r="BB440" s="42"/>
      <c r="BC440" s="42"/>
      <c r="BD440" s="42"/>
      <c r="BE440" s="42"/>
      <c r="BF440" s="42"/>
      <c r="BG440" s="42"/>
      <c r="BH440" s="42"/>
      <c r="BI440" s="42"/>
      <c r="BJ440" s="42"/>
      <c r="BK440" s="42"/>
      <c r="BL440" s="42"/>
      <c r="BM440" s="42"/>
      <c r="BN440" s="42"/>
      <c r="BO440" s="42"/>
      <c r="BP440" s="42"/>
      <c r="BQ440" s="42"/>
      <c r="BR440" s="9"/>
      <c r="BS440" s="42"/>
      <c r="BT440" s="53"/>
      <c r="BU440" s="25"/>
    </row>
    <row r="441" spans="1:73" ht="12.75" customHeight="1" x14ac:dyDescent="0.25">
      <c r="B441" s="23"/>
      <c r="C441" s="209" t="str">
        <f>HYPERLINK("https://sites.wustl.edu/meteoritesite/items/lm_nwa_14005/",Q441)</f>
        <v>Northwest Africa 14005</v>
      </c>
      <c r="D441" s="210"/>
      <c r="E441" s="210"/>
      <c r="F441" s="211"/>
      <c r="G441" s="89">
        <v>2020</v>
      </c>
      <c r="H441" s="214" t="s">
        <v>396</v>
      </c>
      <c r="I441" s="215"/>
      <c r="J441" s="33">
        <v>15</v>
      </c>
      <c r="K441" s="212" t="s">
        <v>66</v>
      </c>
      <c r="L441" s="213"/>
      <c r="M441" s="32" t="s">
        <v>40</v>
      </c>
      <c r="N441" s="32" t="s">
        <v>40</v>
      </c>
      <c r="P441" s="125">
        <f t="shared" si="140"/>
        <v>15</v>
      </c>
      <c r="Q441" s="54" t="s">
        <v>495</v>
      </c>
      <c r="R441" s="48"/>
      <c r="S441" s="49"/>
      <c r="T441" s="50">
        <f t="shared" si="139"/>
        <v>0</v>
      </c>
      <c r="V441" s="51">
        <v>15</v>
      </c>
      <c r="W441" s="51"/>
      <c r="X441" s="51"/>
      <c r="Y441" s="51"/>
      <c r="Z441" s="51"/>
      <c r="AA441" s="51"/>
      <c r="AB441" s="51"/>
      <c r="AC441" s="51"/>
      <c r="AD441" s="51"/>
      <c r="AE441" s="51"/>
      <c r="AF441" s="51"/>
      <c r="AG441" s="51"/>
      <c r="AH441" s="51"/>
      <c r="AI441" s="51"/>
      <c r="AJ441" s="51"/>
      <c r="AK441" s="51"/>
      <c r="AL441" s="51"/>
      <c r="AM441" s="51"/>
      <c r="AN441" s="51"/>
      <c r="AO441" s="51"/>
      <c r="AP441" s="51"/>
      <c r="AQ441" s="51"/>
      <c r="AR441" s="51"/>
      <c r="AS441" s="51"/>
      <c r="AT441" s="51"/>
      <c r="AU441" s="51"/>
      <c r="AV441" s="51"/>
      <c r="AW441" s="51"/>
      <c r="AX441" s="51"/>
      <c r="AY441" s="51"/>
      <c r="AZ441" s="51"/>
      <c r="BA441" s="51"/>
      <c r="BB441" s="51"/>
      <c r="BC441" s="51"/>
      <c r="BD441" s="51"/>
      <c r="BE441" s="51"/>
      <c r="BF441" s="51"/>
      <c r="BG441" s="51"/>
      <c r="BH441" s="51"/>
      <c r="BI441" s="51"/>
      <c r="BJ441" s="51"/>
      <c r="BK441" s="51"/>
      <c r="BL441" s="51"/>
      <c r="BM441" s="51"/>
      <c r="BN441" s="51"/>
      <c r="BO441" s="51"/>
      <c r="BP441" s="51"/>
      <c r="BQ441" s="51"/>
      <c r="BR441" s="9">
        <f t="shared" si="137"/>
        <v>1</v>
      </c>
      <c r="BT441" s="53" t="str">
        <f t="shared" si="138"/>
        <v>Northwest Africa 14005</v>
      </c>
      <c r="BU441" s="25"/>
    </row>
    <row r="442" spans="1:73" ht="12.75" customHeight="1" x14ac:dyDescent="0.25">
      <c r="B442" s="23"/>
      <c r="C442" s="209" t="str">
        <f>HYPERLINK("https://sites.wustl.edu/meteoritesite/items/lm_nwa_14012/",Q442)</f>
        <v>Northwest Africa 14012</v>
      </c>
      <c r="D442" s="210"/>
      <c r="E442" s="210"/>
      <c r="F442" s="211"/>
      <c r="G442" s="89">
        <v>2018</v>
      </c>
      <c r="H442" s="214" t="s">
        <v>396</v>
      </c>
      <c r="I442" s="215"/>
      <c r="J442" s="33">
        <v>2394</v>
      </c>
      <c r="K442" s="212" t="s">
        <v>39</v>
      </c>
      <c r="L442" s="213"/>
      <c r="M442" s="32" t="s">
        <v>40</v>
      </c>
      <c r="N442" s="32" t="s">
        <v>40</v>
      </c>
      <c r="P442" s="125">
        <f t="shared" si="140"/>
        <v>2394</v>
      </c>
      <c r="Q442" s="54" t="s">
        <v>502</v>
      </c>
      <c r="R442" s="48"/>
      <c r="S442" s="49"/>
      <c r="T442" s="50">
        <f t="shared" si="139"/>
        <v>0</v>
      </c>
      <c r="V442" s="51">
        <v>2394</v>
      </c>
      <c r="W442" s="51"/>
      <c r="X442" s="51"/>
      <c r="Y442" s="51"/>
      <c r="Z442" s="51"/>
      <c r="AA442" s="51"/>
      <c r="AB442" s="51"/>
      <c r="AC442" s="51"/>
      <c r="AD442" s="51"/>
      <c r="AE442" s="51"/>
      <c r="AF442" s="51"/>
      <c r="AG442" s="51"/>
      <c r="AH442" s="51"/>
      <c r="AI442" s="51"/>
      <c r="AJ442" s="51"/>
      <c r="AK442" s="51"/>
      <c r="AL442" s="51"/>
      <c r="AM442" s="51"/>
      <c r="AN442" s="51"/>
      <c r="AO442" s="51"/>
      <c r="AP442" s="51"/>
      <c r="AQ442" s="51"/>
      <c r="AR442" s="51"/>
      <c r="AS442" s="51"/>
      <c r="AT442" s="51"/>
      <c r="AU442" s="51"/>
      <c r="AV442" s="51"/>
      <c r="AW442" s="51"/>
      <c r="AX442" s="51"/>
      <c r="AY442" s="51"/>
      <c r="AZ442" s="51"/>
      <c r="BA442" s="51"/>
      <c r="BB442" s="51"/>
      <c r="BC442" s="51"/>
      <c r="BD442" s="51"/>
      <c r="BE442" s="51"/>
      <c r="BF442" s="51"/>
      <c r="BG442" s="51"/>
      <c r="BH442" s="51"/>
      <c r="BI442" s="51"/>
      <c r="BJ442" s="51"/>
      <c r="BK442" s="51"/>
      <c r="BL442" s="51"/>
      <c r="BM442" s="51"/>
      <c r="BN442" s="51"/>
      <c r="BO442" s="51"/>
      <c r="BP442" s="51"/>
      <c r="BQ442" s="51"/>
      <c r="BR442" s="9">
        <f t="shared" si="137"/>
        <v>1</v>
      </c>
      <c r="BT442" s="53" t="str">
        <f t="shared" si="138"/>
        <v>Northwest Africa 14012</v>
      </c>
      <c r="BU442" s="25"/>
    </row>
    <row r="443" spans="1:73" ht="12.75" customHeight="1" x14ac:dyDescent="0.25">
      <c r="B443" s="23"/>
      <c r="C443" s="209" t="str">
        <f>HYPERLINK("https://sites.wustl.edu/meteoritesite/items/lm_nwa_14019/",Q443)</f>
        <v>Northwest Africa 14019</v>
      </c>
      <c r="D443" s="210"/>
      <c r="E443" s="210"/>
      <c r="F443" s="211"/>
      <c r="G443" s="89">
        <v>2021</v>
      </c>
      <c r="H443" s="214" t="s">
        <v>396</v>
      </c>
      <c r="I443" s="215"/>
      <c r="J443" s="33">
        <v>3121</v>
      </c>
      <c r="K443" s="212" t="s">
        <v>39</v>
      </c>
      <c r="L443" s="213"/>
      <c r="M443" s="32" t="s">
        <v>40</v>
      </c>
      <c r="N443" s="32" t="s">
        <v>40</v>
      </c>
      <c r="P443" s="125">
        <f t="shared" si="140"/>
        <v>3121</v>
      </c>
      <c r="Q443" s="54" t="s">
        <v>503</v>
      </c>
      <c r="R443" s="48"/>
      <c r="S443" s="49"/>
      <c r="T443" s="50">
        <f t="shared" si="139"/>
        <v>0</v>
      </c>
      <c r="V443" s="51">
        <v>3121</v>
      </c>
      <c r="W443" s="51"/>
      <c r="X443" s="51"/>
      <c r="Y443" s="51"/>
      <c r="Z443" s="51"/>
      <c r="AA443" s="51"/>
      <c r="AB443" s="51"/>
      <c r="AC443" s="51"/>
      <c r="AD443" s="51"/>
      <c r="AE443" s="51"/>
      <c r="AF443" s="51"/>
      <c r="AG443" s="51"/>
      <c r="AH443" s="51"/>
      <c r="AI443" s="51"/>
      <c r="AJ443" s="51"/>
      <c r="AK443" s="51"/>
      <c r="AL443" s="51"/>
      <c r="AM443" s="51"/>
      <c r="AN443" s="51"/>
      <c r="AO443" s="51"/>
      <c r="AP443" s="51"/>
      <c r="AQ443" s="51"/>
      <c r="AR443" s="51"/>
      <c r="AS443" s="51"/>
      <c r="AT443" s="51"/>
      <c r="AU443" s="51"/>
      <c r="AV443" s="51"/>
      <c r="AW443" s="51"/>
      <c r="AX443" s="51"/>
      <c r="AY443" s="51"/>
      <c r="AZ443" s="51"/>
      <c r="BA443" s="51"/>
      <c r="BB443" s="51"/>
      <c r="BC443" s="51"/>
      <c r="BD443" s="51"/>
      <c r="BE443" s="51"/>
      <c r="BF443" s="51"/>
      <c r="BG443" s="51"/>
      <c r="BH443" s="51"/>
      <c r="BI443" s="51"/>
      <c r="BJ443" s="51"/>
      <c r="BK443" s="51"/>
      <c r="BL443" s="51"/>
      <c r="BM443" s="51"/>
      <c r="BN443" s="51"/>
      <c r="BO443" s="51"/>
      <c r="BP443" s="51"/>
      <c r="BQ443" s="51"/>
      <c r="BR443" s="9">
        <f t="shared" si="137"/>
        <v>1</v>
      </c>
      <c r="BT443" s="53" t="str">
        <f t="shared" si="138"/>
        <v>Northwest Africa 14019</v>
      </c>
      <c r="BU443" s="25"/>
    </row>
    <row r="444" spans="1:73" ht="12.75" customHeight="1" x14ac:dyDescent="0.25">
      <c r="B444" s="23"/>
      <c r="C444" s="209" t="str">
        <f>HYPERLINK("https://sites.wustl.edu/meteoritesite/items/lm_nwa_14035/",Q444)</f>
        <v>Northwest Africa 14035</v>
      </c>
      <c r="D444" s="210"/>
      <c r="E444" s="210"/>
      <c r="F444" s="211"/>
      <c r="G444" s="89">
        <v>2020</v>
      </c>
      <c r="H444" s="214" t="s">
        <v>396</v>
      </c>
      <c r="I444" s="215"/>
      <c r="J444" s="33">
        <v>189</v>
      </c>
      <c r="K444" s="212" t="s">
        <v>39</v>
      </c>
      <c r="L444" s="213"/>
      <c r="M444" s="32" t="s">
        <v>40</v>
      </c>
      <c r="N444" s="32" t="s">
        <v>40</v>
      </c>
      <c r="P444" s="125">
        <f t="shared" si="140"/>
        <v>189</v>
      </c>
      <c r="Q444" s="54" t="s">
        <v>498</v>
      </c>
      <c r="R444" s="48"/>
      <c r="S444" s="49"/>
      <c r="T444" s="50">
        <f t="shared" si="139"/>
        <v>0</v>
      </c>
      <c r="V444" s="51">
        <v>189</v>
      </c>
      <c r="W444" s="51"/>
      <c r="X444" s="51"/>
      <c r="Y444" s="51"/>
      <c r="Z444" s="51"/>
      <c r="AA444" s="51"/>
      <c r="AB444" s="51"/>
      <c r="AC444" s="51"/>
      <c r="AD444" s="51"/>
      <c r="AE444" s="51"/>
      <c r="AF444" s="51"/>
      <c r="AG444" s="51"/>
      <c r="AH444" s="51"/>
      <c r="AI444" s="51"/>
      <c r="AJ444" s="51"/>
      <c r="AK444" s="51"/>
      <c r="AL444" s="51"/>
      <c r="AM444" s="51"/>
      <c r="AN444" s="51"/>
      <c r="AO444" s="51"/>
      <c r="AP444" s="51"/>
      <c r="AQ444" s="51"/>
      <c r="AR444" s="51"/>
      <c r="AS444" s="51"/>
      <c r="AT444" s="51"/>
      <c r="AU444" s="51"/>
      <c r="AV444" s="51"/>
      <c r="AW444" s="51"/>
      <c r="AX444" s="51"/>
      <c r="AY444" s="51"/>
      <c r="AZ444" s="51"/>
      <c r="BA444" s="51"/>
      <c r="BB444" s="51"/>
      <c r="BC444" s="51"/>
      <c r="BD444" s="51"/>
      <c r="BE444" s="51"/>
      <c r="BF444" s="51"/>
      <c r="BG444" s="51"/>
      <c r="BH444" s="51"/>
      <c r="BI444" s="51"/>
      <c r="BJ444" s="51"/>
      <c r="BK444" s="51"/>
      <c r="BL444" s="51"/>
      <c r="BM444" s="51"/>
      <c r="BN444" s="51"/>
      <c r="BO444" s="51"/>
      <c r="BP444" s="51"/>
      <c r="BQ444" s="51"/>
      <c r="BR444" s="9">
        <f t="shared" si="137"/>
        <v>1</v>
      </c>
      <c r="BT444" s="53" t="str">
        <f t="shared" si="138"/>
        <v>Northwest Africa 14035</v>
      </c>
      <c r="BU444" s="25"/>
    </row>
    <row r="445" spans="1:73" ht="12.75" customHeight="1" x14ac:dyDescent="0.25">
      <c r="B445" s="23"/>
      <c r="C445" s="209" t="str">
        <f>HYPERLINK("https://sites.wustl.edu/meteoritesite/items/lm_nwa_14041/",Q445)</f>
        <v>Northwest Africa 14041</v>
      </c>
      <c r="D445" s="210"/>
      <c r="E445" s="210"/>
      <c r="F445" s="211"/>
      <c r="G445" s="89">
        <v>2020</v>
      </c>
      <c r="H445" s="214" t="s">
        <v>396</v>
      </c>
      <c r="I445" s="215"/>
      <c r="J445" s="33">
        <v>11700</v>
      </c>
      <c r="K445" s="212" t="s">
        <v>58</v>
      </c>
      <c r="L445" s="213"/>
      <c r="M445" s="32" t="s">
        <v>40</v>
      </c>
      <c r="N445" s="32" t="s">
        <v>40</v>
      </c>
      <c r="P445" s="125">
        <f t="shared" si="140"/>
        <v>11700</v>
      </c>
      <c r="Q445" s="54" t="s">
        <v>499</v>
      </c>
      <c r="R445" s="48"/>
      <c r="S445" s="49"/>
      <c r="T445" s="50">
        <f t="shared" si="139"/>
        <v>0</v>
      </c>
      <c r="V445" s="51">
        <v>11700</v>
      </c>
      <c r="W445" s="51"/>
      <c r="X445" s="51"/>
      <c r="Y445" s="51"/>
      <c r="Z445" s="51"/>
      <c r="AA445" s="51"/>
      <c r="AB445" s="51"/>
      <c r="AC445" s="51"/>
      <c r="AD445" s="51"/>
      <c r="AE445" s="51"/>
      <c r="AF445" s="51"/>
      <c r="AG445" s="51"/>
      <c r="AH445" s="51"/>
      <c r="AI445" s="51"/>
      <c r="AJ445" s="51"/>
      <c r="AK445" s="51"/>
      <c r="AL445" s="51"/>
      <c r="AM445" s="51"/>
      <c r="AN445" s="51"/>
      <c r="AO445" s="51"/>
      <c r="AP445" s="51"/>
      <c r="AQ445" s="51"/>
      <c r="AR445" s="51"/>
      <c r="AS445" s="51"/>
      <c r="AT445" s="51"/>
      <c r="AU445" s="51"/>
      <c r="AV445" s="51"/>
      <c r="AW445" s="51"/>
      <c r="AX445" s="51"/>
      <c r="AY445" s="51"/>
      <c r="AZ445" s="51"/>
      <c r="BA445" s="51"/>
      <c r="BB445" s="51"/>
      <c r="BC445" s="51"/>
      <c r="BD445" s="51"/>
      <c r="BE445" s="51"/>
      <c r="BF445" s="51"/>
      <c r="BG445" s="51"/>
      <c r="BH445" s="51"/>
      <c r="BI445" s="51"/>
      <c r="BJ445" s="51"/>
      <c r="BK445" s="51"/>
      <c r="BL445" s="51"/>
      <c r="BM445" s="51"/>
      <c r="BN445" s="51"/>
      <c r="BO445" s="51"/>
      <c r="BP445" s="51"/>
      <c r="BQ445" s="51"/>
      <c r="BR445" s="9">
        <f t="shared" si="137"/>
        <v>1</v>
      </c>
      <c r="BT445" s="53" t="str">
        <f t="shared" si="138"/>
        <v>Northwest Africa 14041</v>
      </c>
      <c r="BU445" s="25"/>
    </row>
    <row r="446" spans="1:73" ht="12.75" customHeight="1" x14ac:dyDescent="0.25">
      <c r="B446" s="23"/>
      <c r="C446" s="209" t="str">
        <f>HYPERLINK("https://sites.wustl.edu/meteoritesite/items/lm_nwa_14050/",Q446)</f>
        <v>Northwest Africa 14050</v>
      </c>
      <c r="D446" s="210"/>
      <c r="E446" s="210"/>
      <c r="F446" s="211"/>
      <c r="G446" s="89">
        <v>2021</v>
      </c>
      <c r="H446" s="214" t="s">
        <v>396</v>
      </c>
      <c r="I446" s="215"/>
      <c r="J446" s="32">
        <v>69.599999999999994</v>
      </c>
      <c r="K446" s="212" t="s">
        <v>39</v>
      </c>
      <c r="L446" s="213"/>
      <c r="M446" s="32" t="s">
        <v>40</v>
      </c>
      <c r="N446" s="32" t="s">
        <v>40</v>
      </c>
      <c r="P446" s="125">
        <f t="shared" si="140"/>
        <v>69.599999999999994</v>
      </c>
      <c r="Q446" s="54" t="s">
        <v>500</v>
      </c>
      <c r="R446" s="48"/>
      <c r="S446" s="49"/>
      <c r="T446" s="50">
        <f t="shared" si="139"/>
        <v>0</v>
      </c>
      <c r="V446" s="51">
        <v>69.599999999999994</v>
      </c>
      <c r="W446" s="51"/>
      <c r="X446" s="51"/>
      <c r="Y446" s="51"/>
      <c r="Z446" s="51"/>
      <c r="AA446" s="51"/>
      <c r="AB446" s="51"/>
      <c r="AC446" s="51"/>
      <c r="AD446" s="51"/>
      <c r="AE446" s="51"/>
      <c r="AF446" s="51"/>
      <c r="AG446" s="51"/>
      <c r="AH446" s="51"/>
      <c r="AI446" s="51"/>
      <c r="AJ446" s="51"/>
      <c r="AK446" s="51"/>
      <c r="AL446" s="51"/>
      <c r="AM446" s="51"/>
      <c r="AN446" s="51"/>
      <c r="AO446" s="51"/>
      <c r="AP446" s="51"/>
      <c r="AQ446" s="51"/>
      <c r="AR446" s="51"/>
      <c r="AS446" s="51"/>
      <c r="AT446" s="51"/>
      <c r="AU446" s="51"/>
      <c r="AV446" s="51"/>
      <c r="AW446" s="51"/>
      <c r="AX446" s="51"/>
      <c r="AY446" s="51"/>
      <c r="AZ446" s="51"/>
      <c r="BA446" s="51"/>
      <c r="BB446" s="51"/>
      <c r="BC446" s="51"/>
      <c r="BD446" s="51"/>
      <c r="BE446" s="51"/>
      <c r="BF446" s="51"/>
      <c r="BG446" s="51"/>
      <c r="BH446" s="51"/>
      <c r="BI446" s="51"/>
      <c r="BJ446" s="51"/>
      <c r="BK446" s="51"/>
      <c r="BL446" s="51"/>
      <c r="BM446" s="51"/>
      <c r="BN446" s="51"/>
      <c r="BO446" s="51"/>
      <c r="BP446" s="51"/>
      <c r="BQ446" s="51"/>
      <c r="BR446" s="9">
        <f t="shared" si="137"/>
        <v>1</v>
      </c>
      <c r="BT446" s="53" t="str">
        <f t="shared" si="138"/>
        <v>Northwest Africa 14050</v>
      </c>
      <c r="BU446" s="25"/>
    </row>
    <row r="447" spans="1:73" ht="12.75" customHeight="1" x14ac:dyDescent="0.25">
      <c r="B447" s="23"/>
      <c r="C447" s="209" t="str">
        <f>HYPERLINK("https://sites.wustl.edu/meteoritesite/items/lm_nwa_14071/",Q447)</f>
        <v>Northwest Africa 14071</v>
      </c>
      <c r="D447" s="210"/>
      <c r="E447" s="210"/>
      <c r="F447" s="211"/>
      <c r="G447" s="89">
        <v>2021</v>
      </c>
      <c r="H447" s="214" t="s">
        <v>396</v>
      </c>
      <c r="I447" s="215"/>
      <c r="J447" s="33">
        <v>400</v>
      </c>
      <c r="K447" s="212" t="s">
        <v>39</v>
      </c>
      <c r="L447" s="213"/>
      <c r="M447" s="32" t="s">
        <v>40</v>
      </c>
      <c r="N447" s="32" t="s">
        <v>40</v>
      </c>
      <c r="P447" s="125">
        <f t="shared" si="140"/>
        <v>400</v>
      </c>
      <c r="Q447" s="54" t="s">
        <v>518</v>
      </c>
      <c r="R447" s="48"/>
      <c r="S447" s="49"/>
      <c r="T447" s="50">
        <f t="shared" si="139"/>
        <v>0</v>
      </c>
      <c r="V447" s="51">
        <v>400</v>
      </c>
      <c r="W447" s="51"/>
      <c r="X447" s="51"/>
      <c r="Y447" s="51"/>
      <c r="Z447" s="51"/>
      <c r="AA447" s="51"/>
      <c r="AB447" s="51"/>
      <c r="AC447" s="51"/>
      <c r="AD447" s="51"/>
      <c r="AE447" s="51"/>
      <c r="AF447" s="51"/>
      <c r="AG447" s="51"/>
      <c r="AH447" s="51"/>
      <c r="AI447" s="51"/>
      <c r="AJ447" s="51"/>
      <c r="AK447" s="51"/>
      <c r="AL447" s="51"/>
      <c r="AM447" s="51"/>
      <c r="AN447" s="51"/>
      <c r="AO447" s="51"/>
      <c r="AP447" s="51"/>
      <c r="AQ447" s="51"/>
      <c r="AR447" s="51"/>
      <c r="AS447" s="51"/>
      <c r="AT447" s="51"/>
      <c r="AU447" s="51"/>
      <c r="AV447" s="51"/>
      <c r="AW447" s="51"/>
      <c r="AX447" s="51"/>
      <c r="AY447" s="51"/>
      <c r="AZ447" s="51"/>
      <c r="BA447" s="51"/>
      <c r="BB447" s="51"/>
      <c r="BC447" s="51"/>
      <c r="BD447" s="51"/>
      <c r="BE447" s="51"/>
      <c r="BF447" s="51"/>
      <c r="BG447" s="51"/>
      <c r="BH447" s="51"/>
      <c r="BI447" s="51"/>
      <c r="BJ447" s="51"/>
      <c r="BK447" s="51"/>
      <c r="BL447" s="51"/>
      <c r="BM447" s="51"/>
      <c r="BN447" s="51"/>
      <c r="BO447" s="51"/>
      <c r="BP447" s="51"/>
      <c r="BQ447" s="51"/>
      <c r="BR447" s="9">
        <f t="shared" si="137"/>
        <v>1</v>
      </c>
      <c r="BT447" s="53" t="str">
        <f t="shared" si="138"/>
        <v>Northwest Africa 14071</v>
      </c>
      <c r="BU447" s="25"/>
    </row>
    <row r="448" spans="1:73" ht="12.75" customHeight="1" x14ac:dyDescent="0.25">
      <c r="B448" s="23"/>
      <c r="C448" s="209" t="str">
        <f>HYPERLINK("https://sites.wustl.edu/meteoritesite/items/lm_nwa_14088/",Q448)</f>
        <v>Northwest Africa 14088</v>
      </c>
      <c r="D448" s="210"/>
      <c r="E448" s="210"/>
      <c r="F448" s="211"/>
      <c r="G448" s="89">
        <v>2019</v>
      </c>
      <c r="H448" s="208" t="s">
        <v>510</v>
      </c>
      <c r="I448" s="208"/>
      <c r="J448" s="33">
        <v>2702</v>
      </c>
      <c r="K448" s="212" t="s">
        <v>58</v>
      </c>
      <c r="L448" s="213"/>
      <c r="M448" s="32" t="s">
        <v>40</v>
      </c>
      <c r="N448" s="32" t="s">
        <v>40</v>
      </c>
      <c r="P448" s="125">
        <f t="shared" si="140"/>
        <v>2702</v>
      </c>
      <c r="Q448" s="54" t="s">
        <v>508</v>
      </c>
      <c r="R448" s="48"/>
      <c r="S448" s="49"/>
      <c r="T448" s="50">
        <f t="shared" si="139"/>
        <v>0</v>
      </c>
      <c r="V448" s="51">
        <v>2702</v>
      </c>
      <c r="W448" s="51"/>
      <c r="X448" s="51"/>
      <c r="Y448" s="51"/>
      <c r="Z448" s="51"/>
      <c r="AA448" s="51"/>
      <c r="AB448" s="51"/>
      <c r="AC448" s="51"/>
      <c r="AD448" s="51"/>
      <c r="AE448" s="51"/>
      <c r="AF448" s="51"/>
      <c r="AG448" s="51"/>
      <c r="AH448" s="51"/>
      <c r="AI448" s="51"/>
      <c r="AJ448" s="51"/>
      <c r="AK448" s="51"/>
      <c r="AL448" s="51"/>
      <c r="AM448" s="51"/>
      <c r="AN448" s="51"/>
      <c r="AO448" s="51"/>
      <c r="AP448" s="51"/>
      <c r="AQ448" s="51"/>
      <c r="AR448" s="51"/>
      <c r="AS448" s="51"/>
      <c r="AT448" s="51"/>
      <c r="AU448" s="51"/>
      <c r="AV448" s="51"/>
      <c r="AW448" s="51"/>
      <c r="AX448" s="51"/>
      <c r="AY448" s="51"/>
      <c r="AZ448" s="51"/>
      <c r="BA448" s="51"/>
      <c r="BB448" s="51"/>
      <c r="BC448" s="51"/>
      <c r="BD448" s="51"/>
      <c r="BE448" s="51"/>
      <c r="BF448" s="51"/>
      <c r="BG448" s="51"/>
      <c r="BH448" s="51"/>
      <c r="BI448" s="51"/>
      <c r="BJ448" s="51"/>
      <c r="BK448" s="51"/>
      <c r="BL448" s="51"/>
      <c r="BM448" s="51"/>
      <c r="BN448" s="51"/>
      <c r="BO448" s="51"/>
      <c r="BP448" s="51"/>
      <c r="BQ448" s="51"/>
      <c r="BR448" s="9">
        <f t="shared" si="137"/>
        <v>1</v>
      </c>
      <c r="BT448" s="53" t="str">
        <f t="shared" si="138"/>
        <v>Northwest Africa 14088</v>
      </c>
      <c r="BU448" s="25"/>
    </row>
    <row r="449" spans="1:73" s="8" customFormat="1" ht="12.75" customHeight="1" x14ac:dyDescent="0.25">
      <c r="A449"/>
      <c r="B449" s="23"/>
      <c r="C449" s="209" t="str">
        <f>HYPERLINK("https://sites.wustl.edu/meteoritesite/items/lm_nwa_14137/",Q449)</f>
        <v>Northwest Africa 14137</v>
      </c>
      <c r="D449" s="210"/>
      <c r="E449" s="210"/>
      <c r="F449" s="211"/>
      <c r="G449" s="89">
        <v>2021</v>
      </c>
      <c r="H449" s="240" t="s">
        <v>545</v>
      </c>
      <c r="I449" s="240"/>
      <c r="J449" s="33">
        <v>77</v>
      </c>
      <c r="K449" s="207" t="s">
        <v>39</v>
      </c>
      <c r="L449" s="207"/>
      <c r="M449" s="32" t="s">
        <v>342</v>
      </c>
      <c r="N449" s="32" t="s">
        <v>40</v>
      </c>
      <c r="O449" s="15"/>
      <c r="P449" s="125">
        <f>SUM(V449:BQ449)</f>
        <v>77</v>
      </c>
      <c r="Q449" s="54" t="s">
        <v>514</v>
      </c>
      <c r="R449" s="48"/>
      <c r="S449" s="49"/>
      <c r="T449" s="50">
        <f t="shared" ref="T449" si="141">J449-P449</f>
        <v>0</v>
      </c>
      <c r="U449" s="9"/>
      <c r="V449" s="51">
        <v>77</v>
      </c>
      <c r="W449" s="51"/>
      <c r="X449" s="51"/>
      <c r="Y449" s="52"/>
      <c r="Z449" s="51"/>
      <c r="AA449" s="51"/>
      <c r="AB449" s="51"/>
      <c r="AC449" s="51"/>
      <c r="AD449" s="51"/>
      <c r="AE449" s="51"/>
      <c r="AF449" s="51"/>
      <c r="AG449" s="51"/>
      <c r="AH449" s="51"/>
      <c r="AI449" s="51"/>
      <c r="AJ449" s="51"/>
      <c r="AK449" s="51"/>
      <c r="AL449" s="51"/>
      <c r="AM449" s="51"/>
      <c r="AN449" s="51"/>
      <c r="AO449" s="51"/>
      <c r="AP449" s="51"/>
      <c r="AQ449" s="51"/>
      <c r="AR449" s="51"/>
      <c r="AS449" s="51"/>
      <c r="AT449" s="51"/>
      <c r="AU449" s="51"/>
      <c r="AV449" s="51"/>
      <c r="AW449" s="51"/>
      <c r="AX449" s="51"/>
      <c r="AY449" s="51"/>
      <c r="AZ449" s="51"/>
      <c r="BA449" s="51"/>
      <c r="BB449" s="51"/>
      <c r="BC449" s="51"/>
      <c r="BD449" s="51"/>
      <c r="BE449" s="51"/>
      <c r="BF449" s="51"/>
      <c r="BG449" s="51"/>
      <c r="BH449" s="51"/>
      <c r="BI449" s="51"/>
      <c r="BJ449" s="51"/>
      <c r="BK449" s="51"/>
      <c r="BL449" s="51"/>
      <c r="BM449" s="51"/>
      <c r="BN449" s="51"/>
      <c r="BO449" s="51"/>
      <c r="BP449" s="51"/>
      <c r="BQ449" s="51"/>
      <c r="BR449" s="9">
        <f>COUNT(V449:BQ449)</f>
        <v>1</v>
      </c>
      <c r="BS449" s="9"/>
      <c r="BT449" s="53" t="str">
        <f>Q449</f>
        <v>Northwest Africa 14137</v>
      </c>
      <c r="BU449" s="25" t="s">
        <v>230</v>
      </c>
    </row>
    <row r="450" spans="1:73" ht="12.75" customHeight="1" x14ac:dyDescent="0.25">
      <c r="B450" s="23"/>
      <c r="C450" s="209" t="str">
        <f>HYPERLINK("https://sites.wustl.edu/meteoritesite/items/lm_nwa_14140/",Q450)</f>
        <v>Northwest Africa 14140</v>
      </c>
      <c r="D450" s="210"/>
      <c r="E450" s="210"/>
      <c r="F450" s="211"/>
      <c r="G450" s="89">
        <v>2021</v>
      </c>
      <c r="H450" s="214" t="s">
        <v>396</v>
      </c>
      <c r="I450" s="215"/>
      <c r="J450" s="33">
        <v>1488</v>
      </c>
      <c r="K450" s="212" t="s">
        <v>39</v>
      </c>
      <c r="L450" s="213"/>
      <c r="M450" s="32" t="s">
        <v>40</v>
      </c>
      <c r="N450" s="32" t="s">
        <v>40</v>
      </c>
      <c r="P450" s="125">
        <f t="shared" si="140"/>
        <v>1488</v>
      </c>
      <c r="Q450" s="54" t="s">
        <v>519</v>
      </c>
      <c r="R450" s="48"/>
      <c r="S450" s="49"/>
      <c r="T450" s="50">
        <f t="shared" si="139"/>
        <v>0</v>
      </c>
      <c r="V450" s="51">
        <v>1488</v>
      </c>
      <c r="W450" s="51"/>
      <c r="X450" s="51"/>
      <c r="Y450" s="51"/>
      <c r="Z450" s="51"/>
      <c r="AA450" s="51"/>
      <c r="AB450" s="51"/>
      <c r="AC450" s="51"/>
      <c r="AD450" s="51"/>
      <c r="AE450" s="51"/>
      <c r="AF450" s="51"/>
      <c r="AG450" s="51"/>
      <c r="AH450" s="51"/>
      <c r="AI450" s="51"/>
      <c r="AJ450" s="51"/>
      <c r="AK450" s="51"/>
      <c r="AL450" s="51"/>
      <c r="AM450" s="51"/>
      <c r="AN450" s="51"/>
      <c r="AO450" s="51"/>
      <c r="AP450" s="51"/>
      <c r="AQ450" s="51"/>
      <c r="AR450" s="51"/>
      <c r="AS450" s="51"/>
      <c r="AT450" s="51"/>
      <c r="AU450" s="51"/>
      <c r="AV450" s="51"/>
      <c r="AW450" s="51"/>
      <c r="AX450" s="51"/>
      <c r="AY450" s="51"/>
      <c r="AZ450" s="51"/>
      <c r="BA450" s="51"/>
      <c r="BB450" s="51"/>
      <c r="BC450" s="51"/>
      <c r="BD450" s="51"/>
      <c r="BE450" s="51"/>
      <c r="BF450" s="51"/>
      <c r="BG450" s="51"/>
      <c r="BH450" s="51"/>
      <c r="BI450" s="51"/>
      <c r="BJ450" s="51"/>
      <c r="BK450" s="51"/>
      <c r="BL450" s="51"/>
      <c r="BM450" s="51"/>
      <c r="BN450" s="51"/>
      <c r="BO450" s="51"/>
      <c r="BP450" s="51"/>
      <c r="BQ450" s="51"/>
      <c r="BR450" s="9">
        <f t="shared" si="137"/>
        <v>1</v>
      </c>
      <c r="BT450" s="53" t="str">
        <f t="shared" si="138"/>
        <v>Northwest Africa 14140</v>
      </c>
      <c r="BU450" s="25"/>
    </row>
    <row r="451" spans="1:73" ht="12.75" customHeight="1" x14ac:dyDescent="0.25">
      <c r="B451" s="23"/>
      <c r="C451" s="209" t="str">
        <f>HYPERLINK("https://sites.wustl.edu/meteoritesite/items/lm_nwa_14178/",Q451)</f>
        <v>Northwest Africa 14178</v>
      </c>
      <c r="D451" s="210"/>
      <c r="E451" s="210"/>
      <c r="F451" s="211"/>
      <c r="G451" s="89">
        <v>2020</v>
      </c>
      <c r="H451" s="249" t="s">
        <v>470</v>
      </c>
      <c r="I451" s="249"/>
      <c r="J451" s="33">
        <v>440</v>
      </c>
      <c r="K451" s="212" t="s">
        <v>39</v>
      </c>
      <c r="L451" s="213"/>
      <c r="M451" s="32" t="s">
        <v>342</v>
      </c>
      <c r="N451" s="32" t="s">
        <v>40</v>
      </c>
      <c r="P451" s="125">
        <f t="shared" ref="P451" si="142">SUM(V451:BQ451)</f>
        <v>440</v>
      </c>
      <c r="Q451" s="54" t="s">
        <v>521</v>
      </c>
      <c r="R451" s="48"/>
      <c r="S451" s="49"/>
      <c r="T451" s="50">
        <f t="shared" ref="T451" si="143">J451-P451</f>
        <v>0</v>
      </c>
      <c r="V451" s="51">
        <v>440</v>
      </c>
      <c r="W451" s="51"/>
      <c r="X451" s="51"/>
      <c r="Y451" s="51"/>
      <c r="Z451" s="51"/>
      <c r="AA451" s="51"/>
      <c r="AB451" s="51"/>
      <c r="AC451" s="51"/>
      <c r="AD451" s="51"/>
      <c r="AE451" s="51"/>
      <c r="AF451" s="51"/>
      <c r="AG451" s="51"/>
      <c r="AH451" s="51"/>
      <c r="AI451" s="51"/>
      <c r="AJ451" s="51"/>
      <c r="AK451" s="51"/>
      <c r="AL451" s="51"/>
      <c r="AM451" s="51"/>
      <c r="AN451" s="51"/>
      <c r="AO451" s="51"/>
      <c r="AP451" s="51"/>
      <c r="AQ451" s="51"/>
      <c r="AR451" s="51"/>
      <c r="AS451" s="51"/>
      <c r="AT451" s="51"/>
      <c r="AU451" s="51"/>
      <c r="AV451" s="51"/>
      <c r="AW451" s="51"/>
      <c r="AX451" s="51"/>
      <c r="AY451" s="51"/>
      <c r="AZ451" s="51"/>
      <c r="BA451" s="51"/>
      <c r="BB451" s="51"/>
      <c r="BC451" s="51"/>
      <c r="BD451" s="51"/>
      <c r="BE451" s="51"/>
      <c r="BF451" s="51"/>
      <c r="BG451" s="51"/>
      <c r="BH451" s="51"/>
      <c r="BI451" s="51"/>
      <c r="BJ451" s="51"/>
      <c r="BK451" s="51"/>
      <c r="BL451" s="51"/>
      <c r="BM451" s="51"/>
      <c r="BN451" s="51"/>
      <c r="BO451" s="51"/>
      <c r="BP451" s="51"/>
      <c r="BQ451" s="51"/>
      <c r="BR451" s="9">
        <f>COUNT(V451:BQ451)</f>
        <v>1</v>
      </c>
      <c r="BT451" s="53" t="str">
        <f>Q451</f>
        <v>Northwest Africa 14178</v>
      </c>
      <c r="BU451" s="25" t="s">
        <v>230</v>
      </c>
    </row>
    <row r="452" spans="1:73" ht="12.75" customHeight="1" x14ac:dyDescent="0.25">
      <c r="B452" s="23"/>
      <c r="C452" s="209" t="str">
        <f>HYPERLINK("https://sites.wustl.edu/meteoritesite/items/lm_nwa_14188/",Q452)</f>
        <v>Northwest Africa 14188</v>
      </c>
      <c r="D452" s="210"/>
      <c r="E452" s="210"/>
      <c r="F452" s="211"/>
      <c r="G452" s="89">
        <v>2021</v>
      </c>
      <c r="H452" s="249" t="s">
        <v>38</v>
      </c>
      <c r="I452" s="249"/>
      <c r="J452" s="33">
        <v>260</v>
      </c>
      <c r="K452" s="212" t="s">
        <v>379</v>
      </c>
      <c r="L452" s="213"/>
      <c r="M452" s="32" t="s">
        <v>536</v>
      </c>
      <c r="N452" s="32" t="s">
        <v>40</v>
      </c>
      <c r="P452" s="125">
        <f t="shared" ref="P452" si="144">SUM(V452:BQ452)</f>
        <v>260</v>
      </c>
      <c r="Q452" s="54" t="s">
        <v>575</v>
      </c>
      <c r="R452" s="48"/>
      <c r="S452" s="49"/>
      <c r="T452" s="50">
        <f t="shared" ref="T452" si="145">J452-P452</f>
        <v>0</v>
      </c>
      <c r="V452" s="51">
        <v>260</v>
      </c>
      <c r="W452" s="51"/>
      <c r="X452" s="51"/>
      <c r="Y452" s="51"/>
      <c r="Z452" s="51"/>
      <c r="AA452" s="51"/>
      <c r="AB452" s="51"/>
      <c r="AC452" s="51"/>
      <c r="AD452" s="51"/>
      <c r="AE452" s="51"/>
      <c r="AF452" s="51"/>
      <c r="AG452" s="51"/>
      <c r="AH452" s="51"/>
      <c r="AI452" s="51"/>
      <c r="AJ452" s="51"/>
      <c r="AK452" s="51"/>
      <c r="AL452" s="51"/>
      <c r="AM452" s="51"/>
      <c r="AN452" s="51"/>
      <c r="AO452" s="51"/>
      <c r="AP452" s="51"/>
      <c r="AQ452" s="51"/>
      <c r="AR452" s="51"/>
      <c r="AS452" s="51"/>
      <c r="AT452" s="51"/>
      <c r="AU452" s="51"/>
      <c r="AV452" s="51"/>
      <c r="AW452" s="51"/>
      <c r="AX452" s="51"/>
      <c r="AY452" s="51"/>
      <c r="AZ452" s="51"/>
      <c r="BA452" s="51"/>
      <c r="BB452" s="51"/>
      <c r="BC452" s="51"/>
      <c r="BD452" s="51"/>
      <c r="BE452" s="51"/>
      <c r="BF452" s="51"/>
      <c r="BG452" s="51"/>
      <c r="BH452" s="51"/>
      <c r="BI452" s="51"/>
      <c r="BJ452" s="51"/>
      <c r="BK452" s="51"/>
      <c r="BL452" s="51"/>
      <c r="BM452" s="51"/>
      <c r="BN452" s="51"/>
      <c r="BO452" s="51"/>
      <c r="BP452" s="51"/>
      <c r="BQ452" s="51"/>
      <c r="BR452" s="9">
        <f t="shared" si="137"/>
        <v>1</v>
      </c>
      <c r="BT452" s="53" t="str">
        <f t="shared" si="138"/>
        <v>Northwest Africa 14188</v>
      </c>
      <c r="BU452" s="25"/>
    </row>
    <row r="453" spans="1:73" ht="12.75" customHeight="1" x14ac:dyDescent="0.25">
      <c r="B453" s="23"/>
      <c r="C453" s="209" t="str">
        <f>HYPERLINK("https://sites.wustl.edu/meteoritesite/items/lm_nwa_14202/",Q453)</f>
        <v>Northwest Africa 14202</v>
      </c>
      <c r="D453" s="210"/>
      <c r="E453" s="210"/>
      <c r="F453" s="211"/>
      <c r="G453" s="89">
        <v>2021</v>
      </c>
      <c r="H453" s="214" t="s">
        <v>396</v>
      </c>
      <c r="I453" s="215"/>
      <c r="J453" s="33">
        <v>34</v>
      </c>
      <c r="K453" s="212" t="s">
        <v>39</v>
      </c>
      <c r="L453" s="213"/>
      <c r="M453" s="32" t="s">
        <v>40</v>
      </c>
      <c r="N453" s="32" t="s">
        <v>40</v>
      </c>
      <c r="P453" s="125">
        <f t="shared" si="140"/>
        <v>34</v>
      </c>
      <c r="Q453" s="54" t="s">
        <v>522</v>
      </c>
      <c r="R453" s="48"/>
      <c r="S453" s="49"/>
      <c r="T453" s="50">
        <f t="shared" si="139"/>
        <v>0</v>
      </c>
      <c r="V453" s="51">
        <v>34</v>
      </c>
      <c r="W453" s="51"/>
      <c r="X453" s="51"/>
      <c r="Y453" s="51"/>
      <c r="Z453" s="51"/>
      <c r="AA453" s="51"/>
      <c r="AB453" s="51"/>
      <c r="AC453" s="51"/>
      <c r="AD453" s="51"/>
      <c r="AE453" s="51"/>
      <c r="AF453" s="51"/>
      <c r="AG453" s="51"/>
      <c r="AH453" s="51"/>
      <c r="AI453" s="51"/>
      <c r="AJ453" s="51"/>
      <c r="AK453" s="51"/>
      <c r="AL453" s="51"/>
      <c r="AM453" s="51"/>
      <c r="AN453" s="51"/>
      <c r="AO453" s="51"/>
      <c r="AP453" s="51"/>
      <c r="AQ453" s="51"/>
      <c r="AR453" s="51"/>
      <c r="AS453" s="51"/>
      <c r="AT453" s="51"/>
      <c r="AU453" s="51"/>
      <c r="AV453" s="51"/>
      <c r="AW453" s="51"/>
      <c r="AX453" s="51"/>
      <c r="AY453" s="51"/>
      <c r="AZ453" s="51"/>
      <c r="BA453" s="51"/>
      <c r="BB453" s="51"/>
      <c r="BC453" s="51"/>
      <c r="BD453" s="51"/>
      <c r="BE453" s="51"/>
      <c r="BF453" s="51"/>
      <c r="BG453" s="51"/>
      <c r="BH453" s="51"/>
      <c r="BI453" s="51"/>
      <c r="BJ453" s="51"/>
      <c r="BK453" s="51"/>
      <c r="BL453" s="51"/>
      <c r="BM453" s="51"/>
      <c r="BN453" s="51"/>
      <c r="BO453" s="51"/>
      <c r="BP453" s="51"/>
      <c r="BQ453" s="51"/>
      <c r="BR453" s="9">
        <f t="shared" si="137"/>
        <v>1</v>
      </c>
      <c r="BT453" s="53" t="str">
        <f t="shared" si="138"/>
        <v>Northwest Africa 14202</v>
      </c>
      <c r="BU453" s="25"/>
    </row>
    <row r="454" spans="1:73" ht="12.75" customHeight="1" x14ac:dyDescent="0.25">
      <c r="B454" s="23"/>
      <c r="C454" s="209" t="str">
        <f>HYPERLINK("https://sites.wustl.edu/meteoritesite/items/lm_nwa_14258/",Q454)</f>
        <v>Northwest Africa 14258</v>
      </c>
      <c r="D454" s="210"/>
      <c r="E454" s="210"/>
      <c r="F454" s="211"/>
      <c r="G454" s="89">
        <v>2021</v>
      </c>
      <c r="H454" s="214" t="s">
        <v>396</v>
      </c>
      <c r="I454" s="215"/>
      <c r="J454" s="33">
        <v>668</v>
      </c>
      <c r="K454" s="212" t="s">
        <v>39</v>
      </c>
      <c r="L454" s="213"/>
      <c r="M454" s="32" t="s">
        <v>40</v>
      </c>
      <c r="N454" s="32" t="s">
        <v>40</v>
      </c>
      <c r="P454" s="125">
        <f t="shared" si="140"/>
        <v>668</v>
      </c>
      <c r="Q454" s="54" t="s">
        <v>526</v>
      </c>
      <c r="R454" s="48"/>
      <c r="S454" s="49"/>
      <c r="T454" s="50">
        <f t="shared" si="139"/>
        <v>0</v>
      </c>
      <c r="V454" s="51">
        <v>668</v>
      </c>
      <c r="W454" s="51"/>
      <c r="X454" s="51"/>
      <c r="Y454" s="51"/>
      <c r="Z454" s="51"/>
      <c r="AA454" s="51"/>
      <c r="AB454" s="51"/>
      <c r="AC454" s="51"/>
      <c r="AD454" s="51"/>
      <c r="AE454" s="51"/>
      <c r="AF454" s="51"/>
      <c r="AG454" s="51"/>
      <c r="AH454" s="51"/>
      <c r="AI454" s="51"/>
      <c r="AJ454" s="51"/>
      <c r="AK454" s="51"/>
      <c r="AL454" s="51"/>
      <c r="AM454" s="51"/>
      <c r="AN454" s="51"/>
      <c r="AO454" s="51"/>
      <c r="AP454" s="51"/>
      <c r="AQ454" s="51"/>
      <c r="AR454" s="51"/>
      <c r="AS454" s="51"/>
      <c r="AT454" s="51"/>
      <c r="AU454" s="51"/>
      <c r="AV454" s="51"/>
      <c r="AW454" s="51"/>
      <c r="AX454" s="51"/>
      <c r="AY454" s="51"/>
      <c r="AZ454" s="51"/>
      <c r="BA454" s="51"/>
      <c r="BB454" s="51"/>
      <c r="BC454" s="51"/>
      <c r="BD454" s="51"/>
      <c r="BE454" s="51"/>
      <c r="BF454" s="51"/>
      <c r="BG454" s="51"/>
      <c r="BH454" s="51"/>
      <c r="BI454" s="51"/>
      <c r="BJ454" s="51"/>
      <c r="BK454" s="51"/>
      <c r="BL454" s="51"/>
      <c r="BM454" s="51"/>
      <c r="BN454" s="51"/>
      <c r="BO454" s="51"/>
      <c r="BP454" s="51"/>
      <c r="BQ454" s="51"/>
      <c r="BR454" s="9">
        <f t="shared" si="137"/>
        <v>1</v>
      </c>
      <c r="BT454" s="53" t="str">
        <f t="shared" si="138"/>
        <v>Northwest Africa 14258</v>
      </c>
      <c r="BU454" s="25"/>
    </row>
    <row r="455" spans="1:73" ht="12.75" customHeight="1" x14ac:dyDescent="0.25">
      <c r="B455" s="23"/>
      <c r="C455" s="209" t="str">
        <f>HYPERLINK("https://sites.wustl.edu/meteoritesite/items/lm_nwa_14280/",Q455)</f>
        <v>Northwest Africa 14280</v>
      </c>
      <c r="D455" s="210"/>
      <c r="E455" s="210"/>
      <c r="F455" s="211"/>
      <c r="G455" s="89">
        <v>2020</v>
      </c>
      <c r="H455" s="208" t="s">
        <v>38</v>
      </c>
      <c r="I455" s="208"/>
      <c r="J455" s="33">
        <v>26</v>
      </c>
      <c r="K455" s="212" t="s">
        <v>66</v>
      </c>
      <c r="L455" s="213"/>
      <c r="M455" s="32" t="s">
        <v>40</v>
      </c>
      <c r="N455" s="32" t="s">
        <v>40</v>
      </c>
      <c r="P455" s="125">
        <f t="shared" si="140"/>
        <v>26</v>
      </c>
      <c r="Q455" s="54" t="s">
        <v>527</v>
      </c>
      <c r="R455" s="48"/>
      <c r="S455" s="49"/>
      <c r="T455" s="50">
        <f t="shared" si="139"/>
        <v>0</v>
      </c>
      <c r="V455" s="51">
        <v>26</v>
      </c>
      <c r="W455" s="51"/>
      <c r="X455" s="51"/>
      <c r="Y455" s="51"/>
      <c r="Z455" s="51"/>
      <c r="AA455" s="51"/>
      <c r="AB455" s="51"/>
      <c r="AC455" s="51"/>
      <c r="AD455" s="51"/>
      <c r="AE455" s="51"/>
      <c r="AF455" s="51"/>
      <c r="AG455" s="51"/>
      <c r="AH455" s="51"/>
      <c r="AI455" s="51"/>
      <c r="AJ455" s="51"/>
      <c r="AK455" s="51"/>
      <c r="AL455" s="51"/>
      <c r="AM455" s="51"/>
      <c r="AN455" s="51"/>
      <c r="AO455" s="51"/>
      <c r="AP455" s="51"/>
      <c r="AQ455" s="51"/>
      <c r="AR455" s="51"/>
      <c r="AS455" s="51"/>
      <c r="AT455" s="51"/>
      <c r="AU455" s="51"/>
      <c r="AV455" s="51"/>
      <c r="AW455" s="51"/>
      <c r="AX455" s="51"/>
      <c r="AY455" s="51"/>
      <c r="AZ455" s="51"/>
      <c r="BA455" s="51"/>
      <c r="BB455" s="51"/>
      <c r="BC455" s="51"/>
      <c r="BD455" s="51"/>
      <c r="BE455" s="51"/>
      <c r="BF455" s="51"/>
      <c r="BG455" s="51"/>
      <c r="BH455" s="51"/>
      <c r="BI455" s="51"/>
      <c r="BJ455" s="51"/>
      <c r="BK455" s="51"/>
      <c r="BL455" s="51"/>
      <c r="BM455" s="51"/>
      <c r="BN455" s="51"/>
      <c r="BO455" s="51"/>
      <c r="BP455" s="51"/>
      <c r="BQ455" s="51"/>
      <c r="BR455" s="9">
        <f t="shared" si="137"/>
        <v>1</v>
      </c>
      <c r="BT455" s="53" t="str">
        <f t="shared" si="138"/>
        <v>Northwest Africa 14280</v>
      </c>
      <c r="BU455" s="25"/>
    </row>
    <row r="456" spans="1:73" ht="12.75" customHeight="1" x14ac:dyDescent="0.25">
      <c r="B456" s="23"/>
      <c r="C456" s="209" t="str">
        <f>HYPERLINK("https://sites.wustl.edu/meteoritesite/items/lm_nwa_14323/",Q456)</f>
        <v>Northwest Africa 14323</v>
      </c>
      <c r="D456" s="210"/>
      <c r="E456" s="210"/>
      <c r="F456" s="211"/>
      <c r="G456" s="89">
        <v>2021</v>
      </c>
      <c r="H456" s="208" t="s">
        <v>470</v>
      </c>
      <c r="I456" s="208"/>
      <c r="J456" s="33">
        <v>52</v>
      </c>
      <c r="K456" s="212" t="s">
        <v>39</v>
      </c>
      <c r="L456" s="213"/>
      <c r="M456" s="32" t="s">
        <v>40</v>
      </c>
      <c r="N456" s="32" t="s">
        <v>40</v>
      </c>
      <c r="P456" s="125">
        <f t="shared" si="140"/>
        <v>52</v>
      </c>
      <c r="Q456" s="54" t="s">
        <v>538</v>
      </c>
      <c r="R456" s="48"/>
      <c r="S456" s="49"/>
      <c r="T456" s="50">
        <f t="shared" si="139"/>
        <v>0</v>
      </c>
      <c r="V456" s="51">
        <v>52</v>
      </c>
      <c r="W456" s="51"/>
      <c r="X456" s="51"/>
      <c r="Y456" s="51"/>
      <c r="Z456" s="51"/>
      <c r="AA456" s="51"/>
      <c r="AB456" s="51"/>
      <c r="AC456" s="51"/>
      <c r="AD456" s="51"/>
      <c r="AE456" s="51"/>
      <c r="AF456" s="51"/>
      <c r="AG456" s="51"/>
      <c r="AH456" s="51"/>
      <c r="AI456" s="51"/>
      <c r="AJ456" s="51"/>
      <c r="AK456" s="51"/>
      <c r="AL456" s="51"/>
      <c r="AM456" s="51"/>
      <c r="AN456" s="51"/>
      <c r="AO456" s="51"/>
      <c r="AP456" s="51"/>
      <c r="AQ456" s="51"/>
      <c r="AR456" s="51"/>
      <c r="AS456" s="51"/>
      <c r="AT456" s="51"/>
      <c r="AU456" s="51"/>
      <c r="AV456" s="51"/>
      <c r="AW456" s="51"/>
      <c r="AX456" s="51"/>
      <c r="AY456" s="51"/>
      <c r="AZ456" s="51"/>
      <c r="BA456" s="51"/>
      <c r="BB456" s="51"/>
      <c r="BC456" s="51"/>
      <c r="BD456" s="51"/>
      <c r="BE456" s="51"/>
      <c r="BF456" s="51"/>
      <c r="BG456" s="51"/>
      <c r="BH456" s="51"/>
      <c r="BI456" s="51"/>
      <c r="BJ456" s="51"/>
      <c r="BK456" s="51"/>
      <c r="BL456" s="51"/>
      <c r="BM456" s="51"/>
      <c r="BN456" s="51"/>
      <c r="BO456" s="51"/>
      <c r="BP456" s="51"/>
      <c r="BQ456" s="51"/>
      <c r="BR456" s="9">
        <f t="shared" si="137"/>
        <v>1</v>
      </c>
      <c r="BT456" s="53" t="str">
        <f t="shared" si="138"/>
        <v>Northwest Africa 14323</v>
      </c>
      <c r="BU456" s="25"/>
    </row>
    <row r="457" spans="1:73" ht="12.75" customHeight="1" x14ac:dyDescent="0.25">
      <c r="B457" s="23"/>
      <c r="C457" s="209" t="str">
        <f>HYPERLINK("https://sites.wustl.edu/meteoritesite/items/lm_nwa_14338/",Q457)</f>
        <v>Northwest Africa 14338</v>
      </c>
      <c r="D457" s="210"/>
      <c r="E457" s="210"/>
      <c r="F457" s="211"/>
      <c r="G457" s="89">
        <v>2019</v>
      </c>
      <c r="H457" s="249" t="s">
        <v>38</v>
      </c>
      <c r="I457" s="249"/>
      <c r="J457" s="32">
        <v>7.6</v>
      </c>
      <c r="K457" s="212" t="s">
        <v>39</v>
      </c>
      <c r="L457" s="213"/>
      <c r="M457" s="32" t="s">
        <v>536</v>
      </c>
      <c r="N457" s="32" t="s">
        <v>40</v>
      </c>
      <c r="P457" s="125">
        <f t="shared" si="140"/>
        <v>7.6</v>
      </c>
      <c r="Q457" s="54" t="s">
        <v>531</v>
      </c>
      <c r="R457" s="48"/>
      <c r="S457" s="49"/>
      <c r="T457" s="50">
        <f t="shared" si="139"/>
        <v>0</v>
      </c>
      <c r="V457" s="51">
        <v>7.6</v>
      </c>
      <c r="W457" s="51"/>
      <c r="X457" s="51"/>
      <c r="Y457" s="51"/>
      <c r="Z457" s="51"/>
      <c r="AA457" s="51"/>
      <c r="AB457" s="51"/>
      <c r="AC457" s="51"/>
      <c r="AD457" s="51"/>
      <c r="AE457" s="51"/>
      <c r="AF457" s="51"/>
      <c r="AG457" s="51"/>
      <c r="AH457" s="51"/>
      <c r="AI457" s="51"/>
      <c r="AJ457" s="51"/>
      <c r="AK457" s="51"/>
      <c r="AL457" s="51"/>
      <c r="AM457" s="51"/>
      <c r="AN457" s="51"/>
      <c r="AO457" s="51"/>
      <c r="AP457" s="51"/>
      <c r="AQ457" s="51"/>
      <c r="AR457" s="51"/>
      <c r="AS457" s="51"/>
      <c r="AT457" s="51"/>
      <c r="AU457" s="51"/>
      <c r="AV457" s="51"/>
      <c r="AW457" s="51"/>
      <c r="AX457" s="51"/>
      <c r="AY457" s="51"/>
      <c r="AZ457" s="51"/>
      <c r="BA457" s="51"/>
      <c r="BB457" s="51"/>
      <c r="BC457" s="51"/>
      <c r="BD457" s="51"/>
      <c r="BE457" s="51"/>
      <c r="BF457" s="51"/>
      <c r="BG457" s="51"/>
      <c r="BH457" s="51"/>
      <c r="BI457" s="51"/>
      <c r="BJ457" s="51"/>
      <c r="BK457" s="51"/>
      <c r="BL457" s="51"/>
      <c r="BM457" s="51"/>
      <c r="BN457" s="51"/>
      <c r="BO457" s="51"/>
      <c r="BP457" s="51"/>
      <c r="BQ457" s="51"/>
      <c r="BR457" s="9">
        <f t="shared" si="137"/>
        <v>1</v>
      </c>
      <c r="BT457" s="53" t="str">
        <f t="shared" si="138"/>
        <v>Northwest Africa 14338</v>
      </c>
      <c r="BU457" s="25"/>
    </row>
    <row r="458" spans="1:73" ht="12.75" customHeight="1" x14ac:dyDescent="0.25">
      <c r="B458" s="23"/>
      <c r="C458" s="209" t="str">
        <f>HYPERLINK("https://sites.wustl.edu/meteoritesite/items/lm_nwa_14341/",Q458)</f>
        <v>Northwest Africa 14341</v>
      </c>
      <c r="D458" s="210"/>
      <c r="E458" s="210"/>
      <c r="F458" s="211"/>
      <c r="G458" s="89">
        <v>2021</v>
      </c>
      <c r="H458" s="214" t="s">
        <v>38</v>
      </c>
      <c r="I458" s="215"/>
      <c r="J458" s="33">
        <v>567</v>
      </c>
      <c r="K458" s="212" t="s">
        <v>39</v>
      </c>
      <c r="L458" s="213"/>
      <c r="M458" s="32" t="s">
        <v>40</v>
      </c>
      <c r="N458" s="32" t="s">
        <v>40</v>
      </c>
      <c r="P458" s="125">
        <f t="shared" si="140"/>
        <v>567</v>
      </c>
      <c r="Q458" s="54" t="s">
        <v>528</v>
      </c>
      <c r="R458" s="48"/>
      <c r="S458" s="49"/>
      <c r="T458" s="50">
        <f t="shared" si="139"/>
        <v>0</v>
      </c>
      <c r="V458" s="51">
        <v>567</v>
      </c>
      <c r="W458" s="51"/>
      <c r="X458" s="51"/>
      <c r="Y458" s="51"/>
      <c r="Z458" s="51"/>
      <c r="AA458" s="51"/>
      <c r="AB458" s="51"/>
      <c r="AC458" s="51"/>
      <c r="AD458" s="51"/>
      <c r="AE458" s="51"/>
      <c r="AF458" s="51"/>
      <c r="AG458" s="51"/>
      <c r="AH458" s="51"/>
      <c r="AI458" s="51"/>
      <c r="AJ458" s="51"/>
      <c r="AK458" s="51"/>
      <c r="AL458" s="51"/>
      <c r="AM458" s="51"/>
      <c r="AN458" s="51"/>
      <c r="AO458" s="51"/>
      <c r="AP458" s="51"/>
      <c r="AQ458" s="51"/>
      <c r="AR458" s="51"/>
      <c r="AS458" s="51"/>
      <c r="AT458" s="51"/>
      <c r="AU458" s="51"/>
      <c r="AV458" s="51"/>
      <c r="AW458" s="51"/>
      <c r="AX458" s="51"/>
      <c r="AY458" s="51"/>
      <c r="AZ458" s="51"/>
      <c r="BA458" s="51"/>
      <c r="BB458" s="51"/>
      <c r="BC458" s="51"/>
      <c r="BD458" s="51"/>
      <c r="BE458" s="51"/>
      <c r="BF458" s="51"/>
      <c r="BG458" s="51"/>
      <c r="BH458" s="51"/>
      <c r="BI458" s="51"/>
      <c r="BJ458" s="51"/>
      <c r="BK458" s="51"/>
      <c r="BL458" s="51"/>
      <c r="BM458" s="51"/>
      <c r="BN458" s="51"/>
      <c r="BO458" s="51"/>
      <c r="BP458" s="51"/>
      <c r="BQ458" s="51"/>
      <c r="BR458" s="9">
        <f t="shared" si="137"/>
        <v>1</v>
      </c>
      <c r="BT458" s="53" t="str">
        <f t="shared" si="138"/>
        <v>Northwest Africa 14341</v>
      </c>
      <c r="BU458" s="25"/>
    </row>
    <row r="459" spans="1:73" ht="12.75" customHeight="1" x14ac:dyDescent="0.25">
      <c r="B459" s="23"/>
      <c r="C459" s="209" t="str">
        <f>HYPERLINK("https://sites.wustl.edu/meteoritesite/items/lm_nwa_14358/",Q459)</f>
        <v>Northwest Africa 14358</v>
      </c>
      <c r="D459" s="210"/>
      <c r="E459" s="210"/>
      <c r="F459" s="211"/>
      <c r="G459" s="89">
        <v>2021</v>
      </c>
      <c r="H459" s="214" t="s">
        <v>396</v>
      </c>
      <c r="I459" s="215"/>
      <c r="J459" s="62">
        <v>299.98</v>
      </c>
      <c r="K459" s="212" t="s">
        <v>39</v>
      </c>
      <c r="L459" s="213"/>
      <c r="M459" s="32" t="s">
        <v>40</v>
      </c>
      <c r="N459" s="32" t="s">
        <v>40</v>
      </c>
      <c r="P459" s="125">
        <f t="shared" si="140"/>
        <v>299.98</v>
      </c>
      <c r="Q459" s="54" t="s">
        <v>532</v>
      </c>
      <c r="R459" s="48"/>
      <c r="S459" s="49"/>
      <c r="T459" s="50">
        <f t="shared" si="139"/>
        <v>0</v>
      </c>
      <c r="V459" s="51">
        <v>299.98</v>
      </c>
      <c r="W459" s="51"/>
      <c r="X459" s="51"/>
      <c r="Y459" s="51"/>
      <c r="Z459" s="51"/>
      <c r="AA459" s="51"/>
      <c r="AB459" s="51"/>
      <c r="AC459" s="51"/>
      <c r="AD459" s="51"/>
      <c r="AE459" s="51"/>
      <c r="AF459" s="51"/>
      <c r="AG459" s="51"/>
      <c r="AH459" s="51"/>
      <c r="AI459" s="51"/>
      <c r="AJ459" s="51"/>
      <c r="AK459" s="51"/>
      <c r="AL459" s="51"/>
      <c r="AM459" s="51"/>
      <c r="AN459" s="51"/>
      <c r="AO459" s="51"/>
      <c r="AP459" s="51"/>
      <c r="AQ459" s="51"/>
      <c r="AR459" s="51"/>
      <c r="AS459" s="51"/>
      <c r="AT459" s="51"/>
      <c r="AU459" s="51"/>
      <c r="AV459" s="51"/>
      <c r="AW459" s="51"/>
      <c r="AX459" s="51"/>
      <c r="AY459" s="51"/>
      <c r="AZ459" s="51"/>
      <c r="BA459" s="51"/>
      <c r="BB459" s="51"/>
      <c r="BC459" s="51"/>
      <c r="BD459" s="51"/>
      <c r="BE459" s="51"/>
      <c r="BF459" s="51"/>
      <c r="BG459" s="51"/>
      <c r="BH459" s="51"/>
      <c r="BI459" s="51"/>
      <c r="BJ459" s="51"/>
      <c r="BK459" s="51"/>
      <c r="BL459" s="51"/>
      <c r="BM459" s="51"/>
      <c r="BN459" s="51"/>
      <c r="BO459" s="51"/>
      <c r="BP459" s="51"/>
      <c r="BQ459" s="51"/>
      <c r="BR459" s="9">
        <f t="shared" si="137"/>
        <v>1</v>
      </c>
      <c r="BT459" s="53" t="str">
        <f t="shared" si="138"/>
        <v>Northwest Africa 14358</v>
      </c>
      <c r="BU459" s="25"/>
    </row>
    <row r="460" spans="1:73" ht="12.75" customHeight="1" x14ac:dyDescent="0.25">
      <c r="B460" s="23"/>
      <c r="C460" s="209" t="str">
        <f>HYPERLINK("https://sites.wustl.edu/meteoritesite/items/lm_nwa_14372/",Q460)</f>
        <v>Northwest Africa 14372</v>
      </c>
      <c r="D460" s="210"/>
      <c r="E460" s="210"/>
      <c r="F460" s="211"/>
      <c r="G460" s="89">
        <v>2021</v>
      </c>
      <c r="H460" s="214" t="s">
        <v>396</v>
      </c>
      <c r="I460" s="215"/>
      <c r="J460" s="33">
        <v>2525</v>
      </c>
      <c r="K460" s="212" t="s">
        <v>39</v>
      </c>
      <c r="L460" s="213"/>
      <c r="M460" s="32" t="s">
        <v>40</v>
      </c>
      <c r="N460" s="32" t="s">
        <v>40</v>
      </c>
      <c r="P460" s="125">
        <f t="shared" si="140"/>
        <v>2525</v>
      </c>
      <c r="Q460" s="54" t="s">
        <v>541</v>
      </c>
      <c r="R460" s="48"/>
      <c r="S460" s="49"/>
      <c r="T460" s="50">
        <f t="shared" si="139"/>
        <v>0</v>
      </c>
      <c r="V460" s="51">
        <v>2525</v>
      </c>
      <c r="W460" s="51"/>
      <c r="X460" s="51"/>
      <c r="Y460" s="51"/>
      <c r="Z460" s="51"/>
      <c r="AA460" s="51"/>
      <c r="AB460" s="51"/>
      <c r="AC460" s="51"/>
      <c r="AD460" s="51"/>
      <c r="AE460" s="51"/>
      <c r="AF460" s="51"/>
      <c r="AG460" s="51"/>
      <c r="AH460" s="51"/>
      <c r="AI460" s="51"/>
      <c r="AJ460" s="51"/>
      <c r="AK460" s="51"/>
      <c r="AL460" s="51"/>
      <c r="AM460" s="51"/>
      <c r="AN460" s="51"/>
      <c r="AO460" s="51"/>
      <c r="AP460" s="51"/>
      <c r="AQ460" s="51"/>
      <c r="AR460" s="51"/>
      <c r="AS460" s="51"/>
      <c r="AT460" s="51"/>
      <c r="AU460" s="51"/>
      <c r="AV460" s="51"/>
      <c r="AW460" s="51"/>
      <c r="AX460" s="51"/>
      <c r="AY460" s="51"/>
      <c r="AZ460" s="51"/>
      <c r="BA460" s="51"/>
      <c r="BB460" s="51"/>
      <c r="BC460" s="51"/>
      <c r="BD460" s="51"/>
      <c r="BE460" s="51"/>
      <c r="BF460" s="51"/>
      <c r="BG460" s="51"/>
      <c r="BH460" s="51"/>
      <c r="BI460" s="51"/>
      <c r="BJ460" s="51"/>
      <c r="BK460" s="51"/>
      <c r="BL460" s="51"/>
      <c r="BM460" s="51"/>
      <c r="BN460" s="51"/>
      <c r="BO460" s="51"/>
      <c r="BP460" s="51"/>
      <c r="BQ460" s="51"/>
      <c r="BR460" s="9">
        <f t="shared" si="137"/>
        <v>1</v>
      </c>
      <c r="BT460" s="53" t="str">
        <f t="shared" si="138"/>
        <v>Northwest Africa 14372</v>
      </c>
      <c r="BU460" s="25"/>
    </row>
    <row r="461" spans="1:73" ht="12.75" customHeight="1" x14ac:dyDescent="0.25">
      <c r="B461" s="23"/>
      <c r="C461" s="209" t="str">
        <f>HYPERLINK("https://sites.wustl.edu/meteoritesite/items/lm_nwa_14415/",Q461)</f>
        <v>Northwest Africa 14415</v>
      </c>
      <c r="D461" s="210"/>
      <c r="E461" s="210"/>
      <c r="F461" s="211"/>
      <c r="G461" s="89">
        <v>2020</v>
      </c>
      <c r="H461" s="214" t="s">
        <v>396</v>
      </c>
      <c r="I461" s="215"/>
      <c r="J461" s="32">
        <v>3.8</v>
      </c>
      <c r="K461" s="212" t="s">
        <v>39</v>
      </c>
      <c r="L461" s="213"/>
      <c r="M461" s="32" t="s">
        <v>40</v>
      </c>
      <c r="N461" s="32" t="s">
        <v>40</v>
      </c>
      <c r="P461" s="125">
        <f t="shared" si="140"/>
        <v>3.8</v>
      </c>
      <c r="Q461" s="54" t="s">
        <v>542</v>
      </c>
      <c r="R461" s="48"/>
      <c r="S461" s="49"/>
      <c r="T461" s="50">
        <f t="shared" si="139"/>
        <v>0</v>
      </c>
      <c r="V461" s="51">
        <v>3.8</v>
      </c>
      <c r="W461" s="51"/>
      <c r="X461" s="51"/>
      <c r="Y461" s="51"/>
      <c r="Z461" s="51"/>
      <c r="AA461" s="51"/>
      <c r="AB461" s="51"/>
      <c r="AC461" s="51"/>
      <c r="AD461" s="51"/>
      <c r="AE461" s="51"/>
      <c r="AF461" s="51"/>
      <c r="AG461" s="51"/>
      <c r="AH461" s="51"/>
      <c r="AI461" s="51"/>
      <c r="AJ461" s="51"/>
      <c r="AK461" s="51"/>
      <c r="AL461" s="51"/>
      <c r="AM461" s="51"/>
      <c r="AN461" s="51"/>
      <c r="AO461" s="51"/>
      <c r="AP461" s="51"/>
      <c r="AQ461" s="51"/>
      <c r="AR461" s="51"/>
      <c r="AS461" s="51"/>
      <c r="AT461" s="51"/>
      <c r="AU461" s="51"/>
      <c r="AV461" s="51"/>
      <c r="AW461" s="51"/>
      <c r="AX461" s="51"/>
      <c r="AY461" s="51"/>
      <c r="AZ461" s="51"/>
      <c r="BA461" s="51"/>
      <c r="BB461" s="51"/>
      <c r="BC461" s="51"/>
      <c r="BD461" s="51"/>
      <c r="BE461" s="51"/>
      <c r="BF461" s="51"/>
      <c r="BG461" s="51"/>
      <c r="BH461" s="51"/>
      <c r="BI461" s="51"/>
      <c r="BJ461" s="51"/>
      <c r="BK461" s="51"/>
      <c r="BL461" s="51"/>
      <c r="BM461" s="51"/>
      <c r="BN461" s="51"/>
      <c r="BO461" s="51"/>
      <c r="BP461" s="51"/>
      <c r="BQ461" s="51"/>
      <c r="BR461" s="9">
        <f t="shared" si="137"/>
        <v>1</v>
      </c>
      <c r="BT461" s="53" t="str">
        <f t="shared" si="138"/>
        <v>Northwest Africa 14415</v>
      </c>
      <c r="BU461" s="25"/>
    </row>
    <row r="462" spans="1:73" ht="12.75" customHeight="1" x14ac:dyDescent="0.25">
      <c r="B462" s="23"/>
      <c r="C462" s="209" t="str">
        <f>HYPERLINK("https://sites.wustl.edu/meteoritesite/items/lm_nwa_14446/",Q462)</f>
        <v>Northwest Africa 14446</v>
      </c>
      <c r="D462" s="210"/>
      <c r="E462" s="210"/>
      <c r="F462" s="211"/>
      <c r="G462" s="89">
        <v>2020</v>
      </c>
      <c r="H462" s="208" t="s">
        <v>616</v>
      </c>
      <c r="I462" s="208"/>
      <c r="J462" s="33">
        <v>384</v>
      </c>
      <c r="K462" s="212" t="s">
        <v>39</v>
      </c>
      <c r="L462" s="213"/>
      <c r="M462" s="32" t="s">
        <v>40</v>
      </c>
      <c r="N462" s="32" t="s">
        <v>40</v>
      </c>
      <c r="P462" s="125">
        <f t="shared" si="140"/>
        <v>384</v>
      </c>
      <c r="Q462" s="54" t="s">
        <v>539</v>
      </c>
      <c r="R462" s="48"/>
      <c r="S462" s="49"/>
      <c r="T462" s="50">
        <f t="shared" si="139"/>
        <v>0</v>
      </c>
      <c r="V462" s="51">
        <v>384</v>
      </c>
      <c r="W462" s="51"/>
      <c r="X462" s="51"/>
      <c r="Y462" s="51"/>
      <c r="Z462" s="51"/>
      <c r="AA462" s="51"/>
      <c r="AB462" s="51"/>
      <c r="AC462" s="51"/>
      <c r="AD462" s="51"/>
      <c r="AE462" s="51"/>
      <c r="AF462" s="51"/>
      <c r="AG462" s="51"/>
      <c r="AH462" s="51"/>
      <c r="AI462" s="51"/>
      <c r="AJ462" s="51"/>
      <c r="AK462" s="51"/>
      <c r="AL462" s="51"/>
      <c r="AM462" s="51"/>
      <c r="AN462" s="51"/>
      <c r="AO462" s="51"/>
      <c r="AP462" s="51"/>
      <c r="AQ462" s="51"/>
      <c r="AR462" s="51"/>
      <c r="AS462" s="51"/>
      <c r="AT462" s="51"/>
      <c r="AU462" s="51"/>
      <c r="AV462" s="51"/>
      <c r="AW462" s="51"/>
      <c r="AX462" s="51"/>
      <c r="AY462" s="51"/>
      <c r="AZ462" s="51"/>
      <c r="BA462" s="51"/>
      <c r="BB462" s="51"/>
      <c r="BC462" s="51"/>
      <c r="BD462" s="51"/>
      <c r="BE462" s="51"/>
      <c r="BF462" s="51"/>
      <c r="BG462" s="51"/>
      <c r="BH462" s="51"/>
      <c r="BI462" s="51"/>
      <c r="BJ462" s="51"/>
      <c r="BK462" s="51"/>
      <c r="BL462" s="51"/>
      <c r="BM462" s="51"/>
      <c r="BN462" s="51"/>
      <c r="BO462" s="51"/>
      <c r="BP462" s="51"/>
      <c r="BQ462" s="51"/>
      <c r="BR462" s="9">
        <f t="shared" si="137"/>
        <v>1</v>
      </c>
      <c r="BT462" s="53" t="str">
        <f t="shared" si="138"/>
        <v>Northwest Africa 14446</v>
      </c>
      <c r="BU462" s="25"/>
    </row>
    <row r="463" spans="1:73" ht="12.75" customHeight="1" x14ac:dyDescent="0.25">
      <c r="B463" s="23"/>
      <c r="C463" s="209" t="str">
        <f>HYPERLINK("https://sites.wustl.edu/meteoritesite/items/lm_nwa_14523/",Q463)</f>
        <v>Northwest Africa 14523</v>
      </c>
      <c r="D463" s="210"/>
      <c r="E463" s="210"/>
      <c r="F463" s="211"/>
      <c r="G463" s="89">
        <v>2020</v>
      </c>
      <c r="H463" s="214" t="s">
        <v>396</v>
      </c>
      <c r="I463" s="215"/>
      <c r="J463" s="33">
        <v>2800</v>
      </c>
      <c r="K463" s="212" t="s">
        <v>35</v>
      </c>
      <c r="L463" s="213"/>
      <c r="M463" s="32" t="s">
        <v>40</v>
      </c>
      <c r="N463" s="32" t="s">
        <v>40</v>
      </c>
      <c r="P463" s="125">
        <f t="shared" si="140"/>
        <v>2800</v>
      </c>
      <c r="Q463" s="54" t="s">
        <v>543</v>
      </c>
      <c r="R463" s="48"/>
      <c r="S463" s="49"/>
      <c r="T463" s="50">
        <f t="shared" si="139"/>
        <v>0</v>
      </c>
      <c r="V463" s="51">
        <v>2800</v>
      </c>
      <c r="W463" s="51"/>
      <c r="X463" s="51"/>
      <c r="Y463" s="51"/>
      <c r="Z463" s="51"/>
      <c r="AA463" s="51"/>
      <c r="AB463" s="51"/>
      <c r="AC463" s="51"/>
      <c r="AD463" s="51"/>
      <c r="AE463" s="51"/>
      <c r="AF463" s="51"/>
      <c r="AG463" s="51"/>
      <c r="AH463" s="51"/>
      <c r="AI463" s="51"/>
      <c r="AJ463" s="51"/>
      <c r="AK463" s="51"/>
      <c r="AL463" s="51"/>
      <c r="AM463" s="51"/>
      <c r="AN463" s="51"/>
      <c r="AO463" s="51"/>
      <c r="AP463" s="51"/>
      <c r="AQ463" s="51"/>
      <c r="AR463" s="51"/>
      <c r="AS463" s="51"/>
      <c r="AT463" s="51"/>
      <c r="AU463" s="51"/>
      <c r="AV463" s="51"/>
      <c r="AW463" s="51"/>
      <c r="AX463" s="51"/>
      <c r="AY463" s="51"/>
      <c r="AZ463" s="51"/>
      <c r="BA463" s="51"/>
      <c r="BB463" s="51"/>
      <c r="BC463" s="51"/>
      <c r="BD463" s="51"/>
      <c r="BE463" s="51"/>
      <c r="BF463" s="51"/>
      <c r="BG463" s="51"/>
      <c r="BH463" s="51"/>
      <c r="BI463" s="51"/>
      <c r="BJ463" s="51"/>
      <c r="BK463" s="51"/>
      <c r="BL463" s="51"/>
      <c r="BM463" s="51"/>
      <c r="BN463" s="51"/>
      <c r="BO463" s="51"/>
      <c r="BP463" s="51"/>
      <c r="BQ463" s="51"/>
      <c r="BR463" s="9">
        <f t="shared" si="137"/>
        <v>1</v>
      </c>
      <c r="BT463" s="53" t="str">
        <f t="shared" si="138"/>
        <v>Northwest Africa 14523</v>
      </c>
      <c r="BU463" s="25"/>
    </row>
    <row r="464" spans="1:73" ht="12.75" customHeight="1" x14ac:dyDescent="0.25">
      <c r="B464" s="23"/>
      <c r="C464" s="209" t="str">
        <f>HYPERLINK("https://sites.wustl.edu/meteoritesite/items/lm_nwa_14524/",Q464)</f>
        <v>Northwest Africa 14524</v>
      </c>
      <c r="D464" s="210"/>
      <c r="E464" s="210"/>
      <c r="F464" s="211"/>
      <c r="G464" s="89">
        <v>2021</v>
      </c>
      <c r="H464" s="214" t="s">
        <v>396</v>
      </c>
      <c r="I464" s="215"/>
      <c r="J464" s="33">
        <v>2000</v>
      </c>
      <c r="K464" s="212" t="s">
        <v>35</v>
      </c>
      <c r="L464" s="213"/>
      <c r="M464" s="32" t="s">
        <v>40</v>
      </c>
      <c r="N464" s="32" t="s">
        <v>40</v>
      </c>
      <c r="P464" s="125">
        <f t="shared" si="140"/>
        <v>2000</v>
      </c>
      <c r="Q464" s="54" t="s">
        <v>544</v>
      </c>
      <c r="R464" s="48"/>
      <c r="S464" s="49"/>
      <c r="T464" s="50">
        <f t="shared" si="139"/>
        <v>0</v>
      </c>
      <c r="V464" s="51">
        <v>2000</v>
      </c>
      <c r="W464" s="51"/>
      <c r="X464" s="51"/>
      <c r="Y464" s="51"/>
      <c r="Z464" s="51"/>
      <c r="AA464" s="51"/>
      <c r="AB464" s="51"/>
      <c r="AC464" s="51"/>
      <c r="AD464" s="51"/>
      <c r="AE464" s="51"/>
      <c r="AF464" s="51"/>
      <c r="AG464" s="51"/>
      <c r="AH464" s="51"/>
      <c r="AI464" s="51"/>
      <c r="AJ464" s="51"/>
      <c r="AK464" s="51"/>
      <c r="AL464" s="51"/>
      <c r="AM464" s="51"/>
      <c r="AN464" s="51"/>
      <c r="AO464" s="51"/>
      <c r="AP464" s="51"/>
      <c r="AQ464" s="51"/>
      <c r="AR464" s="51"/>
      <c r="AS464" s="51"/>
      <c r="AT464" s="51"/>
      <c r="AU464" s="51"/>
      <c r="AV464" s="51"/>
      <c r="AW464" s="51"/>
      <c r="AX464" s="51"/>
      <c r="AY464" s="51"/>
      <c r="AZ464" s="51"/>
      <c r="BA464" s="51"/>
      <c r="BB464" s="51"/>
      <c r="BC464" s="51"/>
      <c r="BD464" s="51"/>
      <c r="BE464" s="51"/>
      <c r="BF464" s="51"/>
      <c r="BG464" s="51"/>
      <c r="BH464" s="51"/>
      <c r="BI464" s="51"/>
      <c r="BJ464" s="51"/>
      <c r="BK464" s="51"/>
      <c r="BL464" s="51"/>
      <c r="BM464" s="51"/>
      <c r="BN464" s="51"/>
      <c r="BO464" s="51"/>
      <c r="BP464" s="51"/>
      <c r="BQ464" s="51"/>
      <c r="BR464" s="9">
        <f t="shared" si="137"/>
        <v>1</v>
      </c>
      <c r="BT464" s="53" t="str">
        <f t="shared" si="138"/>
        <v>Northwest Africa 14524</v>
      </c>
      <c r="BU464" s="25"/>
    </row>
    <row r="465" spans="1:73" ht="12.75" customHeight="1" x14ac:dyDescent="0.25">
      <c r="A465" t="s">
        <v>793</v>
      </c>
      <c r="B465" s="23"/>
      <c r="C465" s="209" t="str">
        <f>HYPERLINK("https://sites.wustl.edu/meteoritesite/items/lm_nwa_14526/",Q465)</f>
        <v>Northwest Africa 14526/ 14992/ 17021</v>
      </c>
      <c r="D465" s="210"/>
      <c r="E465" s="210"/>
      <c r="F465" s="211"/>
      <c r="G465" s="89">
        <v>2021</v>
      </c>
      <c r="H465" s="240" t="s">
        <v>545</v>
      </c>
      <c r="I465" s="240"/>
      <c r="J465" s="33">
        <v>1252</v>
      </c>
      <c r="K465" s="212" t="s">
        <v>39</v>
      </c>
      <c r="L465" s="213"/>
      <c r="M465" s="32" t="s">
        <v>342</v>
      </c>
      <c r="N465" s="32" t="s">
        <v>40</v>
      </c>
      <c r="P465" s="125">
        <f>SUM(V465:BQ465)</f>
        <v>1252</v>
      </c>
      <c r="Q465" s="54" t="s">
        <v>815</v>
      </c>
      <c r="R465" s="48"/>
      <c r="S465" s="49"/>
      <c r="T465" s="50">
        <f>J465-P465</f>
        <v>0</v>
      </c>
      <c r="V465" s="51">
        <v>505</v>
      </c>
      <c r="W465" s="51">
        <v>158</v>
      </c>
      <c r="X465" s="51">
        <v>589</v>
      </c>
      <c r="Y465" s="51"/>
      <c r="Z465" s="51"/>
      <c r="AA465" s="51"/>
      <c r="AB465" s="51"/>
      <c r="AC465" s="51"/>
      <c r="AD465" s="51"/>
      <c r="AE465" s="51"/>
      <c r="AF465" s="51"/>
      <c r="AG465" s="51"/>
      <c r="AH465" s="51"/>
      <c r="AI465" s="51"/>
      <c r="AJ465" s="51"/>
      <c r="AK465" s="51"/>
      <c r="AL465" s="51"/>
      <c r="AM465" s="51"/>
      <c r="AN465" s="51"/>
      <c r="AO465" s="51"/>
      <c r="AP465" s="51"/>
      <c r="AQ465" s="51"/>
      <c r="AR465" s="51"/>
      <c r="AS465" s="51"/>
      <c r="AT465" s="51"/>
      <c r="AU465" s="51"/>
      <c r="AV465" s="51"/>
      <c r="AW465" s="51"/>
      <c r="AX465" s="51"/>
      <c r="AY465" s="51"/>
      <c r="AZ465" s="51"/>
      <c r="BA465" s="51"/>
      <c r="BB465" s="51"/>
      <c r="BC465" s="51"/>
      <c r="BD465" s="51"/>
      <c r="BE465" s="51"/>
      <c r="BF465" s="51"/>
      <c r="BG465" s="51"/>
      <c r="BH465" s="51"/>
      <c r="BI465" s="51"/>
      <c r="BJ465" s="51"/>
      <c r="BK465" s="51"/>
      <c r="BL465" s="51"/>
      <c r="BM465" s="51"/>
      <c r="BN465" s="51"/>
      <c r="BO465" s="51"/>
      <c r="BP465" s="51"/>
      <c r="BQ465" s="51"/>
      <c r="BR465" s="9">
        <f>COUNT(V465:BQ465)</f>
        <v>3</v>
      </c>
      <c r="BT465" s="53" t="str">
        <f>Q465</f>
        <v>Northwest Africa 14526/ 14992/ 17021</v>
      </c>
      <c r="BU465" s="25"/>
    </row>
    <row r="466" spans="1:73" ht="12.75" customHeight="1" x14ac:dyDescent="0.25">
      <c r="B466" s="23"/>
      <c r="C466" s="209" t="str">
        <f>HYPERLINK("https://sites.wustl.edu/meteoritesite/items/lm_nwa_14527/",Q466)</f>
        <v>Northwest Africa 14527</v>
      </c>
      <c r="D466" s="210"/>
      <c r="E466" s="210"/>
      <c r="F466" s="211"/>
      <c r="G466" s="89">
        <v>2020</v>
      </c>
      <c r="H466" s="214" t="s">
        <v>396</v>
      </c>
      <c r="I466" s="215"/>
      <c r="J466" s="33">
        <v>38</v>
      </c>
      <c r="K466" s="212" t="s">
        <v>35</v>
      </c>
      <c r="L466" s="213"/>
      <c r="M466" s="32" t="s">
        <v>40</v>
      </c>
      <c r="N466" s="32" t="s">
        <v>40</v>
      </c>
      <c r="P466" s="125">
        <f t="shared" si="140"/>
        <v>38</v>
      </c>
      <c r="Q466" s="54" t="s">
        <v>558</v>
      </c>
      <c r="R466" s="48"/>
      <c r="S466" s="49"/>
      <c r="T466" s="50">
        <f t="shared" ref="T466" si="146">J466-P466</f>
        <v>0</v>
      </c>
      <c r="V466" s="51">
        <v>38</v>
      </c>
      <c r="W466" s="51"/>
      <c r="X466" s="51"/>
      <c r="Y466" s="51"/>
      <c r="Z466" s="51"/>
      <c r="AA466" s="51"/>
      <c r="AB466" s="51"/>
      <c r="AC466" s="51"/>
      <c r="AD466" s="51"/>
      <c r="AE466" s="51"/>
      <c r="AF466" s="51"/>
      <c r="AG466" s="51"/>
      <c r="AH466" s="51"/>
      <c r="AI466" s="51"/>
      <c r="AJ466" s="51"/>
      <c r="AK466" s="51"/>
      <c r="AL466" s="51"/>
      <c r="AM466" s="51"/>
      <c r="AN466" s="51"/>
      <c r="AO466" s="51"/>
      <c r="AP466" s="51"/>
      <c r="AQ466" s="51"/>
      <c r="AR466" s="51"/>
      <c r="AS466" s="51"/>
      <c r="AT466" s="51"/>
      <c r="AU466" s="51"/>
      <c r="AV466" s="51"/>
      <c r="AW466" s="51"/>
      <c r="AX466" s="51"/>
      <c r="AY466" s="51"/>
      <c r="AZ466" s="51"/>
      <c r="BA466" s="51"/>
      <c r="BB466" s="51"/>
      <c r="BC466" s="51"/>
      <c r="BD466" s="51"/>
      <c r="BE466" s="51"/>
      <c r="BF466" s="51"/>
      <c r="BG466" s="51"/>
      <c r="BH466" s="51"/>
      <c r="BI466" s="51"/>
      <c r="BJ466" s="51"/>
      <c r="BK466" s="51"/>
      <c r="BL466" s="51"/>
      <c r="BM466" s="51"/>
      <c r="BN466" s="51"/>
      <c r="BO466" s="51"/>
      <c r="BP466" s="51"/>
      <c r="BQ466" s="51"/>
      <c r="BR466" s="9">
        <f t="shared" si="137"/>
        <v>1</v>
      </c>
      <c r="BT466" s="53" t="str">
        <f t="shared" si="138"/>
        <v>Northwest Africa 14527</v>
      </c>
      <c r="BU466" s="25"/>
    </row>
    <row r="467" spans="1:73" ht="12.75" customHeight="1" x14ac:dyDescent="0.25">
      <c r="B467" s="23"/>
      <c r="C467" s="209" t="str">
        <f>HYPERLINK("https://sites.wustl.edu/meteoritesite/items/lm_nwa_14531/",Q467)</f>
        <v>Northwest Africa 14531/ 14532</v>
      </c>
      <c r="D467" s="210"/>
      <c r="E467" s="210"/>
      <c r="F467" s="211"/>
      <c r="G467" s="89">
        <v>2021</v>
      </c>
      <c r="H467" s="214" t="s">
        <v>396</v>
      </c>
      <c r="I467" s="215"/>
      <c r="J467" s="32">
        <v>27.02</v>
      </c>
      <c r="K467" s="212" t="s">
        <v>39</v>
      </c>
      <c r="L467" s="213"/>
      <c r="M467" s="32" t="s">
        <v>40</v>
      </c>
      <c r="N467" s="32" t="s">
        <v>40</v>
      </c>
      <c r="P467" s="125">
        <f t="shared" si="140"/>
        <v>27.02</v>
      </c>
      <c r="Q467" s="54" t="s">
        <v>555</v>
      </c>
      <c r="R467" s="48"/>
      <c r="S467" s="49"/>
      <c r="T467" s="50">
        <f t="shared" si="139"/>
        <v>0</v>
      </c>
      <c r="V467" s="51">
        <v>9.32</v>
      </c>
      <c r="W467" s="51">
        <v>17.7</v>
      </c>
      <c r="X467" s="51"/>
      <c r="Y467" s="51"/>
      <c r="Z467" s="51"/>
      <c r="AA467" s="51"/>
      <c r="AB467" s="51"/>
      <c r="AC467" s="51"/>
      <c r="AD467" s="51"/>
      <c r="AE467" s="51"/>
      <c r="AF467" s="51"/>
      <c r="AG467" s="51"/>
      <c r="AH467" s="51"/>
      <c r="AI467" s="51"/>
      <c r="AJ467" s="51"/>
      <c r="AK467" s="51"/>
      <c r="AL467" s="51"/>
      <c r="AM467" s="51"/>
      <c r="AN467" s="51"/>
      <c r="AO467" s="51"/>
      <c r="AP467" s="51"/>
      <c r="AQ467" s="51"/>
      <c r="AR467" s="51"/>
      <c r="AS467" s="51"/>
      <c r="AT467" s="51"/>
      <c r="AU467" s="51"/>
      <c r="AV467" s="51"/>
      <c r="AW467" s="51"/>
      <c r="AX467" s="51"/>
      <c r="AY467" s="51"/>
      <c r="AZ467" s="51"/>
      <c r="BA467" s="51"/>
      <c r="BB467" s="51"/>
      <c r="BC467" s="51"/>
      <c r="BD467" s="51"/>
      <c r="BE467" s="51"/>
      <c r="BF467" s="51"/>
      <c r="BG467" s="51"/>
      <c r="BH467" s="51"/>
      <c r="BI467" s="51"/>
      <c r="BJ467" s="51"/>
      <c r="BK467" s="51"/>
      <c r="BL467" s="51"/>
      <c r="BM467" s="51"/>
      <c r="BN467" s="51"/>
      <c r="BO467" s="51"/>
      <c r="BP467" s="51"/>
      <c r="BQ467" s="51"/>
      <c r="BR467" s="9">
        <f t="shared" si="137"/>
        <v>2</v>
      </c>
      <c r="BT467" s="53" t="str">
        <f t="shared" si="138"/>
        <v>Northwest Africa 14531/ 14532</v>
      </c>
      <c r="BU467" s="25"/>
    </row>
    <row r="468" spans="1:73" ht="12.75" customHeight="1" x14ac:dyDescent="0.25">
      <c r="B468" s="23"/>
      <c r="C468" s="209" t="str">
        <f>HYPERLINK("https://sites.wustl.edu/meteoritesite/items/lm_nwa_14540/",Q468)</f>
        <v>Northwest Africa 14540</v>
      </c>
      <c r="D468" s="210"/>
      <c r="E468" s="210"/>
      <c r="F468" s="211"/>
      <c r="G468" s="89">
        <v>2021</v>
      </c>
      <c r="H468" s="214" t="s">
        <v>396</v>
      </c>
      <c r="I468" s="215"/>
      <c r="J468" s="32">
        <v>25.3</v>
      </c>
      <c r="K468" s="212" t="s">
        <v>39</v>
      </c>
      <c r="L468" s="213"/>
      <c r="M468" s="32" t="s">
        <v>40</v>
      </c>
      <c r="N468" s="32" t="s">
        <v>40</v>
      </c>
      <c r="P468" s="125">
        <f t="shared" si="140"/>
        <v>25.3</v>
      </c>
      <c r="Q468" s="54" t="s">
        <v>556</v>
      </c>
      <c r="R468" s="48"/>
      <c r="S468" s="49"/>
      <c r="T468" s="50">
        <f t="shared" si="139"/>
        <v>0</v>
      </c>
      <c r="V468" s="51">
        <v>25.3</v>
      </c>
      <c r="W468" s="51"/>
      <c r="X468" s="51"/>
      <c r="Y468" s="51"/>
      <c r="Z468" s="51"/>
      <c r="AA468" s="51"/>
      <c r="AB468" s="51"/>
      <c r="AC468" s="51"/>
      <c r="AD468" s="51"/>
      <c r="AE468" s="51"/>
      <c r="AF468" s="51"/>
      <c r="AG468" s="51"/>
      <c r="AH468" s="51"/>
      <c r="AI468" s="51"/>
      <c r="AJ468" s="51"/>
      <c r="AK468" s="51"/>
      <c r="AL468" s="51"/>
      <c r="AM468" s="51"/>
      <c r="AN468" s="51"/>
      <c r="AO468" s="51"/>
      <c r="AP468" s="51"/>
      <c r="AQ468" s="51"/>
      <c r="AR468" s="51"/>
      <c r="AS468" s="51"/>
      <c r="AT468" s="51"/>
      <c r="AU468" s="51"/>
      <c r="AV468" s="51"/>
      <c r="AW468" s="51"/>
      <c r="AX468" s="51"/>
      <c r="AY468" s="51"/>
      <c r="AZ468" s="51"/>
      <c r="BA468" s="51"/>
      <c r="BB468" s="51"/>
      <c r="BC468" s="51"/>
      <c r="BD468" s="51"/>
      <c r="BE468" s="51"/>
      <c r="BF468" s="51"/>
      <c r="BG468" s="51"/>
      <c r="BH468" s="51"/>
      <c r="BI468" s="51"/>
      <c r="BJ468" s="51"/>
      <c r="BK468" s="51"/>
      <c r="BL468" s="51"/>
      <c r="BM468" s="51"/>
      <c r="BN468" s="51"/>
      <c r="BO468" s="51"/>
      <c r="BP468" s="51"/>
      <c r="BQ468" s="51"/>
      <c r="BR468" s="9">
        <f t="shared" si="137"/>
        <v>1</v>
      </c>
      <c r="BT468" s="53" t="str">
        <f t="shared" si="138"/>
        <v>Northwest Africa 14540</v>
      </c>
      <c r="BU468" s="25"/>
    </row>
    <row r="469" spans="1:73" ht="12.75" customHeight="1" x14ac:dyDescent="0.25">
      <c r="B469" s="23"/>
      <c r="C469" s="209" t="str">
        <f>HYPERLINK("https://sites.wustl.edu/meteoritesite/items/lm_nwa_14576/",Q469)</f>
        <v>Northwest Africa 14576</v>
      </c>
      <c r="D469" s="210"/>
      <c r="E469" s="210"/>
      <c r="F469" s="211"/>
      <c r="G469" s="89">
        <v>2021</v>
      </c>
      <c r="H469" s="208" t="s">
        <v>38</v>
      </c>
      <c r="I469" s="208"/>
      <c r="J469" s="31">
        <v>10050</v>
      </c>
      <c r="K469" s="212" t="s">
        <v>39</v>
      </c>
      <c r="L469" s="213"/>
      <c r="M469" s="32" t="s">
        <v>40</v>
      </c>
      <c r="N469" s="32" t="s">
        <v>40</v>
      </c>
      <c r="P469" s="125">
        <f t="shared" si="140"/>
        <v>10050</v>
      </c>
      <c r="Q469" s="54" t="s">
        <v>550</v>
      </c>
      <c r="R469" s="48"/>
      <c r="S469" s="49"/>
      <c r="T469" s="50">
        <f t="shared" si="139"/>
        <v>0</v>
      </c>
      <c r="V469" s="51">
        <v>10050</v>
      </c>
      <c r="W469" s="51"/>
      <c r="X469" s="51"/>
      <c r="Y469" s="51"/>
      <c r="Z469" s="51"/>
      <c r="AA469" s="51"/>
      <c r="AB469" s="51"/>
      <c r="AC469" s="51"/>
      <c r="AD469" s="51"/>
      <c r="AE469" s="51"/>
      <c r="AF469" s="51"/>
      <c r="AG469" s="51"/>
      <c r="AH469" s="51"/>
      <c r="AI469" s="51"/>
      <c r="AJ469" s="51"/>
      <c r="AK469" s="51"/>
      <c r="AL469" s="51"/>
      <c r="AM469" s="51"/>
      <c r="AN469" s="51"/>
      <c r="AO469" s="51"/>
      <c r="AP469" s="51"/>
      <c r="AQ469" s="51"/>
      <c r="AR469" s="51"/>
      <c r="AS469" s="51"/>
      <c r="AT469" s="51"/>
      <c r="AU469" s="51"/>
      <c r="AV469" s="51"/>
      <c r="AW469" s="51"/>
      <c r="AX469" s="51"/>
      <c r="AY469" s="51"/>
      <c r="AZ469" s="51"/>
      <c r="BA469" s="51"/>
      <c r="BB469" s="51"/>
      <c r="BC469" s="51"/>
      <c r="BD469" s="51"/>
      <c r="BE469" s="51"/>
      <c r="BF469" s="51"/>
      <c r="BG469" s="51"/>
      <c r="BH469" s="51"/>
      <c r="BI469" s="51"/>
      <c r="BJ469" s="51"/>
      <c r="BK469" s="51"/>
      <c r="BL469" s="51"/>
      <c r="BM469" s="51"/>
      <c r="BN469" s="51"/>
      <c r="BO469" s="51"/>
      <c r="BP469" s="51"/>
      <c r="BQ469" s="51"/>
      <c r="BR469" s="9">
        <f t="shared" si="137"/>
        <v>1</v>
      </c>
      <c r="BT469" s="53" t="str">
        <f t="shared" si="138"/>
        <v>Northwest Africa 14576</v>
      </c>
      <c r="BU469" s="25"/>
    </row>
    <row r="470" spans="1:73" ht="12.75" customHeight="1" x14ac:dyDescent="0.25">
      <c r="B470" s="23"/>
      <c r="C470" s="209" t="str">
        <f>HYPERLINK("https://sites.wustl.edu/meteoritesite/items/lm_nwa_14577/",Q470)</f>
        <v>Northwest Africa 14577</v>
      </c>
      <c r="D470" s="210"/>
      <c r="E470" s="210"/>
      <c r="F470" s="211"/>
      <c r="G470" s="89">
        <v>2021</v>
      </c>
      <c r="H470" s="208" t="s">
        <v>38</v>
      </c>
      <c r="I470" s="208"/>
      <c r="J470" s="33">
        <v>1008</v>
      </c>
      <c r="K470" s="212" t="s">
        <v>39</v>
      </c>
      <c r="L470" s="213"/>
      <c r="M470" s="32" t="s">
        <v>40</v>
      </c>
      <c r="N470" s="32" t="s">
        <v>40</v>
      </c>
      <c r="P470" s="125">
        <f t="shared" si="140"/>
        <v>1008</v>
      </c>
      <c r="Q470" s="54" t="s">
        <v>551</v>
      </c>
      <c r="R470" s="48"/>
      <c r="S470" s="49"/>
      <c r="T470" s="50">
        <f t="shared" si="139"/>
        <v>0</v>
      </c>
      <c r="V470" s="51">
        <v>1008</v>
      </c>
      <c r="W470" s="51"/>
      <c r="X470" s="51"/>
      <c r="Y470" s="51"/>
      <c r="Z470" s="51"/>
      <c r="AA470" s="51"/>
      <c r="AB470" s="51"/>
      <c r="AC470" s="51"/>
      <c r="AD470" s="51"/>
      <c r="AE470" s="51"/>
      <c r="AF470" s="51"/>
      <c r="AG470" s="51"/>
      <c r="AH470" s="51"/>
      <c r="AI470" s="51"/>
      <c r="AJ470" s="51"/>
      <c r="AK470" s="51"/>
      <c r="AL470" s="51"/>
      <c r="AM470" s="51"/>
      <c r="AN470" s="51"/>
      <c r="AO470" s="51"/>
      <c r="AP470" s="51"/>
      <c r="AQ470" s="51"/>
      <c r="AR470" s="51"/>
      <c r="AS470" s="51"/>
      <c r="AT470" s="51"/>
      <c r="AU470" s="51"/>
      <c r="AV470" s="51"/>
      <c r="AW470" s="51"/>
      <c r="AX470" s="51"/>
      <c r="AY470" s="51"/>
      <c r="AZ470" s="51"/>
      <c r="BA470" s="51"/>
      <c r="BB470" s="51"/>
      <c r="BC470" s="51"/>
      <c r="BD470" s="51"/>
      <c r="BE470" s="51"/>
      <c r="BF470" s="51"/>
      <c r="BG470" s="51"/>
      <c r="BH470" s="51"/>
      <c r="BI470" s="51"/>
      <c r="BJ470" s="51"/>
      <c r="BK470" s="51"/>
      <c r="BL470" s="51"/>
      <c r="BM470" s="51"/>
      <c r="BN470" s="51"/>
      <c r="BO470" s="51"/>
      <c r="BP470" s="51"/>
      <c r="BQ470" s="51"/>
      <c r="BR470" s="9">
        <f t="shared" si="137"/>
        <v>1</v>
      </c>
      <c r="BT470" s="53" t="str">
        <f t="shared" si="138"/>
        <v>Northwest Africa 14577</v>
      </c>
      <c r="BU470" s="25"/>
    </row>
    <row r="471" spans="1:73" ht="12.75" customHeight="1" x14ac:dyDescent="0.25">
      <c r="B471" s="23"/>
      <c r="C471" s="209" t="str">
        <f>HYPERLINK("https://sites.wustl.edu/meteoritesite/items/lm_nwa_14594/",Q471)</f>
        <v>Northwest Africa 14594</v>
      </c>
      <c r="D471" s="210"/>
      <c r="E471" s="210"/>
      <c r="F471" s="211"/>
      <c r="G471" s="89">
        <v>2021</v>
      </c>
      <c r="H471" s="214" t="s">
        <v>616</v>
      </c>
      <c r="I471" s="215"/>
      <c r="J471" s="33">
        <v>29</v>
      </c>
      <c r="K471" s="212" t="s">
        <v>39</v>
      </c>
      <c r="L471" s="213"/>
      <c r="M471" s="32" t="s">
        <v>40</v>
      </c>
      <c r="N471" s="32" t="s">
        <v>40</v>
      </c>
      <c r="P471" s="125">
        <f t="shared" si="140"/>
        <v>29</v>
      </c>
      <c r="Q471" s="54" t="s">
        <v>552</v>
      </c>
      <c r="R471" s="48"/>
      <c r="S471" s="49"/>
      <c r="T471" s="50">
        <f t="shared" si="139"/>
        <v>0</v>
      </c>
      <c r="V471" s="51">
        <v>29</v>
      </c>
      <c r="W471" s="51"/>
      <c r="X471" s="51"/>
      <c r="Y471" s="51"/>
      <c r="Z471" s="51"/>
      <c r="AA471" s="51"/>
      <c r="AB471" s="51"/>
      <c r="AC471" s="51"/>
      <c r="AD471" s="51"/>
      <c r="AE471" s="51"/>
      <c r="AF471" s="51"/>
      <c r="AG471" s="51"/>
      <c r="AH471" s="51"/>
      <c r="AI471" s="51"/>
      <c r="AJ471" s="51"/>
      <c r="AK471" s="51"/>
      <c r="AL471" s="51"/>
      <c r="AM471" s="51"/>
      <c r="AN471" s="51"/>
      <c r="AO471" s="51"/>
      <c r="AP471" s="51"/>
      <c r="AQ471" s="51"/>
      <c r="AR471" s="51"/>
      <c r="AS471" s="51"/>
      <c r="AT471" s="51"/>
      <c r="AU471" s="51"/>
      <c r="AV471" s="51"/>
      <c r="AW471" s="51"/>
      <c r="AX471" s="51"/>
      <c r="AY471" s="51"/>
      <c r="AZ471" s="51"/>
      <c r="BA471" s="51"/>
      <c r="BB471" s="51"/>
      <c r="BC471" s="51"/>
      <c r="BD471" s="51"/>
      <c r="BE471" s="51"/>
      <c r="BF471" s="51"/>
      <c r="BG471" s="51"/>
      <c r="BH471" s="51"/>
      <c r="BI471" s="51"/>
      <c r="BJ471" s="51"/>
      <c r="BK471" s="51"/>
      <c r="BL471" s="51"/>
      <c r="BM471" s="51"/>
      <c r="BN471" s="51"/>
      <c r="BO471" s="51"/>
      <c r="BP471" s="51"/>
      <c r="BQ471" s="51"/>
      <c r="BR471" s="9">
        <f t="shared" si="137"/>
        <v>1</v>
      </c>
      <c r="BT471" s="53" t="str">
        <f t="shared" si="138"/>
        <v>Northwest Africa 14594</v>
      </c>
      <c r="BU471" s="25"/>
    </row>
    <row r="472" spans="1:73" ht="12.75" customHeight="1" x14ac:dyDescent="0.25">
      <c r="B472" s="23"/>
      <c r="C472" s="209" t="str">
        <f>HYPERLINK("https://sites.wustl.edu/meteoritesite/items/lm_nwa_14657/",Q472)</f>
        <v>Northwest Africa 14657</v>
      </c>
      <c r="D472" s="210"/>
      <c r="E472" s="210"/>
      <c r="F472" s="211"/>
      <c r="G472" s="89">
        <v>2021</v>
      </c>
      <c r="H472" s="208" t="s">
        <v>38</v>
      </c>
      <c r="I472" s="208"/>
      <c r="J472" s="32">
        <v>163.9</v>
      </c>
      <c r="K472" s="212" t="s">
        <v>39</v>
      </c>
      <c r="L472" s="213"/>
      <c r="M472" s="32" t="s">
        <v>40</v>
      </c>
      <c r="N472" s="32" t="s">
        <v>40</v>
      </c>
      <c r="P472" s="125">
        <f t="shared" ref="P472:P473" si="147">SUM(V472:BQ472)</f>
        <v>163.9</v>
      </c>
      <c r="Q472" s="54" t="s">
        <v>570</v>
      </c>
      <c r="R472" s="48"/>
      <c r="S472" s="49"/>
      <c r="T472" s="50">
        <f t="shared" ref="T472:T473" si="148">J472-P472</f>
        <v>0</v>
      </c>
      <c r="V472" s="51">
        <v>163.9</v>
      </c>
      <c r="W472" s="51"/>
      <c r="X472" s="51"/>
      <c r="Y472" s="51"/>
      <c r="Z472" s="51"/>
      <c r="AA472" s="51"/>
      <c r="AB472" s="51"/>
      <c r="AC472" s="51"/>
      <c r="AD472" s="51"/>
      <c r="AE472" s="51"/>
      <c r="AF472" s="51"/>
      <c r="AG472" s="51"/>
      <c r="AH472" s="51"/>
      <c r="AI472" s="51"/>
      <c r="AJ472" s="51"/>
      <c r="AK472" s="51"/>
      <c r="AL472" s="51"/>
      <c r="AM472" s="51"/>
      <c r="AN472" s="51"/>
      <c r="AO472" s="51"/>
      <c r="AP472" s="51"/>
      <c r="AQ472" s="51"/>
      <c r="AR472" s="51"/>
      <c r="AS472" s="51"/>
      <c r="AT472" s="51"/>
      <c r="AU472" s="51"/>
      <c r="AV472" s="51"/>
      <c r="AW472" s="51"/>
      <c r="AX472" s="51"/>
      <c r="AY472" s="51"/>
      <c r="AZ472" s="51"/>
      <c r="BA472" s="51"/>
      <c r="BB472" s="51"/>
      <c r="BC472" s="51"/>
      <c r="BD472" s="51"/>
      <c r="BE472" s="51"/>
      <c r="BF472" s="51"/>
      <c r="BG472" s="51"/>
      <c r="BH472" s="51"/>
      <c r="BI472" s="51"/>
      <c r="BJ472" s="51"/>
      <c r="BK472" s="51"/>
      <c r="BL472" s="51"/>
      <c r="BM472" s="51"/>
      <c r="BN472" s="51"/>
      <c r="BO472" s="51"/>
      <c r="BP472" s="51"/>
      <c r="BQ472" s="51"/>
      <c r="BR472" s="9">
        <f t="shared" si="137"/>
        <v>1</v>
      </c>
      <c r="BT472" s="53" t="str">
        <f t="shared" si="138"/>
        <v>Northwest Africa 14657</v>
      </c>
      <c r="BU472" s="25"/>
    </row>
    <row r="473" spans="1:73" ht="12.75" customHeight="1" x14ac:dyDescent="0.25">
      <c r="B473" s="23"/>
      <c r="C473" s="209" t="str">
        <f>HYPERLINK("https://sites.wustl.edu/meteoritesite/items/lm_nwa_14681/",Q473)</f>
        <v>Northwest Africa 14681</v>
      </c>
      <c r="D473" s="210"/>
      <c r="E473" s="210"/>
      <c r="F473" s="211"/>
      <c r="G473" s="89">
        <v>2021</v>
      </c>
      <c r="H473" s="208" t="s">
        <v>510</v>
      </c>
      <c r="I473" s="208"/>
      <c r="J473" s="33">
        <v>4900</v>
      </c>
      <c r="K473" s="212" t="s">
        <v>39</v>
      </c>
      <c r="L473" s="213"/>
      <c r="M473" s="32" t="s">
        <v>40</v>
      </c>
      <c r="N473" s="32" t="s">
        <v>40</v>
      </c>
      <c r="P473" s="125">
        <f t="shared" si="147"/>
        <v>4900</v>
      </c>
      <c r="Q473" s="54" t="s">
        <v>612</v>
      </c>
      <c r="R473" s="48"/>
      <c r="S473" s="49"/>
      <c r="T473" s="50">
        <f t="shared" si="148"/>
        <v>0</v>
      </c>
      <c r="V473" s="51">
        <v>4900</v>
      </c>
      <c r="W473" s="51"/>
      <c r="X473" s="51"/>
      <c r="Y473" s="51"/>
      <c r="Z473" s="51"/>
      <c r="AA473" s="51"/>
      <c r="AB473" s="51"/>
      <c r="AC473" s="51"/>
      <c r="AD473" s="51"/>
      <c r="AE473" s="51"/>
      <c r="AF473" s="51"/>
      <c r="AG473" s="51"/>
      <c r="AH473" s="51"/>
      <c r="AI473" s="51"/>
      <c r="AJ473" s="51"/>
      <c r="AK473" s="51"/>
      <c r="AL473" s="51"/>
      <c r="AM473" s="51"/>
      <c r="AN473" s="51"/>
      <c r="AO473" s="51"/>
      <c r="AP473" s="51"/>
      <c r="AQ473" s="51"/>
      <c r="AR473" s="51"/>
      <c r="AS473" s="51"/>
      <c r="AT473" s="51"/>
      <c r="AU473" s="51"/>
      <c r="AV473" s="51"/>
      <c r="AW473" s="51"/>
      <c r="AX473" s="51"/>
      <c r="AY473" s="51"/>
      <c r="AZ473" s="51"/>
      <c r="BA473" s="51"/>
      <c r="BB473" s="51"/>
      <c r="BC473" s="51"/>
      <c r="BD473" s="51"/>
      <c r="BE473" s="51"/>
      <c r="BF473" s="51"/>
      <c r="BG473" s="51"/>
      <c r="BH473" s="51"/>
      <c r="BI473" s="51"/>
      <c r="BJ473" s="51"/>
      <c r="BK473" s="51"/>
      <c r="BL473" s="51"/>
      <c r="BM473" s="51"/>
      <c r="BN473" s="51"/>
      <c r="BO473" s="51"/>
      <c r="BP473" s="51"/>
      <c r="BQ473" s="51"/>
      <c r="BR473" s="9">
        <f t="shared" ref="BR473" si="149">COUNT(V473:BQ473)</f>
        <v>1</v>
      </c>
      <c r="BT473" s="53" t="str">
        <f t="shared" ref="BT473" si="150">Q473</f>
        <v>Northwest Africa 14681</v>
      </c>
      <c r="BU473" s="25"/>
    </row>
    <row r="474" spans="1:73" ht="12.75" customHeight="1" x14ac:dyDescent="0.25">
      <c r="B474" s="23"/>
      <c r="C474" s="209" t="str">
        <f>HYPERLINK("https://sites.wustl.edu/meteoritesite/items/lm_nwa_14685/",Q474)</f>
        <v>Northwest Africa 14685/ 14686</v>
      </c>
      <c r="D474" s="210"/>
      <c r="E474" s="210"/>
      <c r="F474" s="211"/>
      <c r="G474" s="89">
        <v>2020</v>
      </c>
      <c r="H474" s="208" t="s">
        <v>38</v>
      </c>
      <c r="I474" s="208"/>
      <c r="J474" s="31">
        <v>20000</v>
      </c>
      <c r="K474" s="212" t="s">
        <v>39</v>
      </c>
      <c r="L474" s="213"/>
      <c r="M474" s="32" t="s">
        <v>40</v>
      </c>
      <c r="N474" s="32" t="s">
        <v>40</v>
      </c>
      <c r="P474" s="125">
        <f t="shared" si="140"/>
        <v>20000</v>
      </c>
      <c r="Q474" s="54" t="s">
        <v>582</v>
      </c>
      <c r="R474" s="48"/>
      <c r="S474" s="49"/>
      <c r="T474" s="50">
        <f t="shared" si="139"/>
        <v>0</v>
      </c>
      <c r="V474" s="51">
        <v>8000</v>
      </c>
      <c r="W474" s="51">
        <v>12000</v>
      </c>
      <c r="X474" s="51"/>
      <c r="Y474" s="51"/>
      <c r="Z474" s="51"/>
      <c r="AA474" s="51"/>
      <c r="AB474" s="51"/>
      <c r="AC474" s="51"/>
      <c r="AD474" s="51"/>
      <c r="AE474" s="51"/>
      <c r="AF474" s="51"/>
      <c r="AG474" s="51"/>
      <c r="AH474" s="51"/>
      <c r="AI474" s="51"/>
      <c r="AJ474" s="51"/>
      <c r="AK474" s="51"/>
      <c r="AL474" s="51"/>
      <c r="AM474" s="51"/>
      <c r="AN474" s="51"/>
      <c r="AO474" s="51"/>
      <c r="AP474" s="51"/>
      <c r="AQ474" s="51"/>
      <c r="AR474" s="51"/>
      <c r="AS474" s="51"/>
      <c r="AT474" s="51"/>
      <c r="AU474" s="51"/>
      <c r="AV474" s="51"/>
      <c r="AW474" s="51"/>
      <c r="AX474" s="51"/>
      <c r="AY474" s="51"/>
      <c r="AZ474" s="51"/>
      <c r="BA474" s="51"/>
      <c r="BB474" s="51"/>
      <c r="BC474" s="51"/>
      <c r="BD474" s="51"/>
      <c r="BE474" s="51"/>
      <c r="BF474" s="51"/>
      <c r="BG474" s="51"/>
      <c r="BH474" s="51"/>
      <c r="BI474" s="51"/>
      <c r="BJ474" s="51"/>
      <c r="BK474" s="51"/>
      <c r="BL474" s="51"/>
      <c r="BM474" s="51"/>
      <c r="BN474" s="51"/>
      <c r="BO474" s="51"/>
      <c r="BP474" s="51"/>
      <c r="BQ474" s="51"/>
      <c r="BR474" s="9">
        <f t="shared" si="137"/>
        <v>2</v>
      </c>
      <c r="BT474" s="53" t="str">
        <f t="shared" si="138"/>
        <v>Northwest Africa 14685/ 14686</v>
      </c>
      <c r="BU474" s="25"/>
    </row>
    <row r="475" spans="1:73" ht="12.75" customHeight="1" x14ac:dyDescent="0.25">
      <c r="B475" s="23"/>
      <c r="C475" s="209" t="str">
        <f>HYPERLINK("https://sites.wustl.edu/meteoritesite/items/lm_nwa_14687/",Q475)</f>
        <v>Northwest Africa 14687</v>
      </c>
      <c r="D475" s="210"/>
      <c r="E475" s="210"/>
      <c r="F475" s="211"/>
      <c r="G475" s="89">
        <v>2020</v>
      </c>
      <c r="H475" s="208" t="s">
        <v>38</v>
      </c>
      <c r="I475" s="208"/>
      <c r="J475" s="33">
        <v>4900</v>
      </c>
      <c r="K475" s="212" t="s">
        <v>39</v>
      </c>
      <c r="L475" s="213"/>
      <c r="M475" s="32" t="s">
        <v>40</v>
      </c>
      <c r="N475" s="32" t="s">
        <v>40</v>
      </c>
      <c r="P475" s="125">
        <f t="shared" si="140"/>
        <v>4900</v>
      </c>
      <c r="Q475" s="54" t="s">
        <v>559</v>
      </c>
      <c r="R475" s="48"/>
      <c r="S475" s="49"/>
      <c r="T475" s="50">
        <f t="shared" si="139"/>
        <v>0</v>
      </c>
      <c r="V475" s="51">
        <v>4900</v>
      </c>
      <c r="W475" s="51"/>
      <c r="X475" s="51"/>
      <c r="Y475" s="51"/>
      <c r="Z475" s="51"/>
      <c r="AA475" s="51"/>
      <c r="AB475" s="51"/>
      <c r="AC475" s="51"/>
      <c r="AD475" s="51"/>
      <c r="AE475" s="51"/>
      <c r="AF475" s="51"/>
      <c r="AG475" s="51"/>
      <c r="AH475" s="51"/>
      <c r="AI475" s="51"/>
      <c r="AJ475" s="51"/>
      <c r="AK475" s="51"/>
      <c r="AL475" s="51"/>
      <c r="AM475" s="51"/>
      <c r="AN475" s="51"/>
      <c r="AO475" s="51"/>
      <c r="AP475" s="51"/>
      <c r="AQ475" s="51"/>
      <c r="AR475" s="51"/>
      <c r="AS475" s="51"/>
      <c r="AT475" s="51"/>
      <c r="AU475" s="51"/>
      <c r="AV475" s="51"/>
      <c r="AW475" s="51"/>
      <c r="AX475" s="51"/>
      <c r="AY475" s="51"/>
      <c r="AZ475" s="51"/>
      <c r="BA475" s="51"/>
      <c r="BB475" s="51"/>
      <c r="BC475" s="51"/>
      <c r="BD475" s="51"/>
      <c r="BE475" s="51"/>
      <c r="BF475" s="51"/>
      <c r="BG475" s="51"/>
      <c r="BH475" s="51"/>
      <c r="BI475" s="51"/>
      <c r="BJ475" s="51"/>
      <c r="BK475" s="51"/>
      <c r="BL475" s="51"/>
      <c r="BM475" s="51"/>
      <c r="BN475" s="51"/>
      <c r="BO475" s="51"/>
      <c r="BP475" s="51"/>
      <c r="BQ475" s="51"/>
      <c r="BR475" s="9">
        <f t="shared" si="137"/>
        <v>1</v>
      </c>
      <c r="BT475" s="53" t="str">
        <f t="shared" si="138"/>
        <v>Northwest Africa 14687</v>
      </c>
      <c r="BU475" s="25"/>
    </row>
    <row r="476" spans="1:73" ht="12.75" customHeight="1" x14ac:dyDescent="0.25">
      <c r="B476" s="23"/>
      <c r="C476" s="209" t="str">
        <f>HYPERLINK("https://sites.wustl.edu/meteoritesite/items/lm_nwa_14695/",Q476)</f>
        <v>Northwest Africa 14695</v>
      </c>
      <c r="D476" s="210"/>
      <c r="E476" s="210"/>
      <c r="F476" s="211"/>
      <c r="G476" s="89">
        <v>2021</v>
      </c>
      <c r="H476" s="208" t="s">
        <v>38</v>
      </c>
      <c r="I476" s="208"/>
      <c r="J476" s="33">
        <v>510</v>
      </c>
      <c r="K476" s="212" t="s">
        <v>39</v>
      </c>
      <c r="L476" s="213"/>
      <c r="M476" s="32" t="s">
        <v>40</v>
      </c>
      <c r="N476" s="32" t="s">
        <v>40</v>
      </c>
      <c r="P476" s="125">
        <f t="shared" ref="P476" si="151">SUM(V476:BQ476)</f>
        <v>510</v>
      </c>
      <c r="Q476" s="54" t="s">
        <v>576</v>
      </c>
      <c r="R476" s="48"/>
      <c r="S476" s="49"/>
      <c r="T476" s="50">
        <f t="shared" si="139"/>
        <v>0</v>
      </c>
      <c r="V476" s="51">
        <v>510</v>
      </c>
      <c r="W476" s="51"/>
      <c r="X476" s="51"/>
      <c r="Y476" s="51"/>
      <c r="Z476" s="51"/>
      <c r="AA476" s="51"/>
      <c r="AB476" s="51"/>
      <c r="AC476" s="51"/>
      <c r="AD476" s="51"/>
      <c r="AE476" s="51"/>
      <c r="AF476" s="51"/>
      <c r="AG476" s="51"/>
      <c r="AH476" s="51"/>
      <c r="AI476" s="51"/>
      <c r="AJ476" s="51"/>
      <c r="AK476" s="51"/>
      <c r="AL476" s="51"/>
      <c r="AM476" s="51"/>
      <c r="AN476" s="51"/>
      <c r="AO476" s="51"/>
      <c r="AP476" s="51"/>
      <c r="AQ476" s="51"/>
      <c r="AR476" s="51"/>
      <c r="AS476" s="51"/>
      <c r="AT476" s="51"/>
      <c r="AU476" s="51"/>
      <c r="AV476" s="51"/>
      <c r="AW476" s="51"/>
      <c r="AX476" s="51"/>
      <c r="AY476" s="51"/>
      <c r="AZ476" s="51"/>
      <c r="BA476" s="51"/>
      <c r="BB476" s="51"/>
      <c r="BC476" s="51"/>
      <c r="BD476" s="51"/>
      <c r="BE476" s="51"/>
      <c r="BF476" s="51"/>
      <c r="BG476" s="51"/>
      <c r="BH476" s="51"/>
      <c r="BI476" s="51"/>
      <c r="BJ476" s="51"/>
      <c r="BK476" s="51"/>
      <c r="BL476" s="51"/>
      <c r="BM476" s="51"/>
      <c r="BN476" s="51"/>
      <c r="BO476" s="51"/>
      <c r="BP476" s="51"/>
      <c r="BQ476" s="51"/>
      <c r="BR476" s="9">
        <f t="shared" si="137"/>
        <v>1</v>
      </c>
      <c r="BT476" s="53" t="str">
        <f t="shared" si="138"/>
        <v>Northwest Africa 14695</v>
      </c>
      <c r="BU476" s="25"/>
    </row>
    <row r="477" spans="1:73" ht="12.75" customHeight="1" x14ac:dyDescent="0.25">
      <c r="B477" s="23"/>
      <c r="C477" s="209" t="str">
        <f>HYPERLINK("https://sites.wustl.edu/meteoritesite/items/lm_nwa_14703/",Q477)</f>
        <v>Northwest Africa 14703</v>
      </c>
      <c r="D477" s="210"/>
      <c r="E477" s="210"/>
      <c r="F477" s="211"/>
      <c r="G477" s="89">
        <v>2021</v>
      </c>
      <c r="H477" s="214" t="s">
        <v>396</v>
      </c>
      <c r="I477" s="215"/>
      <c r="J477" s="33">
        <v>252</v>
      </c>
      <c r="K477" s="212" t="s">
        <v>66</v>
      </c>
      <c r="L477" s="213"/>
      <c r="M477" s="32" t="s">
        <v>40</v>
      </c>
      <c r="N477" s="32" t="s">
        <v>40</v>
      </c>
      <c r="P477" s="125">
        <f t="shared" si="140"/>
        <v>252</v>
      </c>
      <c r="Q477" s="54" t="s">
        <v>560</v>
      </c>
      <c r="R477" s="48"/>
      <c r="S477" s="49"/>
      <c r="T477" s="50">
        <f t="shared" si="139"/>
        <v>0</v>
      </c>
      <c r="V477" s="51">
        <v>252</v>
      </c>
      <c r="W477" s="51"/>
      <c r="X477" s="51"/>
      <c r="Y477" s="51"/>
      <c r="Z477" s="51"/>
      <c r="AA477" s="51"/>
      <c r="AB477" s="51"/>
      <c r="AC477" s="51"/>
      <c r="AD477" s="51"/>
      <c r="AE477" s="51"/>
      <c r="AF477" s="51"/>
      <c r="AG477" s="51"/>
      <c r="AH477" s="51"/>
      <c r="AI477" s="51"/>
      <c r="AJ477" s="51"/>
      <c r="AK477" s="51"/>
      <c r="AL477" s="51"/>
      <c r="AM477" s="51"/>
      <c r="AN477" s="51"/>
      <c r="AO477" s="51"/>
      <c r="AP477" s="51"/>
      <c r="AQ477" s="51"/>
      <c r="AR477" s="51"/>
      <c r="AS477" s="51"/>
      <c r="AT477" s="51"/>
      <c r="AU477" s="51"/>
      <c r="AV477" s="51"/>
      <c r="AW477" s="51"/>
      <c r="AX477" s="51"/>
      <c r="AY477" s="51"/>
      <c r="AZ477" s="51"/>
      <c r="BA477" s="51"/>
      <c r="BB477" s="51"/>
      <c r="BC477" s="51"/>
      <c r="BD477" s="51"/>
      <c r="BE477" s="51"/>
      <c r="BF477" s="51"/>
      <c r="BG477" s="51"/>
      <c r="BH477" s="51"/>
      <c r="BI477" s="51"/>
      <c r="BJ477" s="51"/>
      <c r="BK477" s="51"/>
      <c r="BL477" s="51"/>
      <c r="BM477" s="51"/>
      <c r="BN477" s="51"/>
      <c r="BO477" s="51"/>
      <c r="BP477" s="51"/>
      <c r="BQ477" s="51"/>
      <c r="BR477" s="9">
        <f t="shared" si="137"/>
        <v>1</v>
      </c>
      <c r="BT477" s="53" t="str">
        <f t="shared" si="138"/>
        <v>Northwest Africa 14703</v>
      </c>
      <c r="BU477" s="25"/>
    </row>
    <row r="478" spans="1:73" ht="12.75" customHeight="1" x14ac:dyDescent="0.25">
      <c r="B478" s="23"/>
      <c r="C478" s="209" t="str">
        <f>HYPERLINK("https://sites.wustl.edu/meteoritesite/items/lm_nwa_14704/",Q478)</f>
        <v>Northwest Africa 14704</v>
      </c>
      <c r="D478" s="210"/>
      <c r="E478" s="210"/>
      <c r="F478" s="211"/>
      <c r="G478" s="89">
        <v>2019</v>
      </c>
      <c r="H478" s="208" t="s">
        <v>38</v>
      </c>
      <c r="I478" s="208"/>
      <c r="J478" s="33">
        <v>74</v>
      </c>
      <c r="K478" s="212" t="s">
        <v>35</v>
      </c>
      <c r="L478" s="213"/>
      <c r="M478" s="32" t="s">
        <v>40</v>
      </c>
      <c r="N478" s="32" t="s">
        <v>40</v>
      </c>
      <c r="P478" s="125">
        <f t="shared" si="140"/>
        <v>74</v>
      </c>
      <c r="Q478" s="54" t="s">
        <v>561</v>
      </c>
      <c r="R478" s="48"/>
      <c r="S478" s="49"/>
      <c r="T478" s="50">
        <f t="shared" si="139"/>
        <v>0</v>
      </c>
      <c r="V478" s="51">
        <v>74</v>
      </c>
      <c r="W478" s="51"/>
      <c r="X478" s="51"/>
      <c r="Y478" s="51"/>
      <c r="Z478" s="51"/>
      <c r="AA478" s="51"/>
      <c r="AB478" s="51"/>
      <c r="AC478" s="51"/>
      <c r="AD478" s="51"/>
      <c r="AE478" s="51"/>
      <c r="AF478" s="51"/>
      <c r="AG478" s="51"/>
      <c r="AH478" s="51"/>
      <c r="AI478" s="51"/>
      <c r="AJ478" s="51"/>
      <c r="AK478" s="51"/>
      <c r="AL478" s="51"/>
      <c r="AM478" s="51"/>
      <c r="AN478" s="51"/>
      <c r="AO478" s="51"/>
      <c r="AP478" s="51"/>
      <c r="AQ478" s="51"/>
      <c r="AR478" s="51"/>
      <c r="AS478" s="51"/>
      <c r="AT478" s="51"/>
      <c r="AU478" s="51"/>
      <c r="AV478" s="51"/>
      <c r="AW478" s="51"/>
      <c r="AX478" s="51"/>
      <c r="AY478" s="51"/>
      <c r="AZ478" s="51"/>
      <c r="BA478" s="51"/>
      <c r="BB478" s="51"/>
      <c r="BC478" s="51"/>
      <c r="BD478" s="51"/>
      <c r="BE478" s="51"/>
      <c r="BF478" s="51"/>
      <c r="BG478" s="51"/>
      <c r="BH478" s="51"/>
      <c r="BI478" s="51"/>
      <c r="BJ478" s="51"/>
      <c r="BK478" s="51"/>
      <c r="BL478" s="51"/>
      <c r="BM478" s="51"/>
      <c r="BN478" s="51"/>
      <c r="BO478" s="51"/>
      <c r="BP478" s="51"/>
      <c r="BQ478" s="51"/>
      <c r="BR478" s="9">
        <f t="shared" si="137"/>
        <v>1</v>
      </c>
      <c r="BT478" s="53" t="str">
        <f t="shared" si="138"/>
        <v>Northwest Africa 14704</v>
      </c>
      <c r="BU478" s="25"/>
    </row>
    <row r="479" spans="1:73" ht="12.75" customHeight="1" x14ac:dyDescent="0.25">
      <c r="B479" s="23"/>
      <c r="C479" s="209" t="str">
        <f>HYPERLINK("https://sites.wustl.edu/meteoritesite/items/lm_nwa_14704/",Q479)</f>
        <v>Northwest Africa 14705</v>
      </c>
      <c r="D479" s="210"/>
      <c r="E479" s="210"/>
      <c r="F479" s="211"/>
      <c r="G479" s="89">
        <v>2019</v>
      </c>
      <c r="H479" s="208" t="s">
        <v>38</v>
      </c>
      <c r="I479" s="208"/>
      <c r="J479" s="32">
        <v>181.5</v>
      </c>
      <c r="K479" s="212" t="s">
        <v>35</v>
      </c>
      <c r="L479" s="213"/>
      <c r="M479" s="32" t="s">
        <v>40</v>
      </c>
      <c r="N479" s="32" t="s">
        <v>40</v>
      </c>
      <c r="P479" s="125">
        <f t="shared" si="140"/>
        <v>181.5</v>
      </c>
      <c r="Q479" s="54" t="s">
        <v>562</v>
      </c>
      <c r="R479" s="48"/>
      <c r="S479" s="49"/>
      <c r="T479" s="50">
        <f t="shared" si="139"/>
        <v>0</v>
      </c>
      <c r="V479" s="51">
        <v>181.5</v>
      </c>
      <c r="W479" s="51"/>
      <c r="X479" s="51"/>
      <c r="Y479" s="51"/>
      <c r="Z479" s="51"/>
      <c r="AA479" s="51"/>
      <c r="AB479" s="51"/>
      <c r="AC479" s="51"/>
      <c r="AD479" s="51"/>
      <c r="AE479" s="51"/>
      <c r="AF479" s="51"/>
      <c r="AG479" s="51"/>
      <c r="AH479" s="51"/>
      <c r="AI479" s="51"/>
      <c r="AJ479" s="51"/>
      <c r="AK479" s="51"/>
      <c r="AL479" s="51"/>
      <c r="AM479" s="51"/>
      <c r="AN479" s="51"/>
      <c r="AO479" s="51"/>
      <c r="AP479" s="51"/>
      <c r="AQ479" s="51"/>
      <c r="AR479" s="51"/>
      <c r="AS479" s="51"/>
      <c r="AT479" s="51"/>
      <c r="AU479" s="51"/>
      <c r="AV479" s="51"/>
      <c r="AW479" s="51"/>
      <c r="AX479" s="51"/>
      <c r="AY479" s="51"/>
      <c r="AZ479" s="51"/>
      <c r="BA479" s="51"/>
      <c r="BB479" s="51"/>
      <c r="BC479" s="51"/>
      <c r="BD479" s="51"/>
      <c r="BE479" s="51"/>
      <c r="BF479" s="51"/>
      <c r="BG479" s="51"/>
      <c r="BH479" s="51"/>
      <c r="BI479" s="51"/>
      <c r="BJ479" s="51"/>
      <c r="BK479" s="51"/>
      <c r="BL479" s="51"/>
      <c r="BM479" s="51"/>
      <c r="BN479" s="51"/>
      <c r="BO479" s="51"/>
      <c r="BP479" s="51"/>
      <c r="BQ479" s="51"/>
      <c r="BR479" s="9">
        <f t="shared" si="137"/>
        <v>1</v>
      </c>
      <c r="BT479" s="53" t="str">
        <f t="shared" si="138"/>
        <v>Northwest Africa 14705</v>
      </c>
      <c r="BU479" s="25"/>
    </row>
    <row r="480" spans="1:73" ht="12.75" customHeight="1" x14ac:dyDescent="0.25">
      <c r="B480" s="23"/>
      <c r="C480" s="209" t="str">
        <f>HYPERLINK("https://sites.wustl.edu/meteoritesite/items/lm_nwa_14706/",Q480)</f>
        <v>Northwest Africa 14706</v>
      </c>
      <c r="D480" s="210"/>
      <c r="E480" s="210"/>
      <c r="F480" s="211"/>
      <c r="G480" s="89">
        <v>2021</v>
      </c>
      <c r="H480" s="214" t="s">
        <v>396</v>
      </c>
      <c r="I480" s="215"/>
      <c r="J480" s="33">
        <v>156</v>
      </c>
      <c r="K480" s="212" t="s">
        <v>35</v>
      </c>
      <c r="L480" s="213"/>
      <c r="M480" s="32" t="s">
        <v>40</v>
      </c>
      <c r="N480" s="32" t="s">
        <v>40</v>
      </c>
      <c r="P480" s="125">
        <f t="shared" si="140"/>
        <v>156</v>
      </c>
      <c r="Q480" s="54" t="s">
        <v>563</v>
      </c>
      <c r="R480" s="48"/>
      <c r="S480" s="49"/>
      <c r="T480" s="50">
        <f t="shared" si="139"/>
        <v>0</v>
      </c>
      <c r="V480" s="51">
        <v>156</v>
      </c>
      <c r="W480" s="51"/>
      <c r="X480" s="51"/>
      <c r="Y480" s="51"/>
      <c r="Z480" s="51"/>
      <c r="AA480" s="51"/>
      <c r="AB480" s="51"/>
      <c r="AC480" s="51"/>
      <c r="AD480" s="51"/>
      <c r="AE480" s="51"/>
      <c r="AF480" s="51"/>
      <c r="AG480" s="51"/>
      <c r="AH480" s="51"/>
      <c r="AI480" s="51"/>
      <c r="AJ480" s="51"/>
      <c r="AK480" s="51"/>
      <c r="AL480" s="51"/>
      <c r="AM480" s="51"/>
      <c r="AN480" s="51"/>
      <c r="AO480" s="51"/>
      <c r="AP480" s="51"/>
      <c r="AQ480" s="51"/>
      <c r="AR480" s="51"/>
      <c r="AS480" s="51"/>
      <c r="AT480" s="51"/>
      <c r="AU480" s="51"/>
      <c r="AV480" s="51"/>
      <c r="AW480" s="51"/>
      <c r="AX480" s="51"/>
      <c r="AY480" s="51"/>
      <c r="AZ480" s="51"/>
      <c r="BA480" s="51"/>
      <c r="BB480" s="51"/>
      <c r="BC480" s="51"/>
      <c r="BD480" s="51"/>
      <c r="BE480" s="51"/>
      <c r="BF480" s="51"/>
      <c r="BG480" s="51"/>
      <c r="BH480" s="51"/>
      <c r="BI480" s="51"/>
      <c r="BJ480" s="51"/>
      <c r="BK480" s="51"/>
      <c r="BL480" s="51"/>
      <c r="BM480" s="51"/>
      <c r="BN480" s="51"/>
      <c r="BO480" s="51"/>
      <c r="BP480" s="51"/>
      <c r="BQ480" s="51"/>
      <c r="BR480" s="9">
        <f t="shared" si="137"/>
        <v>1</v>
      </c>
      <c r="BT480" s="53" t="str">
        <f t="shared" si="138"/>
        <v>Northwest Africa 14706</v>
      </c>
      <c r="BU480" s="25"/>
    </row>
    <row r="481" spans="1:73" ht="12.75" customHeight="1" x14ac:dyDescent="0.25">
      <c r="B481" s="23"/>
      <c r="C481" s="209" t="str">
        <f>HYPERLINK("https://sites.wustl.edu/meteoritesite/items/lm_nwa_14727/",Q481)</f>
        <v>Northwest Africa 14727</v>
      </c>
      <c r="D481" s="210"/>
      <c r="E481" s="210"/>
      <c r="F481" s="211"/>
      <c r="G481" s="89">
        <v>2018</v>
      </c>
      <c r="H481" s="214" t="s">
        <v>396</v>
      </c>
      <c r="I481" s="215"/>
      <c r="J481" s="33">
        <v>1571</v>
      </c>
      <c r="K481" s="212" t="s">
        <v>44</v>
      </c>
      <c r="L481" s="213"/>
      <c r="M481" s="32" t="s">
        <v>40</v>
      </c>
      <c r="N481" s="32" t="s">
        <v>40</v>
      </c>
      <c r="P481" s="125">
        <f t="shared" si="140"/>
        <v>1571</v>
      </c>
      <c r="Q481" s="54" t="s">
        <v>564</v>
      </c>
      <c r="R481" s="48"/>
      <c r="S481" s="49"/>
      <c r="T481" s="50">
        <f t="shared" si="139"/>
        <v>0</v>
      </c>
      <c r="V481" s="51">
        <v>1571</v>
      </c>
      <c r="W481" s="51"/>
      <c r="X481" s="51"/>
      <c r="Y481" s="51"/>
      <c r="Z481" s="51"/>
      <c r="AA481" s="51"/>
      <c r="AB481" s="51"/>
      <c r="AC481" s="51"/>
      <c r="AD481" s="51"/>
      <c r="AE481" s="51"/>
      <c r="AF481" s="51"/>
      <c r="AG481" s="51"/>
      <c r="AH481" s="51"/>
      <c r="AI481" s="51"/>
      <c r="AJ481" s="51"/>
      <c r="AK481" s="51"/>
      <c r="AL481" s="51"/>
      <c r="AM481" s="51"/>
      <c r="AN481" s="51"/>
      <c r="AO481" s="51"/>
      <c r="AP481" s="51"/>
      <c r="AQ481" s="51"/>
      <c r="AR481" s="51"/>
      <c r="AS481" s="51"/>
      <c r="AT481" s="51"/>
      <c r="AU481" s="51"/>
      <c r="AV481" s="51"/>
      <c r="AW481" s="51"/>
      <c r="AX481" s="51"/>
      <c r="AY481" s="51"/>
      <c r="AZ481" s="51"/>
      <c r="BA481" s="51"/>
      <c r="BB481" s="51"/>
      <c r="BC481" s="51"/>
      <c r="BD481" s="51"/>
      <c r="BE481" s="51"/>
      <c r="BF481" s="51"/>
      <c r="BG481" s="51"/>
      <c r="BH481" s="51"/>
      <c r="BI481" s="51"/>
      <c r="BJ481" s="51"/>
      <c r="BK481" s="51"/>
      <c r="BL481" s="51"/>
      <c r="BM481" s="51"/>
      <c r="BN481" s="51"/>
      <c r="BO481" s="51"/>
      <c r="BP481" s="51"/>
      <c r="BQ481" s="51"/>
      <c r="BR481" s="9">
        <f t="shared" si="137"/>
        <v>1</v>
      </c>
      <c r="BT481" s="53" t="str">
        <f t="shared" si="138"/>
        <v>Northwest Africa 14727</v>
      </c>
      <c r="BU481" s="25"/>
    </row>
    <row r="482" spans="1:73" ht="12.75" customHeight="1" x14ac:dyDescent="0.25">
      <c r="B482" s="23"/>
      <c r="C482" s="209" t="str">
        <f>HYPERLINK("https://sites.wustl.edu/meteoritesite/items/lm_nwa_14729/",Q482)</f>
        <v>Northwest Africa 14729</v>
      </c>
      <c r="D482" s="210"/>
      <c r="E482" s="210"/>
      <c r="F482" s="211"/>
      <c r="G482" s="89">
        <v>2021</v>
      </c>
      <c r="H482" s="214" t="s">
        <v>616</v>
      </c>
      <c r="I482" s="215"/>
      <c r="J482" s="33">
        <v>2300</v>
      </c>
      <c r="K482" s="212" t="s">
        <v>39</v>
      </c>
      <c r="L482" s="213"/>
      <c r="M482" s="32" t="s">
        <v>40</v>
      </c>
      <c r="N482" s="32" t="s">
        <v>40</v>
      </c>
      <c r="P482" s="125">
        <f t="shared" si="140"/>
        <v>2300</v>
      </c>
      <c r="Q482" s="54" t="s">
        <v>565</v>
      </c>
      <c r="R482" s="48"/>
      <c r="S482" s="49"/>
      <c r="T482" s="50">
        <f t="shared" si="139"/>
        <v>0</v>
      </c>
      <c r="V482" s="51">
        <v>2300</v>
      </c>
      <c r="W482" s="51"/>
      <c r="X482" s="51"/>
      <c r="Y482" s="51"/>
      <c r="Z482" s="51"/>
      <c r="AA482" s="51"/>
      <c r="AB482" s="51"/>
      <c r="AC482" s="51"/>
      <c r="AD482" s="51"/>
      <c r="AE482" s="51"/>
      <c r="AF482" s="51"/>
      <c r="AG482" s="51"/>
      <c r="AH482" s="51"/>
      <c r="AI482" s="51"/>
      <c r="AJ482" s="51"/>
      <c r="AK482" s="51"/>
      <c r="AL482" s="51"/>
      <c r="AM482" s="51"/>
      <c r="AN482" s="51"/>
      <c r="AO482" s="51"/>
      <c r="AP482" s="51"/>
      <c r="AQ482" s="51"/>
      <c r="AR482" s="51"/>
      <c r="AS482" s="51"/>
      <c r="AT482" s="51"/>
      <c r="AU482" s="51"/>
      <c r="AV482" s="51"/>
      <c r="AW482" s="51"/>
      <c r="AX482" s="51"/>
      <c r="AY482" s="51"/>
      <c r="AZ482" s="51"/>
      <c r="BA482" s="51"/>
      <c r="BB482" s="51"/>
      <c r="BC482" s="51"/>
      <c r="BD482" s="51"/>
      <c r="BE482" s="51"/>
      <c r="BF482" s="51"/>
      <c r="BG482" s="51"/>
      <c r="BH482" s="51"/>
      <c r="BI482" s="51"/>
      <c r="BJ482" s="51"/>
      <c r="BK482" s="51"/>
      <c r="BL482" s="51"/>
      <c r="BM482" s="51"/>
      <c r="BN482" s="51"/>
      <c r="BO482" s="51"/>
      <c r="BP482" s="51"/>
      <c r="BQ482" s="51"/>
      <c r="BR482" s="9">
        <f t="shared" si="137"/>
        <v>1</v>
      </c>
      <c r="BT482" s="53" t="str">
        <f t="shared" si="138"/>
        <v>Northwest Africa 14729</v>
      </c>
      <c r="BU482" s="25"/>
    </row>
    <row r="483" spans="1:73" ht="12.75" customHeight="1" x14ac:dyDescent="0.25">
      <c r="B483" s="23"/>
      <c r="C483" s="209" t="str">
        <f>HYPERLINK("https://sites.wustl.edu/meteoritesite/items/lm_nwa_14730/",Q483)</f>
        <v>Northwest Africa 14730/ 14731</v>
      </c>
      <c r="D483" s="210"/>
      <c r="E483" s="210"/>
      <c r="F483" s="211"/>
      <c r="G483" s="89">
        <v>2019</v>
      </c>
      <c r="H483" s="208" t="s">
        <v>38</v>
      </c>
      <c r="I483" s="208"/>
      <c r="J483" s="33">
        <v>105</v>
      </c>
      <c r="K483" s="212" t="s">
        <v>39</v>
      </c>
      <c r="L483" s="213"/>
      <c r="M483" s="32" t="s">
        <v>40</v>
      </c>
      <c r="N483" s="32" t="s">
        <v>40</v>
      </c>
      <c r="P483" s="125">
        <f t="shared" si="140"/>
        <v>105</v>
      </c>
      <c r="Q483" s="54" t="s">
        <v>568</v>
      </c>
      <c r="R483" s="48"/>
      <c r="S483" s="49"/>
      <c r="T483" s="50">
        <f t="shared" si="139"/>
        <v>0</v>
      </c>
      <c r="V483" s="51">
        <v>60</v>
      </c>
      <c r="W483" s="51">
        <v>45</v>
      </c>
      <c r="X483" s="51"/>
      <c r="Y483" s="51"/>
      <c r="Z483" s="51"/>
      <c r="AA483" s="51"/>
      <c r="AB483" s="51"/>
      <c r="AC483" s="51"/>
      <c r="AD483" s="51"/>
      <c r="AE483" s="51"/>
      <c r="AF483" s="51"/>
      <c r="AG483" s="51"/>
      <c r="AH483" s="51"/>
      <c r="AI483" s="51"/>
      <c r="AJ483" s="51"/>
      <c r="AK483" s="51"/>
      <c r="AL483" s="51"/>
      <c r="AM483" s="51"/>
      <c r="AN483" s="51"/>
      <c r="AO483" s="51"/>
      <c r="AP483" s="51"/>
      <c r="AQ483" s="51"/>
      <c r="AR483" s="51"/>
      <c r="AS483" s="51"/>
      <c r="AT483" s="51"/>
      <c r="AU483" s="51"/>
      <c r="AV483" s="51"/>
      <c r="AW483" s="51"/>
      <c r="AX483" s="51"/>
      <c r="AY483" s="51"/>
      <c r="AZ483" s="51"/>
      <c r="BA483" s="51"/>
      <c r="BB483" s="51"/>
      <c r="BC483" s="51"/>
      <c r="BD483" s="51"/>
      <c r="BE483" s="51"/>
      <c r="BF483" s="51"/>
      <c r="BG483" s="51"/>
      <c r="BH483" s="51"/>
      <c r="BI483" s="51"/>
      <c r="BJ483" s="51"/>
      <c r="BK483" s="51"/>
      <c r="BL483" s="51"/>
      <c r="BM483" s="51"/>
      <c r="BN483" s="51"/>
      <c r="BO483" s="51"/>
      <c r="BP483" s="51"/>
      <c r="BQ483" s="51"/>
      <c r="BR483" s="9">
        <f t="shared" si="137"/>
        <v>2</v>
      </c>
      <c r="BT483" s="53" t="str">
        <f t="shared" si="138"/>
        <v>Northwest Africa 14730/ 14731</v>
      </c>
      <c r="BU483" s="25"/>
    </row>
    <row r="484" spans="1:73" ht="12.75" customHeight="1" x14ac:dyDescent="0.25">
      <c r="B484" s="23"/>
      <c r="C484" s="209" t="str">
        <f>HYPERLINK("https://sites.wustl.edu/meteoritesite/items/lm_nwa_14741/",Q484)</f>
        <v>Northwest Africa 14741</v>
      </c>
      <c r="D484" s="210"/>
      <c r="E484" s="210"/>
      <c r="F484" s="211"/>
      <c r="G484" s="89">
        <v>2021</v>
      </c>
      <c r="H484" s="249" t="s">
        <v>616</v>
      </c>
      <c r="I484" s="249"/>
      <c r="J484" s="32">
        <v>19.100000000000001</v>
      </c>
      <c r="K484" s="212" t="s">
        <v>39</v>
      </c>
      <c r="L484" s="213"/>
      <c r="M484" s="32" t="s">
        <v>536</v>
      </c>
      <c r="N484" s="32" t="s">
        <v>40</v>
      </c>
      <c r="P484" s="125">
        <f t="shared" ref="P484" si="152">SUM(V484:BQ484)</f>
        <v>19.100000000000001</v>
      </c>
      <c r="Q484" s="54" t="s">
        <v>593</v>
      </c>
      <c r="R484" s="48"/>
      <c r="S484" s="49"/>
      <c r="T484" s="50">
        <f t="shared" ref="T484" si="153">J484-P484</f>
        <v>0</v>
      </c>
      <c r="V484" s="51">
        <v>19.100000000000001</v>
      </c>
      <c r="W484" s="51"/>
      <c r="X484" s="51"/>
      <c r="Y484" s="51"/>
      <c r="Z484" s="51"/>
      <c r="AA484" s="51"/>
      <c r="AB484" s="51"/>
      <c r="AC484" s="51"/>
      <c r="AD484" s="51"/>
      <c r="AE484" s="51"/>
      <c r="AF484" s="51"/>
      <c r="AG484" s="51"/>
      <c r="AH484" s="51"/>
      <c r="AI484" s="51"/>
      <c r="AJ484" s="51"/>
      <c r="AK484" s="51"/>
      <c r="AL484" s="51"/>
      <c r="AM484" s="51"/>
      <c r="AN484" s="51"/>
      <c r="AO484" s="51"/>
      <c r="AP484" s="51"/>
      <c r="AQ484" s="51"/>
      <c r="AR484" s="51"/>
      <c r="AS484" s="51"/>
      <c r="AT484" s="51"/>
      <c r="AU484" s="51"/>
      <c r="AV484" s="51"/>
      <c r="AW484" s="51"/>
      <c r="AX484" s="51"/>
      <c r="AY484" s="51"/>
      <c r="AZ484" s="51"/>
      <c r="BA484" s="51"/>
      <c r="BB484" s="51"/>
      <c r="BC484" s="51"/>
      <c r="BD484" s="51"/>
      <c r="BE484" s="51"/>
      <c r="BF484" s="51"/>
      <c r="BG484" s="51"/>
      <c r="BH484" s="51"/>
      <c r="BI484" s="51"/>
      <c r="BJ484" s="51"/>
      <c r="BK484" s="51"/>
      <c r="BL484" s="51"/>
      <c r="BM484" s="51"/>
      <c r="BN484" s="51"/>
      <c r="BO484" s="51"/>
      <c r="BP484" s="51"/>
      <c r="BQ484" s="51"/>
      <c r="BR484" s="9">
        <f t="shared" ref="BR484" si="154">COUNT(V484:BQ484)</f>
        <v>1</v>
      </c>
      <c r="BT484" s="53" t="str">
        <f t="shared" ref="BT484" si="155">Q484</f>
        <v>Northwest Africa 14741</v>
      </c>
      <c r="BU484" s="25"/>
    </row>
    <row r="485" spans="1:73" ht="12.75" customHeight="1" x14ac:dyDescent="0.25">
      <c r="B485" s="23"/>
      <c r="C485" s="209" t="str">
        <f>HYPERLINK("https://sites.wustl.edu/meteoritesite/items/lm_nwa_14747/",Q485)</f>
        <v>Northwest Africa 14747</v>
      </c>
      <c r="D485" s="210"/>
      <c r="E485" s="210"/>
      <c r="F485" s="211"/>
      <c r="G485" s="89">
        <v>2021</v>
      </c>
      <c r="H485" s="214" t="s">
        <v>616</v>
      </c>
      <c r="I485" s="215"/>
      <c r="J485" s="33">
        <v>5300</v>
      </c>
      <c r="K485" s="212" t="s">
        <v>39</v>
      </c>
      <c r="L485" s="213"/>
      <c r="M485" s="32" t="s">
        <v>40</v>
      </c>
      <c r="N485" s="32" t="s">
        <v>40</v>
      </c>
      <c r="P485" s="125">
        <f t="shared" si="140"/>
        <v>5300</v>
      </c>
      <c r="Q485" s="54" t="s">
        <v>566</v>
      </c>
      <c r="R485" s="48"/>
      <c r="S485" s="49"/>
      <c r="T485" s="50">
        <f t="shared" si="139"/>
        <v>0</v>
      </c>
      <c r="V485" s="51">
        <v>5300</v>
      </c>
      <c r="W485" s="51"/>
      <c r="X485" s="51"/>
      <c r="Y485" s="51"/>
      <c r="Z485" s="51"/>
      <c r="AA485" s="51"/>
      <c r="AB485" s="51"/>
      <c r="AC485" s="51"/>
      <c r="AD485" s="51"/>
      <c r="AE485" s="51"/>
      <c r="AF485" s="51"/>
      <c r="AG485" s="51"/>
      <c r="AH485" s="51"/>
      <c r="AI485" s="51"/>
      <c r="AJ485" s="51"/>
      <c r="AK485" s="51"/>
      <c r="AL485" s="51"/>
      <c r="AM485" s="51"/>
      <c r="AN485" s="51"/>
      <c r="AO485" s="51"/>
      <c r="AP485" s="51"/>
      <c r="AQ485" s="51"/>
      <c r="AR485" s="51"/>
      <c r="AS485" s="51"/>
      <c r="AT485" s="51"/>
      <c r="AU485" s="51"/>
      <c r="AV485" s="51"/>
      <c r="AW485" s="51"/>
      <c r="AX485" s="51"/>
      <c r="AY485" s="51"/>
      <c r="AZ485" s="51"/>
      <c r="BA485" s="51"/>
      <c r="BB485" s="51"/>
      <c r="BC485" s="51"/>
      <c r="BD485" s="51"/>
      <c r="BE485" s="51"/>
      <c r="BF485" s="51"/>
      <c r="BG485" s="51"/>
      <c r="BH485" s="51"/>
      <c r="BI485" s="51"/>
      <c r="BJ485" s="51"/>
      <c r="BK485" s="51"/>
      <c r="BL485" s="51"/>
      <c r="BM485" s="51"/>
      <c r="BN485" s="51"/>
      <c r="BO485" s="51"/>
      <c r="BP485" s="51"/>
      <c r="BQ485" s="51"/>
      <c r="BR485" s="9">
        <f t="shared" si="137"/>
        <v>1</v>
      </c>
      <c r="BT485" s="53" t="str">
        <f t="shared" si="138"/>
        <v>Northwest Africa 14747</v>
      </c>
      <c r="BU485" s="25"/>
    </row>
    <row r="486" spans="1:73" ht="12.75" customHeight="1" x14ac:dyDescent="0.25">
      <c r="B486" s="23"/>
      <c r="C486" s="209" t="str">
        <f>HYPERLINK("https://sites.wustl.edu/meteoritesite/items/lm_nwa_14755/",Q486)</f>
        <v>Northwest Africa 14755/ 14761</v>
      </c>
      <c r="D486" s="210"/>
      <c r="E486" s="210"/>
      <c r="F486" s="211"/>
      <c r="G486" s="89">
        <v>2021</v>
      </c>
      <c r="H486" s="214" t="s">
        <v>396</v>
      </c>
      <c r="I486" s="215"/>
      <c r="J486" s="33">
        <v>582</v>
      </c>
      <c r="K486" s="212" t="s">
        <v>39</v>
      </c>
      <c r="L486" s="213"/>
      <c r="M486" s="32" t="s">
        <v>40</v>
      </c>
      <c r="N486" s="32" t="s">
        <v>40</v>
      </c>
      <c r="P486" s="125">
        <f t="shared" si="140"/>
        <v>582</v>
      </c>
      <c r="Q486" s="54" t="s">
        <v>569</v>
      </c>
      <c r="R486" s="48"/>
      <c r="S486" s="49"/>
      <c r="T486" s="50">
        <f t="shared" si="139"/>
        <v>0</v>
      </c>
      <c r="V486" s="51">
        <v>386</v>
      </c>
      <c r="W486" s="51">
        <v>196</v>
      </c>
      <c r="X486" s="51"/>
      <c r="Y486" s="51"/>
      <c r="Z486" s="51"/>
      <c r="AA486" s="51"/>
      <c r="AB486" s="51"/>
      <c r="AC486" s="51"/>
      <c r="AD486" s="51"/>
      <c r="AE486" s="51"/>
      <c r="AF486" s="51"/>
      <c r="AG486" s="51"/>
      <c r="AH486" s="51"/>
      <c r="AI486" s="51"/>
      <c r="AJ486" s="51"/>
      <c r="AK486" s="51"/>
      <c r="AL486" s="51"/>
      <c r="AM486" s="51"/>
      <c r="AN486" s="51"/>
      <c r="AO486" s="51"/>
      <c r="AP486" s="51"/>
      <c r="AQ486" s="51"/>
      <c r="AR486" s="51"/>
      <c r="AS486" s="51"/>
      <c r="AT486" s="51"/>
      <c r="AU486" s="51"/>
      <c r="AV486" s="51"/>
      <c r="AW486" s="51"/>
      <c r="AX486" s="51"/>
      <c r="AY486" s="51"/>
      <c r="AZ486" s="51"/>
      <c r="BA486" s="51"/>
      <c r="BB486" s="51"/>
      <c r="BC486" s="51"/>
      <c r="BD486" s="51"/>
      <c r="BE486" s="51"/>
      <c r="BF486" s="51"/>
      <c r="BG486" s="51"/>
      <c r="BH486" s="51"/>
      <c r="BI486" s="51"/>
      <c r="BJ486" s="51"/>
      <c r="BK486" s="51"/>
      <c r="BL486" s="51"/>
      <c r="BM486" s="51"/>
      <c r="BN486" s="51"/>
      <c r="BO486" s="51"/>
      <c r="BP486" s="51"/>
      <c r="BQ486" s="51"/>
      <c r="BR486" s="9">
        <f t="shared" si="137"/>
        <v>2</v>
      </c>
      <c r="BT486" s="53" t="str">
        <f t="shared" si="138"/>
        <v>Northwest Africa 14755/ 14761</v>
      </c>
      <c r="BU486" s="25"/>
    </row>
    <row r="487" spans="1:73" ht="12.75" customHeight="1" x14ac:dyDescent="0.25">
      <c r="B487" s="23"/>
      <c r="C487" s="209" t="str">
        <f>HYPERLINK("https://sites.wustl.edu/meteoritesite/items/lm_nwa_14769/",Q487)</f>
        <v>Northwest Africa 14769</v>
      </c>
      <c r="D487" s="210"/>
      <c r="E487" s="210"/>
      <c r="F487" s="211"/>
      <c r="G487" s="89">
        <v>2021</v>
      </c>
      <c r="H487" s="214" t="s">
        <v>396</v>
      </c>
      <c r="I487" s="215"/>
      <c r="J487" s="33">
        <v>885</v>
      </c>
      <c r="K487" s="212" t="s">
        <v>39</v>
      </c>
      <c r="L487" s="213"/>
      <c r="M487" s="32" t="s">
        <v>40</v>
      </c>
      <c r="N487" s="32" t="s">
        <v>40</v>
      </c>
      <c r="P487" s="125">
        <f t="shared" si="140"/>
        <v>885</v>
      </c>
      <c r="Q487" s="54" t="s">
        <v>567</v>
      </c>
      <c r="R487" s="48"/>
      <c r="S487" s="49"/>
      <c r="T487" s="50">
        <f t="shared" si="139"/>
        <v>0</v>
      </c>
      <c r="V487" s="51">
        <v>885</v>
      </c>
      <c r="W487" s="51"/>
      <c r="X487" s="51"/>
      <c r="Y487" s="51"/>
      <c r="Z487" s="51"/>
      <c r="AA487" s="51"/>
      <c r="AB487" s="51"/>
      <c r="AC487" s="51"/>
      <c r="AD487" s="51"/>
      <c r="AE487" s="51"/>
      <c r="AF487" s="51"/>
      <c r="AG487" s="51"/>
      <c r="AH487" s="51"/>
      <c r="AI487" s="51"/>
      <c r="AJ487" s="51"/>
      <c r="AK487" s="51"/>
      <c r="AL487" s="51"/>
      <c r="AM487" s="51"/>
      <c r="AN487" s="51"/>
      <c r="AO487" s="51"/>
      <c r="AP487" s="51"/>
      <c r="AQ487" s="51"/>
      <c r="AR487" s="51"/>
      <c r="AS487" s="51"/>
      <c r="AT487" s="51"/>
      <c r="AU487" s="51"/>
      <c r="AV487" s="51"/>
      <c r="AW487" s="51"/>
      <c r="AX487" s="51"/>
      <c r="AY487" s="51"/>
      <c r="AZ487" s="51"/>
      <c r="BA487" s="51"/>
      <c r="BB487" s="51"/>
      <c r="BC487" s="51"/>
      <c r="BD487" s="51"/>
      <c r="BE487" s="51"/>
      <c r="BF487" s="51"/>
      <c r="BG487" s="51"/>
      <c r="BH487" s="51"/>
      <c r="BI487" s="51"/>
      <c r="BJ487" s="51"/>
      <c r="BK487" s="51"/>
      <c r="BL487" s="51"/>
      <c r="BM487" s="51"/>
      <c r="BN487" s="51"/>
      <c r="BO487" s="51"/>
      <c r="BP487" s="51"/>
      <c r="BQ487" s="51"/>
      <c r="BR487" s="9">
        <f t="shared" si="137"/>
        <v>1</v>
      </c>
      <c r="BT487" s="53" t="str">
        <f t="shared" si="138"/>
        <v>Northwest Africa 14769</v>
      </c>
      <c r="BU487" s="25"/>
    </row>
    <row r="488" spans="1:73" ht="12.75" customHeight="1" x14ac:dyDescent="0.25">
      <c r="B488" s="23"/>
      <c r="C488" s="209" t="str">
        <f>HYPERLINK("https://sites.wustl.edu/meteoritesite/items/lm_nwa_14798/",Q488)</f>
        <v>Northwest Africa 14798</v>
      </c>
      <c r="D488" s="210"/>
      <c r="E488" s="210"/>
      <c r="F488" s="211"/>
      <c r="G488" s="89">
        <v>2020</v>
      </c>
      <c r="H488" s="214" t="s">
        <v>396</v>
      </c>
      <c r="I488" s="215"/>
      <c r="J488" s="32">
        <v>355.6</v>
      </c>
      <c r="K488" s="212" t="s">
        <v>39</v>
      </c>
      <c r="L488" s="213"/>
      <c r="M488" s="32" t="s">
        <v>40</v>
      </c>
      <c r="N488" s="32" t="s">
        <v>40</v>
      </c>
      <c r="P488" s="125">
        <f t="shared" ref="P488:P493" si="156">SUM(V488:BQ488)</f>
        <v>355.6</v>
      </c>
      <c r="Q488" s="54" t="s">
        <v>572</v>
      </c>
      <c r="R488" s="48"/>
      <c r="S488" s="49"/>
      <c r="T488" s="50">
        <f t="shared" ref="T488:T493" si="157">J488-P488</f>
        <v>0</v>
      </c>
      <c r="V488" s="51">
        <v>355.6</v>
      </c>
      <c r="W488" s="51"/>
      <c r="X488" s="51"/>
      <c r="Y488" s="51"/>
      <c r="Z488" s="51"/>
      <c r="AA488" s="51"/>
      <c r="AB488" s="51"/>
      <c r="AC488" s="51"/>
      <c r="AD488" s="51"/>
      <c r="AE488" s="51"/>
      <c r="AF488" s="51"/>
      <c r="AG488" s="51"/>
      <c r="AH488" s="51"/>
      <c r="AI488" s="51"/>
      <c r="AJ488" s="51"/>
      <c r="AK488" s="51"/>
      <c r="AL488" s="51"/>
      <c r="AM488" s="51"/>
      <c r="AN488" s="51"/>
      <c r="AO488" s="51"/>
      <c r="AP488" s="51"/>
      <c r="AQ488" s="51"/>
      <c r="AR488" s="51"/>
      <c r="AS488" s="51"/>
      <c r="AT488" s="51"/>
      <c r="AU488" s="51"/>
      <c r="AV488" s="51"/>
      <c r="AW488" s="51"/>
      <c r="AX488" s="51"/>
      <c r="AY488" s="51"/>
      <c r="AZ488" s="51"/>
      <c r="BA488" s="51"/>
      <c r="BB488" s="51"/>
      <c r="BC488" s="51"/>
      <c r="BD488" s="51"/>
      <c r="BE488" s="51"/>
      <c r="BF488" s="51"/>
      <c r="BG488" s="51"/>
      <c r="BH488" s="51"/>
      <c r="BI488" s="51"/>
      <c r="BJ488" s="51"/>
      <c r="BK488" s="51"/>
      <c r="BL488" s="51"/>
      <c r="BM488" s="51"/>
      <c r="BN488" s="51"/>
      <c r="BO488" s="51"/>
      <c r="BP488" s="51"/>
      <c r="BQ488" s="51"/>
      <c r="BR488" s="9">
        <f t="shared" si="137"/>
        <v>1</v>
      </c>
      <c r="BT488" s="53" t="str">
        <f t="shared" si="138"/>
        <v>Northwest Africa 14798</v>
      </c>
      <c r="BU488" s="25"/>
    </row>
    <row r="489" spans="1:73" ht="12.75" customHeight="1" x14ac:dyDescent="0.25">
      <c r="B489" s="23"/>
      <c r="C489" s="209" t="str">
        <f>HYPERLINK("https://sites.wustl.edu/meteoritesite/items/lm_nwa_14836/",Q489)</f>
        <v>Northwest Africa 14836</v>
      </c>
      <c r="D489" s="210"/>
      <c r="E489" s="210"/>
      <c r="F489" s="211"/>
      <c r="G489" s="89">
        <v>2021</v>
      </c>
      <c r="H489" s="214" t="s">
        <v>396</v>
      </c>
      <c r="I489" s="215"/>
      <c r="J489" s="33">
        <v>90</v>
      </c>
      <c r="K489" s="212" t="s">
        <v>39</v>
      </c>
      <c r="L489" s="213"/>
      <c r="M489" s="32" t="s">
        <v>40</v>
      </c>
      <c r="N489" s="32" t="s">
        <v>40</v>
      </c>
      <c r="P489" s="125">
        <f>SUM(V489:BQ489)</f>
        <v>90</v>
      </c>
      <c r="Q489" s="54" t="s">
        <v>580</v>
      </c>
      <c r="R489" s="48"/>
      <c r="S489" s="49"/>
      <c r="T489" s="50">
        <f>J489-P489</f>
        <v>0</v>
      </c>
      <c r="V489" s="51">
        <v>90</v>
      </c>
      <c r="W489" s="51"/>
      <c r="X489" s="51"/>
      <c r="Y489" s="51"/>
      <c r="Z489" s="51"/>
      <c r="AA489" s="51"/>
      <c r="AB489" s="51"/>
      <c r="AC489" s="51"/>
      <c r="AD489" s="51"/>
      <c r="AE489" s="51"/>
      <c r="AF489" s="51"/>
      <c r="AG489" s="51"/>
      <c r="AH489" s="51"/>
      <c r="AI489" s="51"/>
      <c r="AJ489" s="51"/>
      <c r="AK489" s="51"/>
      <c r="AL489" s="51"/>
      <c r="AM489" s="51"/>
      <c r="AN489" s="51"/>
      <c r="AO489" s="51"/>
      <c r="AP489" s="51"/>
      <c r="AQ489" s="51"/>
      <c r="AR489" s="51"/>
      <c r="AS489" s="51"/>
      <c r="AT489" s="51"/>
      <c r="AU489" s="51"/>
      <c r="AV489" s="51"/>
      <c r="AW489" s="51"/>
      <c r="AX489" s="51"/>
      <c r="AY489" s="51"/>
      <c r="AZ489" s="51"/>
      <c r="BA489" s="51"/>
      <c r="BB489" s="51"/>
      <c r="BC489" s="51"/>
      <c r="BD489" s="51"/>
      <c r="BE489" s="51"/>
      <c r="BF489" s="51"/>
      <c r="BG489" s="51"/>
      <c r="BH489" s="51"/>
      <c r="BI489" s="51"/>
      <c r="BJ489" s="51"/>
      <c r="BK489" s="51"/>
      <c r="BL489" s="51"/>
      <c r="BM489" s="51"/>
      <c r="BN489" s="51"/>
      <c r="BO489" s="51"/>
      <c r="BP489" s="51"/>
      <c r="BQ489" s="51"/>
      <c r="BR489" s="9">
        <f>COUNT(V489:BQ489)</f>
        <v>1</v>
      </c>
      <c r="BT489" s="53" t="str">
        <f>Q489</f>
        <v>Northwest Africa 14836</v>
      </c>
      <c r="BU489" s="25"/>
    </row>
    <row r="490" spans="1:73" ht="12.75" customHeight="1" x14ac:dyDescent="0.25">
      <c r="B490" s="23"/>
      <c r="C490" s="209" t="str">
        <f>HYPERLINK("https://sites.wustl.edu/meteoritesite/items/lm_nwa_14884/",Q490)</f>
        <v>Northwest Africa 14884</v>
      </c>
      <c r="D490" s="210"/>
      <c r="E490" s="210"/>
      <c r="F490" s="211"/>
      <c r="G490" s="89">
        <v>2021</v>
      </c>
      <c r="H490" s="249" t="s">
        <v>396</v>
      </c>
      <c r="I490" s="249"/>
      <c r="J490" s="33">
        <v>243</v>
      </c>
      <c r="K490" s="212" t="s">
        <v>39</v>
      </c>
      <c r="L490" s="213"/>
      <c r="M490" s="32" t="s">
        <v>536</v>
      </c>
      <c r="N490" s="32" t="s">
        <v>40</v>
      </c>
      <c r="P490" s="125">
        <f t="shared" si="156"/>
        <v>243</v>
      </c>
      <c r="Q490" s="54" t="s">
        <v>577</v>
      </c>
      <c r="R490" s="48"/>
      <c r="S490" s="49"/>
      <c r="T490" s="50">
        <f t="shared" si="157"/>
        <v>0</v>
      </c>
      <c r="V490" s="51">
        <v>243</v>
      </c>
      <c r="W490" s="51"/>
      <c r="X490" s="51"/>
      <c r="Y490" s="51"/>
      <c r="Z490" s="51"/>
      <c r="AA490" s="51"/>
      <c r="AB490" s="51"/>
      <c r="AC490" s="51"/>
      <c r="AD490" s="51"/>
      <c r="AE490" s="51"/>
      <c r="AF490" s="51"/>
      <c r="AG490" s="51"/>
      <c r="AH490" s="51"/>
      <c r="AI490" s="51"/>
      <c r="AJ490" s="51"/>
      <c r="AK490" s="51"/>
      <c r="AL490" s="51"/>
      <c r="AM490" s="51"/>
      <c r="AN490" s="51"/>
      <c r="AO490" s="51"/>
      <c r="AP490" s="51"/>
      <c r="AQ490" s="51"/>
      <c r="AR490" s="51"/>
      <c r="AS490" s="51"/>
      <c r="AT490" s="51"/>
      <c r="AU490" s="51"/>
      <c r="AV490" s="51"/>
      <c r="AW490" s="51"/>
      <c r="AX490" s="51"/>
      <c r="AY490" s="51"/>
      <c r="AZ490" s="51"/>
      <c r="BA490" s="51"/>
      <c r="BB490" s="51"/>
      <c r="BC490" s="51"/>
      <c r="BD490" s="51"/>
      <c r="BE490" s="51"/>
      <c r="BF490" s="51"/>
      <c r="BG490" s="51"/>
      <c r="BH490" s="51"/>
      <c r="BI490" s="51"/>
      <c r="BJ490" s="51"/>
      <c r="BK490" s="51"/>
      <c r="BL490" s="51"/>
      <c r="BM490" s="51"/>
      <c r="BN490" s="51"/>
      <c r="BO490" s="51"/>
      <c r="BP490" s="51"/>
      <c r="BQ490" s="51"/>
      <c r="BR490" s="9">
        <f t="shared" si="137"/>
        <v>1</v>
      </c>
      <c r="BT490" s="53" t="str">
        <f t="shared" si="138"/>
        <v>Northwest Africa 14884</v>
      </c>
      <c r="BU490" s="25"/>
    </row>
    <row r="491" spans="1:73" ht="12.75" customHeight="1" x14ac:dyDescent="0.25">
      <c r="B491" s="23"/>
      <c r="C491" s="209" t="str">
        <f>HYPERLINK("https://sites.wustl.edu/meteoritesite/items/lm_nwa_14900/",Q491)</f>
        <v>Northwest Africa 14900</v>
      </c>
      <c r="D491" s="210"/>
      <c r="E491" s="210"/>
      <c r="F491" s="211"/>
      <c r="G491" s="89">
        <v>2022</v>
      </c>
      <c r="H491" s="214" t="s">
        <v>396</v>
      </c>
      <c r="I491" s="215"/>
      <c r="J491" s="33">
        <v>277</v>
      </c>
      <c r="K491" s="212" t="s">
        <v>39</v>
      </c>
      <c r="L491" s="213"/>
      <c r="M491" s="32" t="s">
        <v>40</v>
      </c>
      <c r="N491" s="32" t="s">
        <v>40</v>
      </c>
      <c r="P491" s="125">
        <f t="shared" si="156"/>
        <v>277</v>
      </c>
      <c r="Q491" s="54" t="s">
        <v>578</v>
      </c>
      <c r="R491" s="48"/>
      <c r="S491" s="49"/>
      <c r="T491" s="50">
        <f t="shared" si="157"/>
        <v>0</v>
      </c>
      <c r="V491" s="51">
        <v>277</v>
      </c>
      <c r="W491" s="51"/>
      <c r="X491" s="51"/>
      <c r="Y491" s="51"/>
      <c r="Z491" s="51"/>
      <c r="AA491" s="51"/>
      <c r="AB491" s="51"/>
      <c r="AC491" s="51"/>
      <c r="AD491" s="51"/>
      <c r="AE491" s="51"/>
      <c r="AF491" s="51"/>
      <c r="AG491" s="51"/>
      <c r="AH491" s="51"/>
      <c r="AI491" s="51"/>
      <c r="AJ491" s="51"/>
      <c r="AK491" s="51"/>
      <c r="AL491" s="51"/>
      <c r="AM491" s="51"/>
      <c r="AN491" s="51"/>
      <c r="AO491" s="51"/>
      <c r="AP491" s="51"/>
      <c r="AQ491" s="51"/>
      <c r="AR491" s="51"/>
      <c r="AS491" s="51"/>
      <c r="AT491" s="51"/>
      <c r="AU491" s="51"/>
      <c r="AV491" s="51"/>
      <c r="AW491" s="51"/>
      <c r="AX491" s="51"/>
      <c r="AY491" s="51"/>
      <c r="AZ491" s="51"/>
      <c r="BA491" s="51"/>
      <c r="BB491" s="51"/>
      <c r="BC491" s="51"/>
      <c r="BD491" s="51"/>
      <c r="BE491" s="51"/>
      <c r="BF491" s="51"/>
      <c r="BG491" s="51"/>
      <c r="BH491" s="51"/>
      <c r="BI491" s="51"/>
      <c r="BJ491" s="51"/>
      <c r="BK491" s="51"/>
      <c r="BL491" s="51"/>
      <c r="BM491" s="51"/>
      <c r="BN491" s="51"/>
      <c r="BO491" s="51"/>
      <c r="BP491" s="51"/>
      <c r="BQ491" s="51"/>
      <c r="BR491" s="9">
        <f t="shared" si="137"/>
        <v>1</v>
      </c>
      <c r="BT491" s="53" t="str">
        <f t="shared" si="138"/>
        <v>Northwest Africa 14900</v>
      </c>
      <c r="BU491" s="25"/>
    </row>
    <row r="492" spans="1:73" ht="12.75" customHeight="1" x14ac:dyDescent="0.25">
      <c r="B492" s="23"/>
      <c r="C492" s="209" t="str">
        <f>HYPERLINK("https://sites.wustl.edu/meteoritesite/items/lm_nwa_14905/",Q492)</f>
        <v>Northwest Africa 14905</v>
      </c>
      <c r="D492" s="210"/>
      <c r="E492" s="210"/>
      <c r="F492" s="211"/>
      <c r="G492" s="89">
        <v>2020</v>
      </c>
      <c r="H492" s="214" t="s">
        <v>38</v>
      </c>
      <c r="I492" s="215"/>
      <c r="J492" s="33">
        <v>2928</v>
      </c>
      <c r="K492" s="212" t="s">
        <v>66</v>
      </c>
      <c r="L492" s="213"/>
      <c r="M492" s="32" t="s">
        <v>40</v>
      </c>
      <c r="N492" s="32" t="s">
        <v>40</v>
      </c>
      <c r="P492" s="125">
        <f t="shared" si="156"/>
        <v>2928</v>
      </c>
      <c r="Q492" s="54" t="s">
        <v>579</v>
      </c>
      <c r="R492" s="48"/>
      <c r="S492" s="49"/>
      <c r="T492" s="50">
        <f t="shared" si="157"/>
        <v>0</v>
      </c>
      <c r="V492" s="51">
        <v>2928</v>
      </c>
      <c r="W492" s="51"/>
      <c r="X492" s="51"/>
      <c r="Y492" s="51"/>
      <c r="Z492" s="51"/>
      <c r="AA492" s="51"/>
      <c r="AB492" s="51"/>
      <c r="AC492" s="51"/>
      <c r="AD492" s="51"/>
      <c r="AE492" s="51"/>
      <c r="AF492" s="51"/>
      <c r="AG492" s="51"/>
      <c r="AH492" s="51"/>
      <c r="AI492" s="51"/>
      <c r="AJ492" s="51"/>
      <c r="AK492" s="51"/>
      <c r="AL492" s="51"/>
      <c r="AM492" s="51"/>
      <c r="AN492" s="51"/>
      <c r="AO492" s="51"/>
      <c r="AP492" s="51"/>
      <c r="AQ492" s="51"/>
      <c r="AR492" s="51"/>
      <c r="AS492" s="51"/>
      <c r="AT492" s="51"/>
      <c r="AU492" s="51"/>
      <c r="AV492" s="51"/>
      <c r="AW492" s="51"/>
      <c r="AX492" s="51"/>
      <c r="AY492" s="51"/>
      <c r="AZ492" s="51"/>
      <c r="BA492" s="51"/>
      <c r="BB492" s="51"/>
      <c r="BC492" s="51"/>
      <c r="BD492" s="51"/>
      <c r="BE492" s="51"/>
      <c r="BF492" s="51"/>
      <c r="BG492" s="51"/>
      <c r="BH492" s="51"/>
      <c r="BI492" s="51"/>
      <c r="BJ492" s="51"/>
      <c r="BK492" s="51"/>
      <c r="BL492" s="51"/>
      <c r="BM492" s="51"/>
      <c r="BN492" s="51"/>
      <c r="BO492" s="51"/>
      <c r="BP492" s="51"/>
      <c r="BQ492" s="51"/>
      <c r="BR492" s="9">
        <f t="shared" si="137"/>
        <v>1</v>
      </c>
      <c r="BT492" s="53" t="str">
        <f t="shared" si="138"/>
        <v>Northwest Africa 14905</v>
      </c>
      <c r="BU492" s="25"/>
    </row>
    <row r="493" spans="1:73" ht="12.75" customHeight="1" x14ac:dyDescent="0.25">
      <c r="B493" s="23"/>
      <c r="C493" s="209" t="str">
        <f>HYPERLINK("https://sites.wustl.edu/meteoritesite/items/lm_nwa_14908/",Q493)</f>
        <v>Northwest Africa 14908</v>
      </c>
      <c r="D493" s="210"/>
      <c r="E493" s="210"/>
      <c r="F493" s="211"/>
      <c r="G493" s="89">
        <v>2017</v>
      </c>
      <c r="H493" s="214" t="s">
        <v>616</v>
      </c>
      <c r="I493" s="215"/>
      <c r="J493" s="33">
        <v>960</v>
      </c>
      <c r="K493" s="212" t="s">
        <v>66</v>
      </c>
      <c r="L493" s="213"/>
      <c r="M493" s="32" t="s">
        <v>40</v>
      </c>
      <c r="N493" s="32" t="s">
        <v>40</v>
      </c>
      <c r="P493" s="125">
        <f t="shared" si="156"/>
        <v>960</v>
      </c>
      <c r="Q493" s="54" t="s">
        <v>573</v>
      </c>
      <c r="R493" s="48"/>
      <c r="S493" s="49"/>
      <c r="T493" s="50">
        <f t="shared" si="157"/>
        <v>0</v>
      </c>
      <c r="V493" s="51">
        <v>960</v>
      </c>
      <c r="W493" s="51"/>
      <c r="X493" s="51"/>
      <c r="Y493" s="51"/>
      <c r="Z493" s="51"/>
      <c r="AA493" s="51"/>
      <c r="AB493" s="51"/>
      <c r="AC493" s="51"/>
      <c r="AD493" s="51"/>
      <c r="AE493" s="51"/>
      <c r="AF493" s="51"/>
      <c r="AG493" s="51"/>
      <c r="AH493" s="51"/>
      <c r="AI493" s="51"/>
      <c r="AJ493" s="51"/>
      <c r="AK493" s="51"/>
      <c r="AL493" s="51"/>
      <c r="AM493" s="51"/>
      <c r="AN493" s="51"/>
      <c r="AO493" s="51"/>
      <c r="AP493" s="51"/>
      <c r="AQ493" s="51"/>
      <c r="AR493" s="51"/>
      <c r="AS493" s="51"/>
      <c r="AT493" s="51"/>
      <c r="AU493" s="51"/>
      <c r="AV493" s="51"/>
      <c r="AW493" s="51"/>
      <c r="AX493" s="51"/>
      <c r="AY493" s="51"/>
      <c r="AZ493" s="51"/>
      <c r="BA493" s="51"/>
      <c r="BB493" s="51"/>
      <c r="BC493" s="51"/>
      <c r="BD493" s="51"/>
      <c r="BE493" s="51"/>
      <c r="BF493" s="51"/>
      <c r="BG493" s="51"/>
      <c r="BH493" s="51"/>
      <c r="BI493" s="51"/>
      <c r="BJ493" s="51"/>
      <c r="BK493" s="51"/>
      <c r="BL493" s="51"/>
      <c r="BM493" s="51"/>
      <c r="BN493" s="51"/>
      <c r="BO493" s="51"/>
      <c r="BP493" s="51"/>
      <c r="BQ493" s="51"/>
      <c r="BR493" s="9">
        <f t="shared" si="137"/>
        <v>1</v>
      </c>
      <c r="BT493" s="53" t="str">
        <f t="shared" si="138"/>
        <v>Northwest Africa 14908</v>
      </c>
      <c r="BU493" s="25"/>
    </row>
    <row r="494" spans="1:73" ht="12.75" customHeight="1" x14ac:dyDescent="0.25">
      <c r="B494" s="23"/>
      <c r="C494" s="209" t="str">
        <f>HYPERLINK("https://sites.wustl.edu/meteoritesite/items/lm_nwa_14969/",Q494)</f>
        <v>Northwest Africa 14969</v>
      </c>
      <c r="D494" s="210"/>
      <c r="E494" s="210"/>
      <c r="F494" s="211"/>
      <c r="G494" s="89">
        <v>2022</v>
      </c>
      <c r="H494" s="214" t="s">
        <v>396</v>
      </c>
      <c r="I494" s="215"/>
      <c r="J494" s="33">
        <v>541</v>
      </c>
      <c r="K494" s="212" t="s">
        <v>39</v>
      </c>
      <c r="L494" s="213"/>
      <c r="M494" s="32" t="s">
        <v>40</v>
      </c>
      <c r="N494" s="32" t="s">
        <v>40</v>
      </c>
      <c r="P494" s="125">
        <f t="shared" ref="P494:P498" si="158">SUM(V494:BQ494)</f>
        <v>541</v>
      </c>
      <c r="Q494" s="54" t="s">
        <v>588</v>
      </c>
      <c r="R494" s="48"/>
      <c r="S494" s="49"/>
      <c r="T494" s="50">
        <f t="shared" ref="T494:T654" si="159">J494-P494</f>
        <v>0</v>
      </c>
      <c r="V494" s="51">
        <v>541</v>
      </c>
      <c r="W494" s="51"/>
      <c r="X494" s="51"/>
      <c r="Y494" s="51"/>
      <c r="Z494" s="51"/>
      <c r="AA494" s="51"/>
      <c r="AB494" s="51"/>
      <c r="AC494" s="51"/>
      <c r="AD494" s="51"/>
      <c r="AE494" s="51"/>
      <c r="AF494" s="51"/>
      <c r="AG494" s="51"/>
      <c r="AH494" s="51"/>
      <c r="AI494" s="51"/>
      <c r="AJ494" s="51"/>
      <c r="AK494" s="51"/>
      <c r="AL494" s="51"/>
      <c r="AM494" s="51"/>
      <c r="AN494" s="51"/>
      <c r="AO494" s="51"/>
      <c r="AP494" s="51"/>
      <c r="AQ494" s="51"/>
      <c r="AR494" s="51"/>
      <c r="AS494" s="51"/>
      <c r="AT494" s="51"/>
      <c r="AU494" s="51"/>
      <c r="AV494" s="51"/>
      <c r="AW494" s="51"/>
      <c r="AX494" s="51"/>
      <c r="AY494" s="51"/>
      <c r="AZ494" s="51"/>
      <c r="BA494" s="51"/>
      <c r="BB494" s="51"/>
      <c r="BC494" s="51"/>
      <c r="BD494" s="51"/>
      <c r="BE494" s="51"/>
      <c r="BF494" s="51"/>
      <c r="BG494" s="51"/>
      <c r="BH494" s="51"/>
      <c r="BI494" s="51"/>
      <c r="BJ494" s="51"/>
      <c r="BK494" s="51"/>
      <c r="BL494" s="51"/>
      <c r="BM494" s="51"/>
      <c r="BN494" s="51"/>
      <c r="BO494" s="51"/>
      <c r="BP494" s="51"/>
      <c r="BQ494" s="51"/>
      <c r="BR494" s="9">
        <f t="shared" ref="BR494:BR500" si="160">COUNT(V494:BQ494)</f>
        <v>1</v>
      </c>
      <c r="BT494" s="53" t="str">
        <f t="shared" ref="BT494:BT495" si="161">Q494</f>
        <v>Northwest Africa 14969</v>
      </c>
      <c r="BU494" s="25"/>
    </row>
    <row r="495" spans="1:73" ht="12.75" customHeight="1" x14ac:dyDescent="0.25">
      <c r="B495" s="23"/>
      <c r="C495" s="209" t="str">
        <f>HYPERLINK("https://sites.wustl.edu/meteoritesite/items/lm_nwa_14977/",Q495)</f>
        <v>Northwest Africa 14977</v>
      </c>
      <c r="D495" s="210"/>
      <c r="E495" s="210"/>
      <c r="F495" s="211"/>
      <c r="G495" s="89">
        <v>2021</v>
      </c>
      <c r="H495" s="214" t="s">
        <v>396</v>
      </c>
      <c r="I495" s="215"/>
      <c r="J495" s="33">
        <v>849</v>
      </c>
      <c r="K495" s="212" t="s">
        <v>66</v>
      </c>
      <c r="L495" s="213"/>
      <c r="M495" s="32" t="s">
        <v>40</v>
      </c>
      <c r="N495" s="32" t="s">
        <v>40</v>
      </c>
      <c r="P495" s="125">
        <f t="shared" si="158"/>
        <v>849</v>
      </c>
      <c r="Q495" s="54" t="s">
        <v>589</v>
      </c>
      <c r="R495" s="48"/>
      <c r="S495" s="49"/>
      <c r="T495" s="50">
        <f t="shared" si="159"/>
        <v>0</v>
      </c>
      <c r="V495" s="51">
        <v>849</v>
      </c>
      <c r="W495" s="51"/>
      <c r="X495" s="51"/>
      <c r="Y495" s="51"/>
      <c r="Z495" s="51"/>
      <c r="AA495" s="51"/>
      <c r="AB495" s="51"/>
      <c r="AC495" s="51"/>
      <c r="AD495" s="51"/>
      <c r="AE495" s="51"/>
      <c r="AF495" s="51"/>
      <c r="AG495" s="51"/>
      <c r="AH495" s="51"/>
      <c r="AI495" s="51"/>
      <c r="AJ495" s="51"/>
      <c r="AK495" s="51"/>
      <c r="AL495" s="51"/>
      <c r="AM495" s="51"/>
      <c r="AN495" s="51"/>
      <c r="AO495" s="51"/>
      <c r="AP495" s="51"/>
      <c r="AQ495" s="51"/>
      <c r="AR495" s="51"/>
      <c r="AS495" s="51"/>
      <c r="AT495" s="51"/>
      <c r="AU495" s="51"/>
      <c r="AV495" s="51"/>
      <c r="AW495" s="51"/>
      <c r="AX495" s="51"/>
      <c r="AY495" s="51"/>
      <c r="AZ495" s="51"/>
      <c r="BA495" s="51"/>
      <c r="BB495" s="51"/>
      <c r="BC495" s="51"/>
      <c r="BD495" s="51"/>
      <c r="BE495" s="51"/>
      <c r="BF495" s="51"/>
      <c r="BG495" s="51"/>
      <c r="BH495" s="51"/>
      <c r="BI495" s="51"/>
      <c r="BJ495" s="51"/>
      <c r="BK495" s="51"/>
      <c r="BL495" s="51"/>
      <c r="BM495" s="51"/>
      <c r="BN495" s="51"/>
      <c r="BO495" s="51"/>
      <c r="BP495" s="51"/>
      <c r="BQ495" s="51"/>
      <c r="BR495" s="9">
        <f t="shared" si="160"/>
        <v>1</v>
      </c>
      <c r="BT495" s="53" t="str">
        <f t="shared" si="161"/>
        <v>Northwest Africa 14977</v>
      </c>
      <c r="BU495" s="25"/>
    </row>
    <row r="496" spans="1:73" s="1" customFormat="1" ht="12.75" customHeight="1" x14ac:dyDescent="0.25">
      <c r="A496"/>
      <c r="B496" s="243" t="s">
        <v>28</v>
      </c>
      <c r="C496" s="230" t="s">
        <v>29</v>
      </c>
      <c r="D496" s="231"/>
      <c r="E496" s="231"/>
      <c r="F496" s="232"/>
      <c r="G496" s="241" t="s">
        <v>282</v>
      </c>
      <c r="H496" s="219" t="s">
        <v>249</v>
      </c>
      <c r="I496" s="220"/>
      <c r="J496" s="241" t="s">
        <v>30</v>
      </c>
      <c r="K496" s="219" t="s">
        <v>31</v>
      </c>
      <c r="L496" s="220"/>
      <c r="M496" s="223" t="s">
        <v>245</v>
      </c>
      <c r="N496" s="225" t="s">
        <v>32</v>
      </c>
      <c r="O496" s="15"/>
      <c r="P496" s="127"/>
      <c r="Q496" s="15"/>
      <c r="R496" s="15"/>
      <c r="S496" s="15"/>
      <c r="T496" s="50"/>
      <c r="U496" s="9"/>
      <c r="V496" s="42"/>
      <c r="W496" s="42"/>
      <c r="X496" s="42"/>
      <c r="Y496" s="42"/>
      <c r="Z496" s="42"/>
      <c r="AA496" s="42"/>
      <c r="AB496" s="42"/>
      <c r="AC496" s="42"/>
      <c r="AD496" s="42"/>
      <c r="AE496" s="42"/>
      <c r="AF496" s="42"/>
      <c r="AG496" s="42"/>
      <c r="AH496" s="42"/>
      <c r="AI496" s="42"/>
      <c r="AJ496" s="42"/>
      <c r="AK496" s="42"/>
      <c r="AL496" s="42"/>
      <c r="AM496" s="42"/>
      <c r="AN496" s="42"/>
      <c r="AO496" s="42"/>
      <c r="AP496" s="42"/>
      <c r="AQ496" s="42"/>
      <c r="AR496" s="42"/>
      <c r="AS496" s="42"/>
      <c r="AT496" s="42"/>
      <c r="AU496" s="42"/>
      <c r="AV496" s="42"/>
      <c r="AW496" s="42"/>
      <c r="AX496" s="42"/>
      <c r="AY496" s="42"/>
      <c r="AZ496" s="42"/>
      <c r="BA496" s="42"/>
      <c r="BB496" s="42"/>
      <c r="BC496" s="42"/>
      <c r="BD496" s="42"/>
      <c r="BE496" s="42"/>
      <c r="BF496" s="42"/>
      <c r="BG496" s="42"/>
      <c r="BH496" s="42"/>
      <c r="BI496" s="42"/>
      <c r="BJ496" s="42"/>
      <c r="BK496" s="42"/>
      <c r="BL496" s="42"/>
      <c r="BM496" s="42"/>
      <c r="BN496" s="42"/>
      <c r="BO496" s="42"/>
      <c r="BP496" s="42"/>
      <c r="BQ496" s="42"/>
      <c r="BR496" s="9"/>
      <c r="BS496" s="42"/>
      <c r="BT496" s="53"/>
      <c r="BU496" s="25"/>
    </row>
    <row r="497" spans="1:73" s="1" customFormat="1" ht="12.75" customHeight="1" x14ac:dyDescent="0.25">
      <c r="A497"/>
      <c r="B497" s="229"/>
      <c r="C497" s="233"/>
      <c r="D497" s="234"/>
      <c r="E497" s="234"/>
      <c r="F497" s="235"/>
      <c r="G497" s="242"/>
      <c r="H497" s="221"/>
      <c r="I497" s="222"/>
      <c r="J497" s="242"/>
      <c r="K497" s="221"/>
      <c r="L497" s="222"/>
      <c r="M497" s="224"/>
      <c r="N497" s="226"/>
      <c r="O497" s="15"/>
      <c r="P497" s="127"/>
      <c r="Q497" s="15"/>
      <c r="R497" s="15"/>
      <c r="S497" s="15"/>
      <c r="T497" s="50"/>
      <c r="U497" s="9"/>
      <c r="V497" s="42"/>
      <c r="W497" s="42"/>
      <c r="X497" s="42"/>
      <c r="Y497" s="42"/>
      <c r="Z497" s="42"/>
      <c r="AA497" s="42"/>
      <c r="AB497" s="42"/>
      <c r="AC497" s="42"/>
      <c r="AD497" s="42"/>
      <c r="AE497" s="42"/>
      <c r="AF497" s="42"/>
      <c r="AG497" s="42"/>
      <c r="AH497" s="42"/>
      <c r="AI497" s="42"/>
      <c r="AJ497" s="42"/>
      <c r="AK497" s="42"/>
      <c r="AL497" s="42"/>
      <c r="AM497" s="42"/>
      <c r="AN497" s="42"/>
      <c r="AO497" s="42"/>
      <c r="AP497" s="42"/>
      <c r="AQ497" s="42"/>
      <c r="AR497" s="42"/>
      <c r="AS497" s="42"/>
      <c r="AT497" s="42"/>
      <c r="AU497" s="42"/>
      <c r="AV497" s="42"/>
      <c r="AW497" s="42"/>
      <c r="AX497" s="42"/>
      <c r="AY497" s="42"/>
      <c r="AZ497" s="42"/>
      <c r="BA497" s="42"/>
      <c r="BB497" s="42"/>
      <c r="BC497" s="42"/>
      <c r="BD497" s="42"/>
      <c r="BE497" s="42"/>
      <c r="BF497" s="42"/>
      <c r="BG497" s="42"/>
      <c r="BH497" s="42"/>
      <c r="BI497" s="42"/>
      <c r="BJ497" s="42"/>
      <c r="BK497" s="42"/>
      <c r="BL497" s="42"/>
      <c r="BM497" s="42"/>
      <c r="BN497" s="42"/>
      <c r="BO497" s="42"/>
      <c r="BP497" s="42"/>
      <c r="BQ497" s="42"/>
      <c r="BR497" s="9"/>
      <c r="BS497" s="42"/>
      <c r="BT497" s="53"/>
      <c r="BU497" s="25"/>
    </row>
    <row r="498" spans="1:73" ht="12.75" customHeight="1" x14ac:dyDescent="0.25">
      <c r="B498" s="23"/>
      <c r="C498" s="209" t="str">
        <f>HYPERLINK("https://sites.wustl.edu/meteoritesite/items/lm_nwa_15018/",Q498)</f>
        <v>Northwest Africa 15018</v>
      </c>
      <c r="D498" s="210"/>
      <c r="E498" s="210"/>
      <c r="F498" s="211"/>
      <c r="G498" s="89">
        <v>2022</v>
      </c>
      <c r="H498" s="214" t="s">
        <v>396</v>
      </c>
      <c r="I498" s="215"/>
      <c r="J498" s="33">
        <v>1200</v>
      </c>
      <c r="K498" s="212" t="s">
        <v>39</v>
      </c>
      <c r="L498" s="213"/>
      <c r="M498" s="32" t="s">
        <v>40</v>
      </c>
      <c r="N498" s="32" t="s">
        <v>40</v>
      </c>
      <c r="P498" s="125">
        <f t="shared" si="158"/>
        <v>1200</v>
      </c>
      <c r="Q498" s="54" t="s">
        <v>598</v>
      </c>
      <c r="R498" s="48"/>
      <c r="S498" s="49"/>
      <c r="T498" s="50">
        <f t="shared" si="159"/>
        <v>0</v>
      </c>
      <c r="V498" s="51">
        <v>1200</v>
      </c>
      <c r="W498" s="51"/>
      <c r="X498" s="51"/>
      <c r="Y498" s="51"/>
      <c r="Z498" s="51"/>
      <c r="AA498" s="51"/>
      <c r="AB498" s="51"/>
      <c r="AC498" s="51"/>
      <c r="AD498" s="51"/>
      <c r="AE498" s="51"/>
      <c r="AF498" s="51"/>
      <c r="AG498" s="51"/>
      <c r="AH498" s="51"/>
      <c r="AI498" s="51"/>
      <c r="AJ498" s="51"/>
      <c r="AK498" s="51"/>
      <c r="AL498" s="51"/>
      <c r="AM498" s="51"/>
      <c r="AN498" s="51"/>
      <c r="AO498" s="51"/>
      <c r="AP498" s="51"/>
      <c r="AQ498" s="51"/>
      <c r="AR498" s="51"/>
      <c r="AS498" s="51"/>
      <c r="AT498" s="51"/>
      <c r="AU498" s="51"/>
      <c r="AV498" s="51"/>
      <c r="AW498" s="51"/>
      <c r="AX498" s="51"/>
      <c r="AY498" s="51"/>
      <c r="AZ498" s="51"/>
      <c r="BA498" s="51"/>
      <c r="BB498" s="51"/>
      <c r="BC498" s="51"/>
      <c r="BD498" s="51"/>
      <c r="BE498" s="51"/>
      <c r="BF498" s="51"/>
      <c r="BG498" s="51"/>
      <c r="BH498" s="51"/>
      <c r="BI498" s="51"/>
      <c r="BJ498" s="51"/>
      <c r="BK498" s="51"/>
      <c r="BL498" s="51"/>
      <c r="BM498" s="51"/>
      <c r="BN498" s="51"/>
      <c r="BO498" s="51"/>
      <c r="BP498" s="51"/>
      <c r="BQ498" s="51"/>
      <c r="BR498" s="9">
        <f t="shared" si="160"/>
        <v>1</v>
      </c>
      <c r="BT498" s="53"/>
      <c r="BU498" s="25"/>
    </row>
    <row r="499" spans="1:73" ht="12.75" customHeight="1" x14ac:dyDescent="0.25">
      <c r="B499" s="23"/>
      <c r="C499" s="209" t="str">
        <f>HYPERLINK("https://sites.wustl.edu/meteoritesite/items/lm_nwa_15026/",Q499)</f>
        <v>Northwest Africa 15026</v>
      </c>
      <c r="D499" s="210"/>
      <c r="E499" s="210"/>
      <c r="F499" s="211"/>
      <c r="G499" s="89">
        <v>2021</v>
      </c>
      <c r="H499" s="214" t="s">
        <v>616</v>
      </c>
      <c r="I499" s="215"/>
      <c r="J499" s="32">
        <v>125.8</v>
      </c>
      <c r="K499" s="212" t="s">
        <v>39</v>
      </c>
      <c r="L499" s="213"/>
      <c r="M499" s="32" t="s">
        <v>40</v>
      </c>
      <c r="N499" s="32" t="s">
        <v>40</v>
      </c>
      <c r="P499" s="125">
        <f t="shared" si="140"/>
        <v>125.8</v>
      </c>
      <c r="Q499" s="54" t="s">
        <v>602</v>
      </c>
      <c r="R499" s="48"/>
      <c r="S499" s="49"/>
      <c r="T499" s="50">
        <f t="shared" ref="T499" si="162">J499-P499</f>
        <v>0</v>
      </c>
      <c r="V499" s="51">
        <v>125.8</v>
      </c>
      <c r="W499" s="51"/>
      <c r="X499" s="51"/>
      <c r="Y499" s="51"/>
      <c r="Z499" s="51"/>
      <c r="AA499" s="51"/>
      <c r="AB499" s="51"/>
      <c r="AC499" s="51"/>
      <c r="AD499" s="51"/>
      <c r="AE499" s="51"/>
      <c r="AF499" s="51"/>
      <c r="AG499" s="51"/>
      <c r="AH499" s="51"/>
      <c r="AI499" s="51"/>
      <c r="AJ499" s="51"/>
      <c r="AK499" s="51"/>
      <c r="AL499" s="51"/>
      <c r="AM499" s="51"/>
      <c r="AN499" s="51"/>
      <c r="AO499" s="51"/>
      <c r="AP499" s="51"/>
      <c r="AQ499" s="51"/>
      <c r="AR499" s="51"/>
      <c r="AS499" s="51"/>
      <c r="AT499" s="51"/>
      <c r="AU499" s="51"/>
      <c r="AV499" s="51"/>
      <c r="AW499" s="51"/>
      <c r="AX499" s="51"/>
      <c r="AY499" s="51"/>
      <c r="AZ499" s="51"/>
      <c r="BA499" s="51"/>
      <c r="BB499" s="51"/>
      <c r="BC499" s="51"/>
      <c r="BD499" s="51"/>
      <c r="BE499" s="51"/>
      <c r="BF499" s="51"/>
      <c r="BG499" s="51"/>
      <c r="BH499" s="51"/>
      <c r="BI499" s="51"/>
      <c r="BJ499" s="51"/>
      <c r="BK499" s="51"/>
      <c r="BL499" s="51"/>
      <c r="BM499" s="51"/>
      <c r="BN499" s="51"/>
      <c r="BO499" s="51"/>
      <c r="BP499" s="51"/>
      <c r="BQ499" s="51"/>
      <c r="BR499" s="9">
        <f t="shared" ref="BR499" si="163">COUNT(V499:BQ499)</f>
        <v>1</v>
      </c>
      <c r="BT499" s="53"/>
      <c r="BU499" s="25"/>
    </row>
    <row r="500" spans="1:73" ht="12.75" customHeight="1" x14ac:dyDescent="0.25">
      <c r="B500" s="23"/>
      <c r="C500" s="209" t="str">
        <f>HYPERLINK("https://sites.wustl.edu/meteoritesite/items/lm_nwa_15051/",Q500)</f>
        <v>Northwest Africa 15051</v>
      </c>
      <c r="D500" s="210"/>
      <c r="E500" s="210"/>
      <c r="F500" s="211"/>
      <c r="G500" s="89">
        <v>2021</v>
      </c>
      <c r="H500" s="214" t="s">
        <v>38</v>
      </c>
      <c r="I500" s="215"/>
      <c r="J500" s="33">
        <v>106</v>
      </c>
      <c r="K500" s="212" t="s">
        <v>44</v>
      </c>
      <c r="L500" s="213"/>
      <c r="M500" s="32" t="s">
        <v>40</v>
      </c>
      <c r="N500" s="32" t="s">
        <v>40</v>
      </c>
      <c r="P500" s="125">
        <f t="shared" ref="P500:P668" si="164">SUM(V500:BQ500)</f>
        <v>106</v>
      </c>
      <c r="Q500" s="54" t="s">
        <v>599</v>
      </c>
      <c r="R500" s="48"/>
      <c r="S500" s="49"/>
      <c r="T500" s="50">
        <f t="shared" si="159"/>
        <v>0</v>
      </c>
      <c r="V500" s="51">
        <v>106</v>
      </c>
      <c r="W500" s="51"/>
      <c r="X500" s="51"/>
      <c r="Y500" s="51"/>
      <c r="Z500" s="51"/>
      <c r="AA500" s="51"/>
      <c r="AB500" s="51"/>
      <c r="AC500" s="51"/>
      <c r="AD500" s="51"/>
      <c r="AE500" s="51"/>
      <c r="AF500" s="51"/>
      <c r="AG500" s="51"/>
      <c r="AH500" s="51"/>
      <c r="AI500" s="51"/>
      <c r="AJ500" s="51"/>
      <c r="AK500" s="51"/>
      <c r="AL500" s="51"/>
      <c r="AM500" s="51"/>
      <c r="AN500" s="51"/>
      <c r="AO500" s="51"/>
      <c r="AP500" s="51"/>
      <c r="AQ500" s="51"/>
      <c r="AR500" s="51"/>
      <c r="AS500" s="51"/>
      <c r="AT500" s="51"/>
      <c r="AU500" s="51"/>
      <c r="AV500" s="51"/>
      <c r="AW500" s="51"/>
      <c r="AX500" s="51"/>
      <c r="AY500" s="51"/>
      <c r="AZ500" s="51"/>
      <c r="BA500" s="51"/>
      <c r="BB500" s="51"/>
      <c r="BC500" s="51"/>
      <c r="BD500" s="51"/>
      <c r="BE500" s="51"/>
      <c r="BF500" s="51"/>
      <c r="BG500" s="51"/>
      <c r="BH500" s="51"/>
      <c r="BI500" s="51"/>
      <c r="BJ500" s="51"/>
      <c r="BK500" s="51"/>
      <c r="BL500" s="51"/>
      <c r="BM500" s="51"/>
      <c r="BN500" s="51"/>
      <c r="BO500" s="51"/>
      <c r="BP500" s="51"/>
      <c r="BQ500" s="51"/>
      <c r="BR500" s="9">
        <f t="shared" si="160"/>
        <v>1</v>
      </c>
      <c r="BT500" s="53"/>
      <c r="BU500" s="25"/>
    </row>
    <row r="501" spans="1:73" ht="12.75" customHeight="1" x14ac:dyDescent="0.25">
      <c r="B501" s="23"/>
      <c r="C501" s="209" t="str">
        <f>HYPERLINK("https://sites.wustl.edu/meteoritesite/items/lm_nwa_15052/",Q501)</f>
        <v>Northwest Africa 15052</v>
      </c>
      <c r="D501" s="210"/>
      <c r="E501" s="210"/>
      <c r="F501" s="211"/>
      <c r="G501" s="89">
        <v>2022</v>
      </c>
      <c r="H501" s="249" t="s">
        <v>396</v>
      </c>
      <c r="I501" s="249"/>
      <c r="J501" s="33">
        <v>202</v>
      </c>
      <c r="K501" s="212" t="s">
        <v>39</v>
      </c>
      <c r="L501" s="213"/>
      <c r="M501" s="32" t="s">
        <v>536</v>
      </c>
      <c r="N501" s="32" t="s">
        <v>40</v>
      </c>
      <c r="P501" s="125">
        <f t="shared" si="164"/>
        <v>202</v>
      </c>
      <c r="Q501" s="54" t="s">
        <v>594</v>
      </c>
      <c r="R501" s="48"/>
      <c r="S501" s="49"/>
      <c r="T501" s="50">
        <f t="shared" si="159"/>
        <v>0</v>
      </c>
      <c r="V501" s="51">
        <v>202</v>
      </c>
      <c r="W501" s="51"/>
      <c r="X501" s="51"/>
      <c r="Y501" s="51"/>
      <c r="Z501" s="51"/>
      <c r="AA501" s="51"/>
      <c r="AB501" s="51"/>
      <c r="AC501" s="51"/>
      <c r="AD501" s="51"/>
      <c r="AE501" s="51"/>
      <c r="AF501" s="51"/>
      <c r="AG501" s="51"/>
      <c r="AH501" s="51"/>
      <c r="AI501" s="51"/>
      <c r="AJ501" s="51"/>
      <c r="AK501" s="51"/>
      <c r="AL501" s="51"/>
      <c r="AM501" s="51"/>
      <c r="AN501" s="51"/>
      <c r="AO501" s="51"/>
      <c r="AP501" s="51"/>
      <c r="AQ501" s="51"/>
      <c r="AR501" s="51"/>
      <c r="AS501" s="51"/>
      <c r="AT501" s="51"/>
      <c r="AU501" s="51"/>
      <c r="AV501" s="51"/>
      <c r="AW501" s="51"/>
      <c r="AX501" s="51"/>
      <c r="AY501" s="51"/>
      <c r="AZ501" s="51"/>
      <c r="BA501" s="51"/>
      <c r="BB501" s="51"/>
      <c r="BC501" s="51"/>
      <c r="BD501" s="51"/>
      <c r="BE501" s="51"/>
      <c r="BF501" s="51"/>
      <c r="BG501" s="51"/>
      <c r="BH501" s="51"/>
      <c r="BI501" s="51"/>
      <c r="BJ501" s="51"/>
      <c r="BK501" s="51"/>
      <c r="BL501" s="51"/>
      <c r="BM501" s="51"/>
      <c r="BN501" s="51"/>
      <c r="BO501" s="51"/>
      <c r="BP501" s="51"/>
      <c r="BQ501" s="51"/>
      <c r="BR501" s="9">
        <f t="shared" ref="BR501:BR510" si="165">COUNT(V501:BQ501)</f>
        <v>1</v>
      </c>
      <c r="BT501" s="53" t="str">
        <f t="shared" ref="BT501:BT504" si="166">Q501</f>
        <v>Northwest Africa 15052</v>
      </c>
      <c r="BU501" s="25"/>
    </row>
    <row r="502" spans="1:73" ht="12.75" customHeight="1" x14ac:dyDescent="0.25">
      <c r="B502" s="23"/>
      <c r="C502" s="209" t="str">
        <f>HYPERLINK("https://sites.wustl.edu/meteoritesite/items/lm_nwa_15059/",Q502)</f>
        <v>Northwest Africa 15059</v>
      </c>
      <c r="D502" s="210"/>
      <c r="E502" s="210"/>
      <c r="F502" s="211"/>
      <c r="G502" s="89">
        <v>2022</v>
      </c>
      <c r="H502" s="236" t="s">
        <v>41</v>
      </c>
      <c r="I502" s="237"/>
      <c r="J502" s="33">
        <v>1367</v>
      </c>
      <c r="K502" s="212" t="s">
        <v>39</v>
      </c>
      <c r="L502" s="213"/>
      <c r="M502" s="32" t="s">
        <v>40</v>
      </c>
      <c r="N502" s="32" t="s">
        <v>40</v>
      </c>
      <c r="P502" s="125">
        <f t="shared" ref="P502" si="167">SUM(V502:BQ502)</f>
        <v>1367</v>
      </c>
      <c r="Q502" s="54" t="s">
        <v>733</v>
      </c>
      <c r="R502" s="48"/>
      <c r="S502" s="49"/>
      <c r="T502" s="50">
        <f t="shared" ref="T502" si="168">J502-P502</f>
        <v>0</v>
      </c>
      <c r="V502" s="51">
        <v>1367</v>
      </c>
      <c r="W502" s="51"/>
      <c r="X502" s="51"/>
      <c r="Y502" s="51"/>
      <c r="Z502" s="51"/>
      <c r="AA502" s="51"/>
      <c r="AB502" s="51"/>
      <c r="AC502" s="51"/>
      <c r="AD502" s="51"/>
      <c r="AE502" s="51"/>
      <c r="AF502" s="51"/>
      <c r="AG502" s="51"/>
      <c r="AH502" s="51"/>
      <c r="AI502" s="51"/>
      <c r="AJ502" s="51"/>
      <c r="AK502" s="51"/>
      <c r="AL502" s="51"/>
      <c r="AM502" s="51"/>
      <c r="AN502" s="51"/>
      <c r="AO502" s="51"/>
      <c r="AP502" s="51"/>
      <c r="AQ502" s="51"/>
      <c r="AR502" s="51"/>
      <c r="AS502" s="51"/>
      <c r="AT502" s="51"/>
      <c r="AU502" s="51"/>
      <c r="AV502" s="51"/>
      <c r="AW502" s="51"/>
      <c r="AX502" s="51"/>
      <c r="AY502" s="51"/>
      <c r="AZ502" s="51"/>
      <c r="BA502" s="51"/>
      <c r="BB502" s="51"/>
      <c r="BC502" s="51"/>
      <c r="BD502" s="51"/>
      <c r="BE502" s="51"/>
      <c r="BF502" s="51"/>
      <c r="BG502" s="51"/>
      <c r="BH502" s="51"/>
      <c r="BI502" s="51"/>
      <c r="BJ502" s="51"/>
      <c r="BK502" s="51"/>
      <c r="BL502" s="51"/>
      <c r="BM502" s="51"/>
      <c r="BN502" s="51"/>
      <c r="BO502" s="51"/>
      <c r="BP502" s="51"/>
      <c r="BQ502" s="51"/>
      <c r="BR502" s="9">
        <f t="shared" ref="BR502" si="169">COUNT(V502:BQ502)</f>
        <v>1</v>
      </c>
      <c r="BT502" s="53" t="str">
        <f t="shared" ref="BT502" si="170">Q502</f>
        <v>Northwest Africa 15059</v>
      </c>
      <c r="BU502" s="25"/>
    </row>
    <row r="503" spans="1:73" ht="12.75" customHeight="1" x14ac:dyDescent="0.25">
      <c r="B503" s="23"/>
      <c r="C503" s="209" t="str">
        <f>HYPERLINK("https://sites.wustl.edu/meteoritesite/items/lm_nwa_15062/",Q503)</f>
        <v>Northwest Africa 15062/ 15063</v>
      </c>
      <c r="D503" s="210"/>
      <c r="E503" s="210"/>
      <c r="F503" s="211"/>
      <c r="G503" s="89">
        <v>2018</v>
      </c>
      <c r="H503" s="214" t="s">
        <v>46</v>
      </c>
      <c r="I503" s="215"/>
      <c r="J503" s="62">
        <v>55.91</v>
      </c>
      <c r="K503" s="212" t="s">
        <v>39</v>
      </c>
      <c r="L503" s="213"/>
      <c r="M503" s="32" t="s">
        <v>40</v>
      </c>
      <c r="N503" s="32" t="s">
        <v>40</v>
      </c>
      <c r="P503" s="125">
        <f t="shared" ref="P503" si="171">SUM(V503:BQ503)</f>
        <v>55.91</v>
      </c>
      <c r="Q503" s="54" t="s">
        <v>663</v>
      </c>
      <c r="R503" s="48"/>
      <c r="S503" s="49"/>
      <c r="T503" s="50">
        <f t="shared" si="159"/>
        <v>0</v>
      </c>
      <c r="V503" s="51">
        <v>40.18</v>
      </c>
      <c r="W503" s="51">
        <v>15.73</v>
      </c>
      <c r="X503" s="51"/>
      <c r="Y503" s="51"/>
      <c r="Z503" s="51"/>
      <c r="AA503" s="51"/>
      <c r="AB503" s="51"/>
      <c r="AC503" s="51"/>
      <c r="AD503" s="51"/>
      <c r="AE503" s="51"/>
      <c r="AF503" s="51"/>
      <c r="AG503" s="51"/>
      <c r="AH503" s="51"/>
      <c r="AI503" s="51"/>
      <c r="AJ503" s="51"/>
      <c r="AK503" s="51"/>
      <c r="AL503" s="51"/>
      <c r="AM503" s="51"/>
      <c r="AN503" s="51"/>
      <c r="AO503" s="51"/>
      <c r="AP503" s="51"/>
      <c r="AQ503" s="51"/>
      <c r="AR503" s="51"/>
      <c r="AS503" s="51"/>
      <c r="AT503" s="51"/>
      <c r="AU503" s="51"/>
      <c r="AV503" s="51"/>
      <c r="AW503" s="51"/>
      <c r="AX503" s="51"/>
      <c r="AY503" s="51"/>
      <c r="AZ503" s="51"/>
      <c r="BA503" s="51"/>
      <c r="BB503" s="51"/>
      <c r="BC503" s="51"/>
      <c r="BD503" s="51"/>
      <c r="BE503" s="51"/>
      <c r="BF503" s="51"/>
      <c r="BG503" s="51"/>
      <c r="BH503" s="51"/>
      <c r="BI503" s="51"/>
      <c r="BJ503" s="51"/>
      <c r="BK503" s="51"/>
      <c r="BL503" s="51"/>
      <c r="BM503" s="51"/>
      <c r="BN503" s="51"/>
      <c r="BO503" s="51"/>
      <c r="BP503" s="51"/>
      <c r="BQ503" s="51"/>
      <c r="BR503" s="9">
        <f t="shared" ref="BR503" si="172">COUNT(V503:BQ503)</f>
        <v>2</v>
      </c>
      <c r="BT503" s="53" t="str">
        <f t="shared" ref="BT503" si="173">Q503</f>
        <v>Northwest Africa 15062/ 15063</v>
      </c>
      <c r="BU503" s="25"/>
    </row>
    <row r="504" spans="1:73" ht="12.75" customHeight="1" x14ac:dyDescent="0.25">
      <c r="B504" s="23"/>
      <c r="C504" s="209" t="str">
        <f>HYPERLINK("https://sites.wustl.edu/meteoritesite/items/lm_nwa_15069/",Q504)</f>
        <v>Northwest Africa 15069</v>
      </c>
      <c r="D504" s="210"/>
      <c r="E504" s="210"/>
      <c r="F504" s="211"/>
      <c r="G504" s="89">
        <v>2022</v>
      </c>
      <c r="H504" s="214" t="s">
        <v>396</v>
      </c>
      <c r="I504" s="215"/>
      <c r="J504" s="33">
        <v>458</v>
      </c>
      <c r="K504" s="212" t="s">
        <v>39</v>
      </c>
      <c r="L504" s="213"/>
      <c r="M504" s="32" t="s">
        <v>40</v>
      </c>
      <c r="N504" s="32" t="s">
        <v>40</v>
      </c>
      <c r="P504" s="125">
        <f t="shared" si="164"/>
        <v>458</v>
      </c>
      <c r="Q504" s="54" t="s">
        <v>595</v>
      </c>
      <c r="R504" s="48"/>
      <c r="S504" s="49"/>
      <c r="T504" s="50">
        <f t="shared" si="159"/>
        <v>0</v>
      </c>
      <c r="V504" s="51">
        <v>458</v>
      </c>
      <c r="W504" s="51"/>
      <c r="X504" s="51"/>
      <c r="Y504" s="51"/>
      <c r="Z504" s="51"/>
      <c r="AA504" s="51"/>
      <c r="AB504" s="51"/>
      <c r="AC504" s="51"/>
      <c r="AD504" s="51"/>
      <c r="AE504" s="51"/>
      <c r="AF504" s="51"/>
      <c r="AG504" s="51"/>
      <c r="AH504" s="51"/>
      <c r="AI504" s="51"/>
      <c r="AJ504" s="51"/>
      <c r="AK504" s="51"/>
      <c r="AL504" s="51"/>
      <c r="AM504" s="51"/>
      <c r="AN504" s="51"/>
      <c r="AO504" s="51"/>
      <c r="AP504" s="51"/>
      <c r="AQ504" s="51"/>
      <c r="AR504" s="51"/>
      <c r="AS504" s="51"/>
      <c r="AT504" s="51"/>
      <c r="AU504" s="51"/>
      <c r="AV504" s="51"/>
      <c r="AW504" s="51"/>
      <c r="AX504" s="51"/>
      <c r="AY504" s="51"/>
      <c r="AZ504" s="51"/>
      <c r="BA504" s="51"/>
      <c r="BB504" s="51"/>
      <c r="BC504" s="51"/>
      <c r="BD504" s="51"/>
      <c r="BE504" s="51"/>
      <c r="BF504" s="51"/>
      <c r="BG504" s="51"/>
      <c r="BH504" s="51"/>
      <c r="BI504" s="51"/>
      <c r="BJ504" s="51"/>
      <c r="BK504" s="51"/>
      <c r="BL504" s="51"/>
      <c r="BM504" s="51"/>
      <c r="BN504" s="51"/>
      <c r="BO504" s="51"/>
      <c r="BP504" s="51"/>
      <c r="BQ504" s="51"/>
      <c r="BR504" s="9">
        <f t="shared" si="165"/>
        <v>1</v>
      </c>
      <c r="BT504" s="53" t="str">
        <f t="shared" si="166"/>
        <v>Northwest Africa 15069</v>
      </c>
      <c r="BU504" s="25"/>
    </row>
    <row r="505" spans="1:73" ht="12.75" customHeight="1" x14ac:dyDescent="0.25">
      <c r="B505" s="23"/>
      <c r="C505" s="209" t="str">
        <f>HYPERLINK("https://sites.wustl.edu/meteoritesite/items/lm_nwa_15099/",Q505)</f>
        <v>Northwest Africa 15099</v>
      </c>
      <c r="D505" s="210"/>
      <c r="E505" s="210"/>
      <c r="F505" s="211"/>
      <c r="G505" s="89">
        <v>2022</v>
      </c>
      <c r="H505" s="214" t="s">
        <v>396</v>
      </c>
      <c r="I505" s="215"/>
      <c r="J505" s="33">
        <v>425</v>
      </c>
      <c r="K505" s="212" t="s">
        <v>39</v>
      </c>
      <c r="L505" s="213"/>
      <c r="M505" s="32" t="s">
        <v>40</v>
      </c>
      <c r="N505" s="32" t="s">
        <v>40</v>
      </c>
      <c r="P505" s="125">
        <f t="shared" si="164"/>
        <v>425</v>
      </c>
      <c r="Q505" s="54" t="s">
        <v>600</v>
      </c>
      <c r="R505" s="48"/>
      <c r="S505" s="49"/>
      <c r="T505" s="50">
        <f t="shared" si="159"/>
        <v>0</v>
      </c>
      <c r="V505" s="51">
        <v>425</v>
      </c>
      <c r="W505" s="51"/>
      <c r="X505" s="51"/>
      <c r="Y505" s="51"/>
      <c r="Z505" s="51"/>
      <c r="AA505" s="51"/>
      <c r="AB505" s="51"/>
      <c r="AC505" s="51"/>
      <c r="AD505" s="51"/>
      <c r="AE505" s="51"/>
      <c r="AF505" s="51"/>
      <c r="AG505" s="51"/>
      <c r="AH505" s="51"/>
      <c r="AI505" s="51"/>
      <c r="AJ505" s="51"/>
      <c r="AK505" s="51"/>
      <c r="AL505" s="51"/>
      <c r="AM505" s="51"/>
      <c r="AN505" s="51"/>
      <c r="AO505" s="51"/>
      <c r="AP505" s="51"/>
      <c r="AQ505" s="51"/>
      <c r="AR505" s="51"/>
      <c r="AS505" s="51"/>
      <c r="AT505" s="51"/>
      <c r="AU505" s="51"/>
      <c r="AV505" s="51"/>
      <c r="AW505" s="51"/>
      <c r="AX505" s="51"/>
      <c r="AY505" s="51"/>
      <c r="AZ505" s="51"/>
      <c r="BA505" s="51"/>
      <c r="BB505" s="51"/>
      <c r="BC505" s="51"/>
      <c r="BD505" s="51"/>
      <c r="BE505" s="51"/>
      <c r="BF505" s="51"/>
      <c r="BG505" s="51"/>
      <c r="BH505" s="51"/>
      <c r="BI505" s="51"/>
      <c r="BJ505" s="51"/>
      <c r="BK505" s="51"/>
      <c r="BL505" s="51"/>
      <c r="BM505" s="51"/>
      <c r="BN505" s="51"/>
      <c r="BO505" s="51"/>
      <c r="BP505" s="51"/>
      <c r="BQ505" s="51"/>
      <c r="BR505" s="9">
        <f t="shared" si="165"/>
        <v>1</v>
      </c>
      <c r="BT505" s="53"/>
      <c r="BU505" s="25"/>
    </row>
    <row r="506" spans="1:73" ht="12.75" customHeight="1" x14ac:dyDescent="0.25">
      <c r="B506" s="23"/>
      <c r="C506" s="209" t="str">
        <f>HYPERLINK("https://sites.wustl.edu/meteoritesite/items/lm_nwa_15169/",Q506)</f>
        <v>Northwest Africa 15169</v>
      </c>
      <c r="D506" s="210"/>
      <c r="E506" s="210"/>
      <c r="F506" s="211"/>
      <c r="G506" s="89">
        <v>2021</v>
      </c>
      <c r="H506" s="214" t="s">
        <v>470</v>
      </c>
      <c r="I506" s="215"/>
      <c r="J506" s="33">
        <v>342</v>
      </c>
      <c r="K506" s="212" t="s">
        <v>35</v>
      </c>
      <c r="L506" s="213"/>
      <c r="M506" s="32" t="s">
        <v>40</v>
      </c>
      <c r="N506" s="32" t="s">
        <v>40</v>
      </c>
      <c r="P506" s="125">
        <f t="shared" ref="P506" si="174">SUM(V506:BQ506)</f>
        <v>342</v>
      </c>
      <c r="Q506" s="54" t="s">
        <v>646</v>
      </c>
      <c r="R506" s="48"/>
      <c r="S506" s="49"/>
      <c r="T506" s="50">
        <f t="shared" ref="T506" si="175">J506-P506</f>
        <v>0</v>
      </c>
      <c r="V506" s="51">
        <v>342</v>
      </c>
      <c r="W506" s="51"/>
      <c r="X506" s="51"/>
      <c r="Y506" s="51"/>
      <c r="Z506" s="51"/>
      <c r="AA506" s="51"/>
      <c r="AB506" s="51"/>
      <c r="AC506" s="51"/>
      <c r="AD506" s="51"/>
      <c r="AE506" s="51"/>
      <c r="AF506" s="51"/>
      <c r="AG506" s="51"/>
      <c r="AH506" s="51"/>
      <c r="AI506" s="51"/>
      <c r="AJ506" s="51"/>
      <c r="AK506" s="51"/>
      <c r="AL506" s="51"/>
      <c r="AM506" s="51"/>
      <c r="AN506" s="51"/>
      <c r="AO506" s="51"/>
      <c r="AP506" s="51"/>
      <c r="AQ506" s="51"/>
      <c r="AR506" s="51"/>
      <c r="AS506" s="51"/>
      <c r="AT506" s="51"/>
      <c r="AU506" s="51"/>
      <c r="AV506" s="51"/>
      <c r="AW506" s="51"/>
      <c r="AX506" s="51"/>
      <c r="AY506" s="51"/>
      <c r="AZ506" s="51"/>
      <c r="BA506" s="51"/>
      <c r="BB506" s="51"/>
      <c r="BC506" s="51"/>
      <c r="BD506" s="51"/>
      <c r="BE506" s="51"/>
      <c r="BF506" s="51"/>
      <c r="BG506" s="51"/>
      <c r="BH506" s="51"/>
      <c r="BI506" s="51"/>
      <c r="BJ506" s="51"/>
      <c r="BK506" s="51"/>
      <c r="BL506" s="51"/>
      <c r="BM506" s="51"/>
      <c r="BN506" s="51"/>
      <c r="BO506" s="51"/>
      <c r="BP506" s="51"/>
      <c r="BQ506" s="51"/>
      <c r="BR506" s="9">
        <f t="shared" ref="BR506" si="176">COUNT(V506:BQ506)</f>
        <v>1</v>
      </c>
      <c r="BT506" s="53"/>
      <c r="BU506" s="25"/>
    </row>
    <row r="507" spans="1:73" ht="12.75" customHeight="1" x14ac:dyDescent="0.25">
      <c r="B507" s="23"/>
      <c r="C507" s="209" t="str">
        <f>HYPERLINK("https://sites.wustl.edu/meteoritesite/items/lm_nwa_15172/",Q507)</f>
        <v>Northwest Africa 15172/ 15173</v>
      </c>
      <c r="D507" s="210"/>
      <c r="E507" s="210"/>
      <c r="F507" s="211"/>
      <c r="G507" s="89">
        <v>2021</v>
      </c>
      <c r="H507" s="214" t="s">
        <v>38</v>
      </c>
      <c r="I507" s="215"/>
      <c r="J507" s="33">
        <v>107</v>
      </c>
      <c r="K507" s="212" t="s">
        <v>66</v>
      </c>
      <c r="L507" s="213"/>
      <c r="M507" s="32" t="s">
        <v>40</v>
      </c>
      <c r="N507" s="32" t="s">
        <v>40</v>
      </c>
      <c r="P507" s="125">
        <f t="shared" si="164"/>
        <v>107</v>
      </c>
      <c r="Q507" s="54" t="s">
        <v>615</v>
      </c>
      <c r="R507" s="48"/>
      <c r="S507" s="49"/>
      <c r="T507" s="50">
        <f t="shared" si="159"/>
        <v>0</v>
      </c>
      <c r="V507" s="51">
        <v>38</v>
      </c>
      <c r="W507" s="51">
        <v>69</v>
      </c>
      <c r="X507" s="51"/>
      <c r="Y507" s="51"/>
      <c r="Z507" s="51"/>
      <c r="AA507" s="51"/>
      <c r="AB507" s="51"/>
      <c r="AC507" s="51"/>
      <c r="AD507" s="51"/>
      <c r="AE507" s="51"/>
      <c r="AF507" s="51"/>
      <c r="AG507" s="51"/>
      <c r="AH507" s="51"/>
      <c r="AI507" s="51"/>
      <c r="AJ507" s="51"/>
      <c r="AK507" s="51"/>
      <c r="AL507" s="51"/>
      <c r="AM507" s="51"/>
      <c r="AN507" s="51"/>
      <c r="AO507" s="51"/>
      <c r="AP507" s="51"/>
      <c r="AQ507" s="51"/>
      <c r="AR507" s="51"/>
      <c r="AS507" s="51"/>
      <c r="AT507" s="51"/>
      <c r="AU507" s="51"/>
      <c r="AV507" s="51"/>
      <c r="AW507" s="51"/>
      <c r="AX507" s="51"/>
      <c r="AY507" s="51"/>
      <c r="AZ507" s="51"/>
      <c r="BA507" s="51"/>
      <c r="BB507" s="51"/>
      <c r="BC507" s="51"/>
      <c r="BD507" s="51"/>
      <c r="BE507" s="51"/>
      <c r="BF507" s="51"/>
      <c r="BG507" s="51"/>
      <c r="BH507" s="51"/>
      <c r="BI507" s="51"/>
      <c r="BJ507" s="51"/>
      <c r="BK507" s="51"/>
      <c r="BL507" s="51"/>
      <c r="BM507" s="51"/>
      <c r="BN507" s="51"/>
      <c r="BO507" s="51"/>
      <c r="BP507" s="51"/>
      <c r="BQ507" s="51"/>
      <c r="BR507" s="9">
        <f t="shared" si="165"/>
        <v>2</v>
      </c>
      <c r="BT507" s="53"/>
      <c r="BU507" s="25"/>
    </row>
    <row r="508" spans="1:73" ht="12.75" customHeight="1" x14ac:dyDescent="0.25">
      <c r="B508" s="23"/>
      <c r="C508" s="209" t="str">
        <f>HYPERLINK("https://sites.wustl.edu/meteoritesite/items/lm_nwa_15192/",Q508)</f>
        <v>Northwest Africa 15192</v>
      </c>
      <c r="D508" s="210"/>
      <c r="E508" s="210"/>
      <c r="F508" s="211"/>
      <c r="G508" s="89">
        <v>2021</v>
      </c>
      <c r="H508" s="236" t="s">
        <v>41</v>
      </c>
      <c r="I508" s="237"/>
      <c r="J508" s="33">
        <v>9800</v>
      </c>
      <c r="K508" s="212" t="s">
        <v>379</v>
      </c>
      <c r="L508" s="213"/>
      <c r="M508" s="32" t="s">
        <v>40</v>
      </c>
      <c r="N508" s="32" t="s">
        <v>40</v>
      </c>
      <c r="P508" s="125">
        <f t="shared" ref="P508" si="177">SUM(V508:BQ508)</f>
        <v>9800</v>
      </c>
      <c r="Q508" s="54" t="s">
        <v>670</v>
      </c>
      <c r="R508" s="48"/>
      <c r="S508" s="49"/>
      <c r="T508" s="50">
        <f t="shared" ref="T508" si="178">J508-P508</f>
        <v>0</v>
      </c>
      <c r="V508" s="51">
        <v>9800</v>
      </c>
      <c r="W508" s="51"/>
      <c r="X508" s="51"/>
      <c r="Y508" s="51"/>
      <c r="Z508" s="51"/>
      <c r="AA508" s="51"/>
      <c r="AB508" s="51"/>
      <c r="AC508" s="51"/>
      <c r="AD508" s="51"/>
      <c r="AE508" s="51"/>
      <c r="AF508" s="51"/>
      <c r="AG508" s="51"/>
      <c r="AH508" s="51"/>
      <c r="AI508" s="51"/>
      <c r="AJ508" s="51"/>
      <c r="AK508" s="51"/>
      <c r="AL508" s="51"/>
      <c r="AM508" s="51"/>
      <c r="AN508" s="51"/>
      <c r="AO508" s="51"/>
      <c r="AP508" s="51"/>
      <c r="AQ508" s="51"/>
      <c r="AR508" s="51"/>
      <c r="AS508" s="51"/>
      <c r="AT508" s="51"/>
      <c r="AU508" s="51"/>
      <c r="AV508" s="51"/>
      <c r="AW508" s="51"/>
      <c r="AX508" s="51"/>
      <c r="AY508" s="51"/>
      <c r="AZ508" s="51"/>
      <c r="BA508" s="51"/>
      <c r="BB508" s="51"/>
      <c r="BC508" s="51"/>
      <c r="BD508" s="51"/>
      <c r="BE508" s="51"/>
      <c r="BF508" s="51"/>
      <c r="BG508" s="51"/>
      <c r="BH508" s="51"/>
      <c r="BI508" s="51"/>
      <c r="BJ508" s="51"/>
      <c r="BK508" s="51"/>
      <c r="BL508" s="51"/>
      <c r="BM508" s="51"/>
      <c r="BN508" s="51"/>
      <c r="BO508" s="51"/>
      <c r="BP508" s="51"/>
      <c r="BQ508" s="51"/>
      <c r="BR508" s="9">
        <f t="shared" si="165"/>
        <v>1</v>
      </c>
      <c r="BT508" s="53"/>
      <c r="BU508" s="25"/>
    </row>
    <row r="509" spans="1:73" ht="12.75" customHeight="1" x14ac:dyDescent="0.25">
      <c r="B509" s="23"/>
      <c r="C509" s="209" t="str">
        <f>HYPERLINK("https://sites.wustl.edu/meteoritesite/items/lm_nwa_15286/",Q509)</f>
        <v>Northwest Africa 15286</v>
      </c>
      <c r="D509" s="210"/>
      <c r="E509" s="210"/>
      <c r="F509" s="211"/>
      <c r="G509" s="89">
        <v>2021</v>
      </c>
      <c r="H509" s="214" t="s">
        <v>616</v>
      </c>
      <c r="I509" s="215"/>
      <c r="J509" s="33">
        <v>68</v>
      </c>
      <c r="K509" s="212" t="s">
        <v>66</v>
      </c>
      <c r="L509" s="213"/>
      <c r="M509" s="32" t="s">
        <v>40</v>
      </c>
      <c r="N509" s="32" t="s">
        <v>40</v>
      </c>
      <c r="P509" s="125">
        <f t="shared" si="164"/>
        <v>68</v>
      </c>
      <c r="Q509" s="54" t="s">
        <v>613</v>
      </c>
      <c r="R509" s="48"/>
      <c r="S509" s="49"/>
      <c r="T509" s="50">
        <f t="shared" si="159"/>
        <v>0</v>
      </c>
      <c r="V509" s="51">
        <v>68</v>
      </c>
      <c r="W509" s="51"/>
      <c r="X509" s="51"/>
      <c r="Y509" s="51"/>
      <c r="Z509" s="51"/>
      <c r="AA509" s="51"/>
      <c r="AB509" s="51"/>
      <c r="AC509" s="51"/>
      <c r="AD509" s="51"/>
      <c r="AE509" s="51"/>
      <c r="AF509" s="51"/>
      <c r="AG509" s="51"/>
      <c r="AH509" s="51"/>
      <c r="AI509" s="51"/>
      <c r="AJ509" s="51"/>
      <c r="AK509" s="51"/>
      <c r="AL509" s="51"/>
      <c r="AM509" s="51"/>
      <c r="AN509" s="51"/>
      <c r="AO509" s="51"/>
      <c r="AP509" s="51"/>
      <c r="AQ509" s="51"/>
      <c r="AR509" s="51"/>
      <c r="AS509" s="51"/>
      <c r="AT509" s="51"/>
      <c r="AU509" s="51"/>
      <c r="AV509" s="51"/>
      <c r="AW509" s="51"/>
      <c r="AX509" s="51"/>
      <c r="AY509" s="51"/>
      <c r="AZ509" s="51"/>
      <c r="BA509" s="51"/>
      <c r="BB509" s="51"/>
      <c r="BC509" s="51"/>
      <c r="BD509" s="51"/>
      <c r="BE509" s="51"/>
      <c r="BF509" s="51"/>
      <c r="BG509" s="51"/>
      <c r="BH509" s="51"/>
      <c r="BI509" s="51"/>
      <c r="BJ509" s="51"/>
      <c r="BK509" s="51"/>
      <c r="BL509" s="51"/>
      <c r="BM509" s="51"/>
      <c r="BN509" s="51"/>
      <c r="BO509" s="51"/>
      <c r="BP509" s="51"/>
      <c r="BQ509" s="51"/>
      <c r="BR509" s="9">
        <f t="shared" si="165"/>
        <v>1</v>
      </c>
      <c r="BT509" s="53"/>
      <c r="BU509" s="25"/>
    </row>
    <row r="510" spans="1:73" ht="12.75" customHeight="1" x14ac:dyDescent="0.25">
      <c r="B510" s="23"/>
      <c r="C510" s="209" t="str">
        <f>HYPERLINK("https://sites.wustl.edu/meteoritesite/items/lm_nwa_15288/",Q510)</f>
        <v>Northwest Africa 15288</v>
      </c>
      <c r="D510" s="210"/>
      <c r="E510" s="210"/>
      <c r="F510" s="211"/>
      <c r="G510" s="89">
        <v>2021</v>
      </c>
      <c r="H510" s="214" t="s">
        <v>38</v>
      </c>
      <c r="I510" s="215"/>
      <c r="J510" s="33">
        <v>5800</v>
      </c>
      <c r="K510" s="212" t="s">
        <v>39</v>
      </c>
      <c r="L510" s="213"/>
      <c r="M510" s="32" t="s">
        <v>40</v>
      </c>
      <c r="N510" s="32" t="s">
        <v>40</v>
      </c>
      <c r="P510" s="125">
        <f t="shared" si="164"/>
        <v>5800</v>
      </c>
      <c r="Q510" s="54" t="s">
        <v>614</v>
      </c>
      <c r="R510" s="48"/>
      <c r="S510" s="49"/>
      <c r="T510" s="50">
        <f t="shared" si="159"/>
        <v>0</v>
      </c>
      <c r="V510" s="51">
        <v>5800</v>
      </c>
      <c r="W510" s="51"/>
      <c r="X510" s="51"/>
      <c r="Y510" s="51"/>
      <c r="Z510" s="51"/>
      <c r="AA510" s="51"/>
      <c r="AB510" s="51"/>
      <c r="AC510" s="51"/>
      <c r="AD510" s="51"/>
      <c r="AE510" s="51"/>
      <c r="AF510" s="51"/>
      <c r="AG510" s="51"/>
      <c r="AH510" s="51"/>
      <c r="AI510" s="51"/>
      <c r="AJ510" s="51"/>
      <c r="AK510" s="51"/>
      <c r="AL510" s="51"/>
      <c r="AM510" s="51"/>
      <c r="AN510" s="51"/>
      <c r="AO510" s="51"/>
      <c r="AP510" s="51"/>
      <c r="AQ510" s="51"/>
      <c r="AR510" s="51"/>
      <c r="AS510" s="51"/>
      <c r="AT510" s="51"/>
      <c r="AU510" s="51"/>
      <c r="AV510" s="51"/>
      <c r="AW510" s="51"/>
      <c r="AX510" s="51"/>
      <c r="AY510" s="51"/>
      <c r="AZ510" s="51"/>
      <c r="BA510" s="51"/>
      <c r="BB510" s="51"/>
      <c r="BC510" s="51"/>
      <c r="BD510" s="51"/>
      <c r="BE510" s="51"/>
      <c r="BF510" s="51"/>
      <c r="BG510" s="51"/>
      <c r="BH510" s="51"/>
      <c r="BI510" s="51"/>
      <c r="BJ510" s="51"/>
      <c r="BK510" s="51"/>
      <c r="BL510" s="51"/>
      <c r="BM510" s="51"/>
      <c r="BN510" s="51"/>
      <c r="BO510" s="51"/>
      <c r="BP510" s="51"/>
      <c r="BQ510" s="51"/>
      <c r="BR510" s="9">
        <f t="shared" si="165"/>
        <v>1</v>
      </c>
      <c r="BT510" s="53"/>
      <c r="BU510" s="25"/>
    </row>
    <row r="511" spans="1:73" ht="12.75" customHeight="1" x14ac:dyDescent="0.25">
      <c r="B511" s="23"/>
      <c r="C511" s="209" t="str">
        <f>HYPERLINK("https://sites.wustl.edu/meteoritesite/items/lm_nwa_15300/",Q511)</f>
        <v>Northwest Africa 15300</v>
      </c>
      <c r="D511" s="210"/>
      <c r="E511" s="210"/>
      <c r="F511" s="211"/>
      <c r="G511" s="89">
        <v>2016</v>
      </c>
      <c r="H511" s="214" t="s">
        <v>616</v>
      </c>
      <c r="I511" s="215"/>
      <c r="J511" s="33">
        <v>113</v>
      </c>
      <c r="K511" s="212" t="s">
        <v>39</v>
      </c>
      <c r="L511" s="213"/>
      <c r="M511" s="32" t="s">
        <v>289</v>
      </c>
      <c r="N511" s="32" t="s">
        <v>40</v>
      </c>
      <c r="P511" s="125">
        <f t="shared" si="164"/>
        <v>113</v>
      </c>
      <c r="Q511" s="54" t="s">
        <v>617</v>
      </c>
      <c r="R511" s="48"/>
      <c r="S511" s="49"/>
      <c r="T511" s="50">
        <f t="shared" ref="T511:T648" si="179">J511-P511</f>
        <v>0</v>
      </c>
      <c r="V511" s="51">
        <v>113</v>
      </c>
      <c r="W511" s="51"/>
      <c r="X511" s="51"/>
      <c r="Y511" s="51"/>
      <c r="Z511" s="51"/>
      <c r="AA511" s="51"/>
      <c r="AB511" s="51"/>
      <c r="AC511" s="51"/>
      <c r="AD511" s="51"/>
      <c r="AE511" s="51"/>
      <c r="AF511" s="51"/>
      <c r="AG511" s="51"/>
      <c r="AH511" s="51"/>
      <c r="AI511" s="51"/>
      <c r="AJ511" s="51"/>
      <c r="AK511" s="51"/>
      <c r="AL511" s="51"/>
      <c r="AM511" s="51"/>
      <c r="AN511" s="51"/>
      <c r="AO511" s="51"/>
      <c r="AP511" s="51"/>
      <c r="AQ511" s="51"/>
      <c r="AR511" s="51"/>
      <c r="AS511" s="51"/>
      <c r="AT511" s="51"/>
      <c r="AU511" s="51"/>
      <c r="AV511" s="51"/>
      <c r="AW511" s="51"/>
      <c r="AX511" s="51"/>
      <c r="AY511" s="51"/>
      <c r="AZ511" s="51"/>
      <c r="BA511" s="51"/>
      <c r="BB511" s="51"/>
      <c r="BC511" s="51"/>
      <c r="BD511" s="51"/>
      <c r="BE511" s="51"/>
      <c r="BF511" s="51"/>
      <c r="BG511" s="51"/>
      <c r="BH511" s="51"/>
      <c r="BI511" s="51"/>
      <c r="BJ511" s="51"/>
      <c r="BK511" s="51"/>
      <c r="BL511" s="51"/>
      <c r="BM511" s="51"/>
      <c r="BN511" s="51"/>
      <c r="BO511" s="51"/>
      <c r="BP511" s="51"/>
      <c r="BQ511" s="51"/>
      <c r="BR511" s="9">
        <f t="shared" ref="BR511:BR513" si="180">COUNT(V511:BQ511)</f>
        <v>1</v>
      </c>
      <c r="BT511" s="53"/>
      <c r="BU511" s="25"/>
    </row>
    <row r="512" spans="1:73" ht="12.75" customHeight="1" x14ac:dyDescent="0.25">
      <c r="B512" s="23"/>
      <c r="C512" s="209" t="str">
        <f>HYPERLINK("https://sites.wustl.edu/meteoritesite/items/lm_nwa_15312/",Q512)</f>
        <v>Northwest Africa 15312</v>
      </c>
      <c r="D512" s="210"/>
      <c r="E512" s="210"/>
      <c r="F512" s="211"/>
      <c r="G512" s="89">
        <v>2021</v>
      </c>
      <c r="H512" s="214" t="s">
        <v>616</v>
      </c>
      <c r="I512" s="215"/>
      <c r="J512" s="33">
        <v>1021</v>
      </c>
      <c r="K512" s="212" t="s">
        <v>51</v>
      </c>
      <c r="L512" s="213"/>
      <c r="M512" s="32" t="s">
        <v>40</v>
      </c>
      <c r="N512" s="32" t="s">
        <v>40</v>
      </c>
      <c r="P512" s="125">
        <f t="shared" si="164"/>
        <v>1021</v>
      </c>
      <c r="Q512" s="54" t="s">
        <v>626</v>
      </c>
      <c r="R512" s="48"/>
      <c r="S512" s="49"/>
      <c r="T512" s="50">
        <f t="shared" si="179"/>
        <v>0</v>
      </c>
      <c r="V512" s="51">
        <v>1021</v>
      </c>
      <c r="W512" s="51"/>
      <c r="X512" s="51"/>
      <c r="Y512" s="51"/>
      <c r="Z512" s="51"/>
      <c r="AA512" s="51"/>
      <c r="AB512" s="51"/>
      <c r="AC512" s="51"/>
      <c r="AD512" s="51"/>
      <c r="AE512" s="51"/>
      <c r="AF512" s="51"/>
      <c r="AG512" s="51"/>
      <c r="AH512" s="51"/>
      <c r="AI512" s="51"/>
      <c r="AJ512" s="51"/>
      <c r="AK512" s="51"/>
      <c r="AL512" s="51"/>
      <c r="AM512" s="51"/>
      <c r="AN512" s="51"/>
      <c r="AO512" s="51"/>
      <c r="AP512" s="51"/>
      <c r="AQ512" s="51"/>
      <c r="AR512" s="51"/>
      <c r="AS512" s="51"/>
      <c r="AT512" s="51"/>
      <c r="AU512" s="51"/>
      <c r="AV512" s="51"/>
      <c r="AW512" s="51"/>
      <c r="AX512" s="51"/>
      <c r="AY512" s="51"/>
      <c r="AZ512" s="51"/>
      <c r="BA512" s="51"/>
      <c r="BB512" s="51"/>
      <c r="BC512" s="51"/>
      <c r="BD512" s="51"/>
      <c r="BE512" s="51"/>
      <c r="BF512" s="51"/>
      <c r="BG512" s="51"/>
      <c r="BH512" s="51"/>
      <c r="BI512" s="51"/>
      <c r="BJ512" s="51"/>
      <c r="BK512" s="51"/>
      <c r="BL512" s="51"/>
      <c r="BM512" s="51"/>
      <c r="BN512" s="51"/>
      <c r="BO512" s="51"/>
      <c r="BP512" s="51"/>
      <c r="BQ512" s="51"/>
      <c r="BR512" s="9">
        <f t="shared" si="180"/>
        <v>1</v>
      </c>
      <c r="BT512" s="53"/>
      <c r="BU512" s="25"/>
    </row>
    <row r="513" spans="2:73" ht="12.75" customHeight="1" x14ac:dyDescent="0.25">
      <c r="B513" s="23"/>
      <c r="C513" s="209" t="str">
        <f>HYPERLINK("https://sites.wustl.edu/meteoritesite/items/lm_nwa_15343/",Q513)</f>
        <v>Northwest Africa 15343</v>
      </c>
      <c r="D513" s="210"/>
      <c r="E513" s="210"/>
      <c r="F513" s="211"/>
      <c r="G513" s="89">
        <v>2021</v>
      </c>
      <c r="H513" s="214" t="s">
        <v>616</v>
      </c>
      <c r="I513" s="215"/>
      <c r="J513" s="33">
        <v>4016</v>
      </c>
      <c r="K513" s="212" t="s">
        <v>66</v>
      </c>
      <c r="L513" s="213"/>
      <c r="M513" s="32" t="s">
        <v>40</v>
      </c>
      <c r="N513" s="32" t="s">
        <v>40</v>
      </c>
      <c r="P513" s="125">
        <f t="shared" si="164"/>
        <v>4016</v>
      </c>
      <c r="Q513" s="54" t="s">
        <v>631</v>
      </c>
      <c r="R513" s="48"/>
      <c r="S513" s="49"/>
      <c r="T513" s="50">
        <f t="shared" si="179"/>
        <v>0</v>
      </c>
      <c r="V513" s="51">
        <v>4016</v>
      </c>
      <c r="W513" s="51"/>
      <c r="X513" s="51"/>
      <c r="Y513" s="51"/>
      <c r="Z513" s="51"/>
      <c r="AA513" s="51"/>
      <c r="AB513" s="51"/>
      <c r="AC513" s="51"/>
      <c r="AD513" s="51"/>
      <c r="AE513" s="51"/>
      <c r="AF513" s="51"/>
      <c r="AG513" s="51"/>
      <c r="AH513" s="51"/>
      <c r="AI513" s="51"/>
      <c r="AJ513" s="51"/>
      <c r="AK513" s="51"/>
      <c r="AL513" s="51"/>
      <c r="AM513" s="51"/>
      <c r="AN513" s="51"/>
      <c r="AO513" s="51"/>
      <c r="AP513" s="51"/>
      <c r="AQ513" s="51"/>
      <c r="AR513" s="51"/>
      <c r="AS513" s="51"/>
      <c r="AT513" s="51"/>
      <c r="AU513" s="51"/>
      <c r="AV513" s="51"/>
      <c r="AW513" s="51"/>
      <c r="AX513" s="51"/>
      <c r="AY513" s="51"/>
      <c r="AZ513" s="51"/>
      <c r="BA513" s="51"/>
      <c r="BB513" s="51"/>
      <c r="BC513" s="51"/>
      <c r="BD513" s="51"/>
      <c r="BE513" s="51"/>
      <c r="BF513" s="51"/>
      <c r="BG513" s="51"/>
      <c r="BH513" s="51"/>
      <c r="BI513" s="51"/>
      <c r="BJ513" s="51"/>
      <c r="BK513" s="51"/>
      <c r="BL513" s="51"/>
      <c r="BM513" s="51"/>
      <c r="BN513" s="51"/>
      <c r="BO513" s="51"/>
      <c r="BP513" s="51"/>
      <c r="BQ513" s="51"/>
      <c r="BR513" s="9">
        <f t="shared" si="180"/>
        <v>1</v>
      </c>
      <c r="BT513" s="53"/>
      <c r="BU513" s="25"/>
    </row>
    <row r="514" spans="2:73" ht="12.75" customHeight="1" x14ac:dyDescent="0.25">
      <c r="B514" s="23"/>
      <c r="C514" s="209" t="str">
        <f>HYPERLINK("https://sites.wustl.edu/meteoritesite/items/lm_nwa_15348/",Q514)</f>
        <v>Northwest Africa 15348</v>
      </c>
      <c r="D514" s="210"/>
      <c r="E514" s="210"/>
      <c r="F514" s="211"/>
      <c r="G514" s="89">
        <v>2021</v>
      </c>
      <c r="H514" s="214" t="s">
        <v>38</v>
      </c>
      <c r="I514" s="215"/>
      <c r="J514" s="33">
        <v>905</v>
      </c>
      <c r="K514" s="212" t="s">
        <v>39</v>
      </c>
      <c r="L514" s="213"/>
      <c r="M514" s="32" t="s">
        <v>40</v>
      </c>
      <c r="N514" s="32" t="s">
        <v>40</v>
      </c>
      <c r="P514" s="125">
        <f t="shared" si="164"/>
        <v>905</v>
      </c>
      <c r="Q514" s="54" t="s">
        <v>618</v>
      </c>
      <c r="R514" s="48"/>
      <c r="S514" s="49"/>
      <c r="T514" s="50">
        <f t="shared" si="179"/>
        <v>0</v>
      </c>
      <c r="V514" s="51">
        <v>905</v>
      </c>
      <c r="W514" s="51"/>
      <c r="X514" s="51"/>
      <c r="Y514" s="51"/>
      <c r="Z514" s="51"/>
      <c r="AA514" s="51"/>
      <c r="AB514" s="51"/>
      <c r="AC514" s="51"/>
      <c r="AD514" s="51"/>
      <c r="AE514" s="51"/>
      <c r="AF514" s="51"/>
      <c r="AG514" s="51"/>
      <c r="AH514" s="51"/>
      <c r="AI514" s="51"/>
      <c r="AJ514" s="51"/>
      <c r="AK514" s="51"/>
      <c r="AL514" s="51"/>
      <c r="AM514" s="51"/>
      <c r="AN514" s="51"/>
      <c r="AO514" s="51"/>
      <c r="AP514" s="51"/>
      <c r="AQ514" s="51"/>
      <c r="AR514" s="51"/>
      <c r="AS514" s="51"/>
      <c r="AT514" s="51"/>
      <c r="AU514" s="51"/>
      <c r="AV514" s="51"/>
      <c r="AW514" s="51"/>
      <c r="AX514" s="51"/>
      <c r="AY514" s="51"/>
      <c r="AZ514" s="51"/>
      <c r="BA514" s="51"/>
      <c r="BB514" s="51"/>
      <c r="BC514" s="51"/>
      <c r="BD514" s="51"/>
      <c r="BE514" s="51"/>
      <c r="BF514" s="51"/>
      <c r="BG514" s="51"/>
      <c r="BH514" s="51"/>
      <c r="BI514" s="51"/>
      <c r="BJ514" s="51"/>
      <c r="BK514" s="51"/>
      <c r="BL514" s="51"/>
      <c r="BM514" s="51"/>
      <c r="BN514" s="51"/>
      <c r="BO514" s="51"/>
      <c r="BP514" s="51"/>
      <c r="BQ514" s="51"/>
      <c r="BR514" s="9">
        <f t="shared" ref="BR514:BR525" si="181">COUNT(V514:BQ514)</f>
        <v>1</v>
      </c>
      <c r="BT514" s="53"/>
      <c r="BU514" s="25"/>
    </row>
    <row r="515" spans="2:73" ht="12.75" customHeight="1" x14ac:dyDescent="0.25">
      <c r="B515" s="23"/>
      <c r="C515" s="209" t="str">
        <f>HYPERLINK("https://sites.wustl.edu/meteoritesite/items/lm_nwa_15349/",Q515)</f>
        <v>Northwest Africa 15349</v>
      </c>
      <c r="D515" s="210"/>
      <c r="E515" s="210"/>
      <c r="F515" s="211"/>
      <c r="G515" s="89">
        <v>2022</v>
      </c>
      <c r="H515" s="214" t="s">
        <v>38</v>
      </c>
      <c r="I515" s="215"/>
      <c r="J515" s="33">
        <v>365</v>
      </c>
      <c r="K515" s="212" t="s">
        <v>39</v>
      </c>
      <c r="L515" s="213"/>
      <c r="M515" s="32" t="s">
        <v>40</v>
      </c>
      <c r="N515" s="32" t="s">
        <v>40</v>
      </c>
      <c r="P515" s="125">
        <f t="shared" si="164"/>
        <v>365</v>
      </c>
      <c r="Q515" s="54" t="s">
        <v>619</v>
      </c>
      <c r="R515" s="48"/>
      <c r="S515" s="49"/>
      <c r="T515" s="50">
        <f t="shared" si="179"/>
        <v>0</v>
      </c>
      <c r="V515" s="51">
        <v>365</v>
      </c>
      <c r="W515" s="51"/>
      <c r="X515" s="51"/>
      <c r="Y515" s="51"/>
      <c r="Z515" s="51"/>
      <c r="AA515" s="51"/>
      <c r="AB515" s="51"/>
      <c r="AC515" s="51"/>
      <c r="AD515" s="51"/>
      <c r="AE515" s="51"/>
      <c r="AF515" s="51"/>
      <c r="AG515" s="51"/>
      <c r="AH515" s="51"/>
      <c r="AI515" s="51"/>
      <c r="AJ515" s="51"/>
      <c r="AK515" s="51"/>
      <c r="AL515" s="51"/>
      <c r="AM515" s="51"/>
      <c r="AN515" s="51"/>
      <c r="AO515" s="51"/>
      <c r="AP515" s="51"/>
      <c r="AQ515" s="51"/>
      <c r="AR515" s="51"/>
      <c r="AS515" s="51"/>
      <c r="AT515" s="51"/>
      <c r="AU515" s="51"/>
      <c r="AV515" s="51"/>
      <c r="AW515" s="51"/>
      <c r="AX515" s="51"/>
      <c r="AY515" s="51"/>
      <c r="AZ515" s="51"/>
      <c r="BA515" s="51"/>
      <c r="BB515" s="51"/>
      <c r="BC515" s="51"/>
      <c r="BD515" s="51"/>
      <c r="BE515" s="51"/>
      <c r="BF515" s="51"/>
      <c r="BG515" s="51"/>
      <c r="BH515" s="51"/>
      <c r="BI515" s="51"/>
      <c r="BJ515" s="51"/>
      <c r="BK515" s="51"/>
      <c r="BL515" s="51"/>
      <c r="BM515" s="51"/>
      <c r="BN515" s="51"/>
      <c r="BO515" s="51"/>
      <c r="BP515" s="51"/>
      <c r="BQ515" s="51"/>
      <c r="BR515" s="9">
        <f t="shared" ref="BR515:BR516" si="182">COUNT(V515:BQ515)</f>
        <v>1</v>
      </c>
      <c r="BT515" s="53"/>
      <c r="BU515" s="25"/>
    </row>
    <row r="516" spans="2:73" ht="12.75" customHeight="1" x14ac:dyDescent="0.25">
      <c r="B516" s="23"/>
      <c r="C516" s="209" t="str">
        <f>HYPERLINK("https://sites.wustl.edu/meteoritesite/items/lm_nwa_15367/",Q516)</f>
        <v>Northwest Africa 15367</v>
      </c>
      <c r="D516" s="210"/>
      <c r="E516" s="210"/>
      <c r="F516" s="211"/>
      <c r="G516" s="89">
        <v>2021</v>
      </c>
      <c r="H516" s="214" t="s">
        <v>616</v>
      </c>
      <c r="I516" s="215"/>
      <c r="J516" s="33">
        <v>2238</v>
      </c>
      <c r="K516" s="212" t="s">
        <v>51</v>
      </c>
      <c r="L516" s="213"/>
      <c r="M516" s="32" t="s">
        <v>40</v>
      </c>
      <c r="N516" s="32" t="s">
        <v>40</v>
      </c>
      <c r="P516" s="125">
        <f t="shared" si="164"/>
        <v>2238</v>
      </c>
      <c r="Q516" s="54" t="s">
        <v>632</v>
      </c>
      <c r="R516" s="48"/>
      <c r="S516" s="49"/>
      <c r="T516" s="50">
        <f t="shared" si="179"/>
        <v>0</v>
      </c>
      <c r="V516" s="51">
        <v>2238</v>
      </c>
      <c r="W516" s="51"/>
      <c r="X516" s="51"/>
      <c r="Y516" s="51"/>
      <c r="Z516" s="51"/>
      <c r="AA516" s="51"/>
      <c r="AB516" s="51"/>
      <c r="AC516" s="51"/>
      <c r="AD516" s="51"/>
      <c r="AE516" s="51"/>
      <c r="AF516" s="51"/>
      <c r="AG516" s="51"/>
      <c r="AH516" s="51"/>
      <c r="AI516" s="51"/>
      <c r="AJ516" s="51"/>
      <c r="AK516" s="51"/>
      <c r="AL516" s="51"/>
      <c r="AM516" s="51"/>
      <c r="AN516" s="51"/>
      <c r="AO516" s="51"/>
      <c r="AP516" s="51"/>
      <c r="AQ516" s="51"/>
      <c r="AR516" s="51"/>
      <c r="AS516" s="51"/>
      <c r="AT516" s="51"/>
      <c r="AU516" s="51"/>
      <c r="AV516" s="51"/>
      <c r="AW516" s="51"/>
      <c r="AX516" s="51"/>
      <c r="AY516" s="51"/>
      <c r="AZ516" s="51"/>
      <c r="BA516" s="51"/>
      <c r="BB516" s="51"/>
      <c r="BC516" s="51"/>
      <c r="BD516" s="51"/>
      <c r="BE516" s="51"/>
      <c r="BF516" s="51"/>
      <c r="BG516" s="51"/>
      <c r="BH516" s="51"/>
      <c r="BI516" s="51"/>
      <c r="BJ516" s="51"/>
      <c r="BK516" s="51"/>
      <c r="BL516" s="51"/>
      <c r="BM516" s="51"/>
      <c r="BN516" s="51"/>
      <c r="BO516" s="51"/>
      <c r="BP516" s="51"/>
      <c r="BQ516" s="51"/>
      <c r="BR516" s="9">
        <f t="shared" si="182"/>
        <v>1</v>
      </c>
      <c r="BT516" s="53"/>
      <c r="BU516" s="25"/>
    </row>
    <row r="517" spans="2:73" ht="12.75" customHeight="1" x14ac:dyDescent="0.25">
      <c r="B517" s="23"/>
      <c r="C517" s="209" t="str">
        <f>HYPERLINK("https://sites.wustl.edu/meteoritesite/items/lm_nwa_15368/",Q517)</f>
        <v>Northwest Africa 15368</v>
      </c>
      <c r="D517" s="210"/>
      <c r="E517" s="210"/>
      <c r="F517" s="211"/>
      <c r="G517" s="89">
        <v>2021</v>
      </c>
      <c r="H517" s="214" t="s">
        <v>38</v>
      </c>
      <c r="I517" s="215"/>
      <c r="J517" s="31">
        <v>17840</v>
      </c>
      <c r="K517" s="212" t="s">
        <v>39</v>
      </c>
      <c r="L517" s="213"/>
      <c r="M517" s="32" t="s">
        <v>40</v>
      </c>
      <c r="N517" s="32" t="s">
        <v>40</v>
      </c>
      <c r="P517" s="125">
        <f t="shared" si="164"/>
        <v>17840</v>
      </c>
      <c r="Q517" s="54" t="s">
        <v>627</v>
      </c>
      <c r="R517" s="48"/>
      <c r="S517" s="49"/>
      <c r="T517" s="50">
        <f t="shared" si="179"/>
        <v>0</v>
      </c>
      <c r="V517" s="51">
        <v>17840</v>
      </c>
      <c r="W517" s="51"/>
      <c r="X517" s="51"/>
      <c r="Y517" s="51"/>
      <c r="Z517" s="51"/>
      <c r="AA517" s="51"/>
      <c r="AB517" s="51"/>
      <c r="AC517" s="51"/>
      <c r="AD517" s="51"/>
      <c r="AE517" s="51"/>
      <c r="AF517" s="51"/>
      <c r="AG517" s="51"/>
      <c r="AH517" s="51"/>
      <c r="AI517" s="51"/>
      <c r="AJ517" s="51"/>
      <c r="AK517" s="51"/>
      <c r="AL517" s="51"/>
      <c r="AM517" s="51"/>
      <c r="AN517" s="51"/>
      <c r="AO517" s="51"/>
      <c r="AP517" s="51"/>
      <c r="AQ517" s="51"/>
      <c r="AR517" s="51"/>
      <c r="AS517" s="51"/>
      <c r="AT517" s="51"/>
      <c r="AU517" s="51"/>
      <c r="AV517" s="51"/>
      <c r="AW517" s="51"/>
      <c r="AX517" s="51"/>
      <c r="AY517" s="51"/>
      <c r="AZ517" s="51"/>
      <c r="BA517" s="51"/>
      <c r="BB517" s="51"/>
      <c r="BC517" s="51"/>
      <c r="BD517" s="51"/>
      <c r="BE517" s="51"/>
      <c r="BF517" s="51"/>
      <c r="BG517" s="51"/>
      <c r="BH517" s="51"/>
      <c r="BI517" s="51"/>
      <c r="BJ517" s="51"/>
      <c r="BK517" s="51"/>
      <c r="BL517" s="51"/>
      <c r="BM517" s="51"/>
      <c r="BN517" s="51"/>
      <c r="BO517" s="51"/>
      <c r="BP517" s="51"/>
      <c r="BQ517" s="51"/>
      <c r="BR517" s="9">
        <f t="shared" si="181"/>
        <v>1</v>
      </c>
      <c r="BT517" s="53"/>
      <c r="BU517" s="25"/>
    </row>
    <row r="518" spans="2:73" ht="12.75" customHeight="1" x14ac:dyDescent="0.25">
      <c r="B518" s="23"/>
      <c r="C518" s="209" t="str">
        <f>HYPERLINK("https://sites.wustl.edu/meteoritesite/items/lm_nwa_15373/",Q518)</f>
        <v>Northwest Africa 15373</v>
      </c>
      <c r="D518" s="210"/>
      <c r="E518" s="210"/>
      <c r="F518" s="211"/>
      <c r="G518" s="89">
        <v>2022</v>
      </c>
      <c r="H518" s="214" t="s">
        <v>38</v>
      </c>
      <c r="I518" s="215"/>
      <c r="J518" s="31">
        <v>45000</v>
      </c>
      <c r="K518" s="212" t="s">
        <v>39</v>
      </c>
      <c r="L518" s="213"/>
      <c r="M518" s="32" t="s">
        <v>40</v>
      </c>
      <c r="N518" s="32" t="s">
        <v>40</v>
      </c>
      <c r="P518" s="125">
        <f t="shared" si="164"/>
        <v>45000</v>
      </c>
      <c r="Q518" s="54" t="s">
        <v>628</v>
      </c>
      <c r="R518" s="48"/>
      <c r="S518" s="49"/>
      <c r="T518" s="50">
        <f t="shared" si="179"/>
        <v>0</v>
      </c>
      <c r="V518" s="51">
        <v>45000</v>
      </c>
      <c r="W518" s="51"/>
      <c r="X518" s="51"/>
      <c r="Y518" s="51"/>
      <c r="Z518" s="51"/>
      <c r="AA518" s="51"/>
      <c r="AB518" s="51"/>
      <c r="AC518" s="51"/>
      <c r="AD518" s="51"/>
      <c r="AE518" s="51"/>
      <c r="AF518" s="51"/>
      <c r="AG518" s="51"/>
      <c r="AH518" s="51"/>
      <c r="AI518" s="51"/>
      <c r="AJ518" s="51"/>
      <c r="AK518" s="51"/>
      <c r="AL518" s="51"/>
      <c r="AM518" s="51"/>
      <c r="AN518" s="51"/>
      <c r="AO518" s="51"/>
      <c r="AP518" s="51"/>
      <c r="AQ518" s="51"/>
      <c r="AR518" s="51"/>
      <c r="AS518" s="51"/>
      <c r="AT518" s="51"/>
      <c r="AU518" s="51"/>
      <c r="AV518" s="51"/>
      <c r="AW518" s="51"/>
      <c r="AX518" s="51"/>
      <c r="AY518" s="51"/>
      <c r="AZ518" s="51"/>
      <c r="BA518" s="51"/>
      <c r="BB518" s="51"/>
      <c r="BC518" s="51"/>
      <c r="BD518" s="51"/>
      <c r="BE518" s="51"/>
      <c r="BF518" s="51"/>
      <c r="BG518" s="51"/>
      <c r="BH518" s="51"/>
      <c r="BI518" s="51"/>
      <c r="BJ518" s="51"/>
      <c r="BK518" s="51"/>
      <c r="BL518" s="51"/>
      <c r="BM518" s="51"/>
      <c r="BN518" s="51"/>
      <c r="BO518" s="51"/>
      <c r="BP518" s="51"/>
      <c r="BQ518" s="51"/>
      <c r="BR518" s="9">
        <f t="shared" si="181"/>
        <v>1</v>
      </c>
      <c r="BT518" s="53"/>
      <c r="BU518" s="25"/>
    </row>
    <row r="519" spans="2:73" ht="12.75" customHeight="1" x14ac:dyDescent="0.25">
      <c r="B519" s="23"/>
      <c r="C519" s="209" t="str">
        <f>HYPERLINK("https://sites.wustl.edu/meteoritesite/items/lm_nwa_15374/",Q519)</f>
        <v>Northwest Africa 15374</v>
      </c>
      <c r="D519" s="210"/>
      <c r="E519" s="210"/>
      <c r="F519" s="211"/>
      <c r="G519" s="89">
        <v>2020</v>
      </c>
      <c r="H519" s="214" t="s">
        <v>616</v>
      </c>
      <c r="I519" s="215"/>
      <c r="J519" s="33">
        <v>1300</v>
      </c>
      <c r="K519" s="212" t="s">
        <v>39</v>
      </c>
      <c r="L519" s="213"/>
      <c r="M519" s="32" t="s">
        <v>40</v>
      </c>
      <c r="N519" s="32" t="s">
        <v>40</v>
      </c>
      <c r="P519" s="125">
        <f t="shared" si="164"/>
        <v>1300</v>
      </c>
      <c r="Q519" s="54" t="s">
        <v>633</v>
      </c>
      <c r="R519" s="48"/>
      <c r="S519" s="49"/>
      <c r="T519" s="50">
        <f t="shared" si="179"/>
        <v>0</v>
      </c>
      <c r="V519" s="51">
        <v>1300</v>
      </c>
      <c r="W519" s="51"/>
      <c r="X519" s="51"/>
      <c r="Y519" s="51"/>
      <c r="Z519" s="51"/>
      <c r="AA519" s="51"/>
      <c r="AB519" s="51"/>
      <c r="AC519" s="51"/>
      <c r="AD519" s="51"/>
      <c r="AE519" s="51"/>
      <c r="AF519" s="51"/>
      <c r="AG519" s="51"/>
      <c r="AH519" s="51"/>
      <c r="AI519" s="51"/>
      <c r="AJ519" s="51"/>
      <c r="AK519" s="51"/>
      <c r="AL519" s="51"/>
      <c r="AM519" s="51"/>
      <c r="AN519" s="51"/>
      <c r="AO519" s="51"/>
      <c r="AP519" s="51"/>
      <c r="AQ519" s="51"/>
      <c r="AR519" s="51"/>
      <c r="AS519" s="51"/>
      <c r="AT519" s="51"/>
      <c r="AU519" s="51"/>
      <c r="AV519" s="51"/>
      <c r="AW519" s="51"/>
      <c r="AX519" s="51"/>
      <c r="AY519" s="51"/>
      <c r="AZ519" s="51"/>
      <c r="BA519" s="51"/>
      <c r="BB519" s="51"/>
      <c r="BC519" s="51"/>
      <c r="BD519" s="51"/>
      <c r="BE519" s="51"/>
      <c r="BF519" s="51"/>
      <c r="BG519" s="51"/>
      <c r="BH519" s="51"/>
      <c r="BI519" s="51"/>
      <c r="BJ519" s="51"/>
      <c r="BK519" s="51"/>
      <c r="BL519" s="51"/>
      <c r="BM519" s="51"/>
      <c r="BN519" s="51"/>
      <c r="BO519" s="51"/>
      <c r="BP519" s="51"/>
      <c r="BQ519" s="51"/>
      <c r="BR519" s="9">
        <f t="shared" si="181"/>
        <v>1</v>
      </c>
      <c r="BT519" s="53"/>
      <c r="BU519" s="25"/>
    </row>
    <row r="520" spans="2:73" ht="12.75" customHeight="1" x14ac:dyDescent="0.25">
      <c r="B520" s="23"/>
      <c r="C520" s="209" t="str">
        <f>HYPERLINK("https://sites.wustl.edu/meteoritesite/items/lm_nwa_15375/",Q520)</f>
        <v>Northwest Africa 15375</v>
      </c>
      <c r="D520" s="210"/>
      <c r="E520" s="210"/>
      <c r="F520" s="211"/>
      <c r="G520" s="89">
        <v>2021</v>
      </c>
      <c r="H520" s="214" t="s">
        <v>38</v>
      </c>
      <c r="I520" s="215"/>
      <c r="J520" s="33">
        <v>1670</v>
      </c>
      <c r="K520" s="212" t="s">
        <v>39</v>
      </c>
      <c r="L520" s="213"/>
      <c r="M520" s="32" t="s">
        <v>40</v>
      </c>
      <c r="N520" s="32" t="s">
        <v>40</v>
      </c>
      <c r="P520" s="125">
        <f t="shared" si="164"/>
        <v>1670</v>
      </c>
      <c r="Q520" s="54" t="s">
        <v>629</v>
      </c>
      <c r="R520" s="48"/>
      <c r="S520" s="49"/>
      <c r="T520" s="50">
        <f t="shared" si="179"/>
        <v>0</v>
      </c>
      <c r="V520" s="51">
        <v>1670</v>
      </c>
      <c r="W520" s="51"/>
      <c r="X520" s="51"/>
      <c r="Y520" s="51"/>
      <c r="Z520" s="51"/>
      <c r="AA520" s="51"/>
      <c r="AB520" s="51"/>
      <c r="AC520" s="51"/>
      <c r="AD520" s="51"/>
      <c r="AE520" s="51"/>
      <c r="AF520" s="51"/>
      <c r="AG520" s="51"/>
      <c r="AH520" s="51"/>
      <c r="AI520" s="51"/>
      <c r="AJ520" s="51"/>
      <c r="AK520" s="51"/>
      <c r="AL520" s="51"/>
      <c r="AM520" s="51"/>
      <c r="AN520" s="51"/>
      <c r="AO520" s="51"/>
      <c r="AP520" s="51"/>
      <c r="AQ520" s="51"/>
      <c r="AR520" s="51"/>
      <c r="AS520" s="51"/>
      <c r="AT520" s="51"/>
      <c r="AU520" s="51"/>
      <c r="AV520" s="51"/>
      <c r="AW520" s="51"/>
      <c r="AX520" s="51"/>
      <c r="AY520" s="51"/>
      <c r="AZ520" s="51"/>
      <c r="BA520" s="51"/>
      <c r="BB520" s="51"/>
      <c r="BC520" s="51"/>
      <c r="BD520" s="51"/>
      <c r="BE520" s="51"/>
      <c r="BF520" s="51"/>
      <c r="BG520" s="51"/>
      <c r="BH520" s="51"/>
      <c r="BI520" s="51"/>
      <c r="BJ520" s="51"/>
      <c r="BK520" s="51"/>
      <c r="BL520" s="51"/>
      <c r="BM520" s="51"/>
      <c r="BN520" s="51"/>
      <c r="BO520" s="51"/>
      <c r="BP520" s="51"/>
      <c r="BQ520" s="51"/>
      <c r="BR520" s="9">
        <f t="shared" si="181"/>
        <v>1</v>
      </c>
      <c r="BT520" s="53"/>
      <c r="BU520" s="25"/>
    </row>
    <row r="521" spans="2:73" ht="12.75" customHeight="1" x14ac:dyDescent="0.25">
      <c r="B521" s="23"/>
      <c r="C521" s="209" t="str">
        <f>HYPERLINK("https://sites.wustl.edu/meteoritesite/items/lm_nwa_15377/",Q521)</f>
        <v>Northwest Africa 15377</v>
      </c>
      <c r="D521" s="210"/>
      <c r="E521" s="210"/>
      <c r="F521" s="211"/>
      <c r="G521" s="89">
        <v>2021</v>
      </c>
      <c r="H521" s="214" t="s">
        <v>38</v>
      </c>
      <c r="I521" s="215"/>
      <c r="J521" s="33">
        <v>209</v>
      </c>
      <c r="K521" s="212" t="s">
        <v>39</v>
      </c>
      <c r="L521" s="213"/>
      <c r="M521" s="32" t="s">
        <v>40</v>
      </c>
      <c r="N521" s="32" t="s">
        <v>40</v>
      </c>
      <c r="P521" s="125">
        <f t="shared" si="164"/>
        <v>209</v>
      </c>
      <c r="Q521" s="54" t="s">
        <v>630</v>
      </c>
      <c r="R521" s="48"/>
      <c r="S521" s="49"/>
      <c r="T521" s="50">
        <f t="shared" si="179"/>
        <v>0</v>
      </c>
      <c r="V521" s="51">
        <v>209</v>
      </c>
      <c r="W521" s="51"/>
      <c r="X521" s="51"/>
      <c r="Y521" s="51"/>
      <c r="Z521" s="51"/>
      <c r="AA521" s="51"/>
      <c r="AB521" s="51"/>
      <c r="AC521" s="51"/>
      <c r="AD521" s="51"/>
      <c r="AE521" s="51"/>
      <c r="AF521" s="51"/>
      <c r="AG521" s="51"/>
      <c r="AH521" s="51"/>
      <c r="AI521" s="51"/>
      <c r="AJ521" s="51"/>
      <c r="AK521" s="51"/>
      <c r="AL521" s="51"/>
      <c r="AM521" s="51"/>
      <c r="AN521" s="51"/>
      <c r="AO521" s="51"/>
      <c r="AP521" s="51"/>
      <c r="AQ521" s="51"/>
      <c r="AR521" s="51"/>
      <c r="AS521" s="51"/>
      <c r="AT521" s="51"/>
      <c r="AU521" s="51"/>
      <c r="AV521" s="51"/>
      <c r="AW521" s="51"/>
      <c r="AX521" s="51"/>
      <c r="AY521" s="51"/>
      <c r="AZ521" s="51"/>
      <c r="BA521" s="51"/>
      <c r="BB521" s="51"/>
      <c r="BC521" s="51"/>
      <c r="BD521" s="51"/>
      <c r="BE521" s="51"/>
      <c r="BF521" s="51"/>
      <c r="BG521" s="51"/>
      <c r="BH521" s="51"/>
      <c r="BI521" s="51"/>
      <c r="BJ521" s="51"/>
      <c r="BK521" s="51"/>
      <c r="BL521" s="51"/>
      <c r="BM521" s="51"/>
      <c r="BN521" s="51"/>
      <c r="BO521" s="51"/>
      <c r="BP521" s="51"/>
      <c r="BQ521" s="51"/>
      <c r="BR521" s="9">
        <f t="shared" si="181"/>
        <v>1</v>
      </c>
      <c r="BT521" s="53"/>
      <c r="BU521" s="25"/>
    </row>
    <row r="522" spans="2:73" ht="12.75" customHeight="1" x14ac:dyDescent="0.25">
      <c r="B522" s="23"/>
      <c r="C522" s="209" t="str">
        <f>HYPERLINK("https://sites.wustl.edu/meteoritesite/items/lm_nwa_15431/",Q522)</f>
        <v>Northwest Africa 15431</v>
      </c>
      <c r="D522" s="210"/>
      <c r="E522" s="210"/>
      <c r="F522" s="211"/>
      <c r="G522" s="89">
        <v>2020</v>
      </c>
      <c r="H522" s="214" t="s">
        <v>38</v>
      </c>
      <c r="I522" s="215"/>
      <c r="J522" s="33">
        <v>35</v>
      </c>
      <c r="K522" s="212" t="s">
        <v>39</v>
      </c>
      <c r="L522" s="213"/>
      <c r="M522" s="32" t="s">
        <v>40</v>
      </c>
      <c r="N522" s="32" t="s">
        <v>40</v>
      </c>
      <c r="P522" s="125">
        <f t="shared" si="164"/>
        <v>35</v>
      </c>
      <c r="Q522" s="54" t="s">
        <v>634</v>
      </c>
      <c r="R522" s="48"/>
      <c r="S522" s="49"/>
      <c r="T522" s="50">
        <f t="shared" si="179"/>
        <v>0</v>
      </c>
      <c r="V522" s="51">
        <v>35</v>
      </c>
      <c r="W522" s="51"/>
      <c r="X522" s="51"/>
      <c r="Y522" s="51"/>
      <c r="Z522" s="51"/>
      <c r="AA522" s="51"/>
      <c r="AB522" s="51"/>
      <c r="AC522" s="51"/>
      <c r="AD522" s="51"/>
      <c r="AE522" s="51"/>
      <c r="AF522" s="51"/>
      <c r="AG522" s="51"/>
      <c r="AH522" s="51"/>
      <c r="AI522" s="51"/>
      <c r="AJ522" s="51"/>
      <c r="AK522" s="51"/>
      <c r="AL522" s="51"/>
      <c r="AM522" s="51"/>
      <c r="AN522" s="51"/>
      <c r="AO522" s="51"/>
      <c r="AP522" s="51"/>
      <c r="AQ522" s="51"/>
      <c r="AR522" s="51"/>
      <c r="AS522" s="51"/>
      <c r="AT522" s="51"/>
      <c r="AU522" s="51"/>
      <c r="AV522" s="51"/>
      <c r="AW522" s="51"/>
      <c r="AX522" s="51"/>
      <c r="AY522" s="51"/>
      <c r="AZ522" s="51"/>
      <c r="BA522" s="51"/>
      <c r="BB522" s="51"/>
      <c r="BC522" s="51"/>
      <c r="BD522" s="51"/>
      <c r="BE522" s="51"/>
      <c r="BF522" s="51"/>
      <c r="BG522" s="51"/>
      <c r="BH522" s="51"/>
      <c r="BI522" s="51"/>
      <c r="BJ522" s="51"/>
      <c r="BK522" s="51"/>
      <c r="BL522" s="51"/>
      <c r="BM522" s="51"/>
      <c r="BN522" s="51"/>
      <c r="BO522" s="51"/>
      <c r="BP522" s="51"/>
      <c r="BQ522" s="51"/>
      <c r="BR522" s="9">
        <f t="shared" si="181"/>
        <v>1</v>
      </c>
      <c r="BT522" s="53"/>
      <c r="BU522" s="25"/>
    </row>
    <row r="523" spans="2:73" ht="12.75" customHeight="1" x14ac:dyDescent="0.25">
      <c r="B523" s="23"/>
      <c r="C523" s="209" t="str">
        <f>HYPERLINK("https://sites.wustl.edu/meteoritesite/items/lm_nwa_15432/",Q523)</f>
        <v>Northwest Africa 15432</v>
      </c>
      <c r="D523" s="210"/>
      <c r="E523" s="210"/>
      <c r="F523" s="211"/>
      <c r="G523" s="89">
        <v>2021</v>
      </c>
      <c r="H523" s="214" t="s">
        <v>616</v>
      </c>
      <c r="I523" s="215"/>
      <c r="J523" s="33">
        <v>16</v>
      </c>
      <c r="K523" s="212" t="s">
        <v>39</v>
      </c>
      <c r="L523" s="213"/>
      <c r="M523" s="32" t="s">
        <v>40</v>
      </c>
      <c r="N523" s="32" t="s">
        <v>40</v>
      </c>
      <c r="P523" s="125">
        <f t="shared" ref="P523" si="183">SUM(V523:BQ523)</f>
        <v>16</v>
      </c>
      <c r="Q523" s="54" t="s">
        <v>637</v>
      </c>
      <c r="R523" s="48"/>
      <c r="S523" s="49"/>
      <c r="T523" s="50">
        <f t="shared" ref="T523" si="184">J523-P523</f>
        <v>0</v>
      </c>
      <c r="V523" s="51">
        <v>16</v>
      </c>
      <c r="W523" s="51"/>
      <c r="X523" s="51"/>
      <c r="Y523" s="51"/>
      <c r="Z523" s="51"/>
      <c r="AA523" s="51"/>
      <c r="AB523" s="51"/>
      <c r="AC523" s="51"/>
      <c r="AD523" s="51"/>
      <c r="AE523" s="51"/>
      <c r="AF523" s="51"/>
      <c r="AG523" s="51"/>
      <c r="AH523" s="51"/>
      <c r="AI523" s="51"/>
      <c r="AJ523" s="51"/>
      <c r="AK523" s="51"/>
      <c r="AL523" s="51"/>
      <c r="AM523" s="51"/>
      <c r="AN523" s="51"/>
      <c r="AO523" s="51"/>
      <c r="AP523" s="51"/>
      <c r="AQ523" s="51"/>
      <c r="AR523" s="51"/>
      <c r="AS523" s="51"/>
      <c r="AT523" s="51"/>
      <c r="AU523" s="51"/>
      <c r="AV523" s="51"/>
      <c r="AW523" s="51"/>
      <c r="AX523" s="51"/>
      <c r="AY523" s="51"/>
      <c r="AZ523" s="51"/>
      <c r="BA523" s="51"/>
      <c r="BB523" s="51"/>
      <c r="BC523" s="51"/>
      <c r="BD523" s="51"/>
      <c r="BE523" s="51"/>
      <c r="BF523" s="51"/>
      <c r="BG523" s="51"/>
      <c r="BH523" s="51"/>
      <c r="BI523" s="51"/>
      <c r="BJ523" s="51"/>
      <c r="BK523" s="51"/>
      <c r="BL523" s="51"/>
      <c r="BM523" s="51"/>
      <c r="BN523" s="51"/>
      <c r="BO523" s="51"/>
      <c r="BP523" s="51"/>
      <c r="BQ523" s="51"/>
      <c r="BR523" s="9">
        <f t="shared" ref="BR523" si="185">COUNT(V523:BQ523)</f>
        <v>1</v>
      </c>
      <c r="BT523" s="53"/>
      <c r="BU523" s="25"/>
    </row>
    <row r="524" spans="2:73" ht="12.75" customHeight="1" x14ac:dyDescent="0.25">
      <c r="B524" s="23"/>
      <c r="C524" s="209" t="str">
        <f>HYPERLINK("https://sites.wustl.edu/meteoritesite/items/lm_nwa_15433/",Q524)</f>
        <v>Northwest Africa 15433</v>
      </c>
      <c r="D524" s="210"/>
      <c r="E524" s="210"/>
      <c r="F524" s="211"/>
      <c r="G524" s="89">
        <v>2022</v>
      </c>
      <c r="H524" s="236" t="s">
        <v>41</v>
      </c>
      <c r="I524" s="237"/>
      <c r="J524" s="33">
        <v>636</v>
      </c>
      <c r="K524" s="212" t="s">
        <v>39</v>
      </c>
      <c r="L524" s="213"/>
      <c r="M524" s="32" t="s">
        <v>40</v>
      </c>
      <c r="N524" s="32" t="s">
        <v>40</v>
      </c>
      <c r="P524" s="125">
        <f t="shared" si="164"/>
        <v>636</v>
      </c>
      <c r="Q524" s="54" t="s">
        <v>635</v>
      </c>
      <c r="R524" s="48"/>
      <c r="S524" s="49"/>
      <c r="T524" s="50">
        <f t="shared" si="179"/>
        <v>0</v>
      </c>
      <c r="V524" s="51">
        <v>636</v>
      </c>
      <c r="W524" s="51"/>
      <c r="X524" s="51"/>
      <c r="Y524" s="51"/>
      <c r="Z524" s="51"/>
      <c r="AA524" s="51"/>
      <c r="AB524" s="51"/>
      <c r="AC524" s="51"/>
      <c r="AD524" s="51"/>
      <c r="AE524" s="51"/>
      <c r="AF524" s="51"/>
      <c r="AG524" s="51"/>
      <c r="AH524" s="51"/>
      <c r="AI524" s="51"/>
      <c r="AJ524" s="51"/>
      <c r="AK524" s="51"/>
      <c r="AL524" s="51"/>
      <c r="AM524" s="51"/>
      <c r="AN524" s="51"/>
      <c r="AO524" s="51"/>
      <c r="AP524" s="51"/>
      <c r="AQ524" s="51"/>
      <c r="AR524" s="51"/>
      <c r="AS524" s="51"/>
      <c r="AT524" s="51"/>
      <c r="AU524" s="51"/>
      <c r="AV524" s="51"/>
      <c r="AW524" s="51"/>
      <c r="AX524" s="51"/>
      <c r="AY524" s="51"/>
      <c r="AZ524" s="51"/>
      <c r="BA524" s="51"/>
      <c r="BB524" s="51"/>
      <c r="BC524" s="51"/>
      <c r="BD524" s="51"/>
      <c r="BE524" s="51"/>
      <c r="BF524" s="51"/>
      <c r="BG524" s="51"/>
      <c r="BH524" s="51"/>
      <c r="BI524" s="51"/>
      <c r="BJ524" s="51"/>
      <c r="BK524" s="51"/>
      <c r="BL524" s="51"/>
      <c r="BM524" s="51"/>
      <c r="BN524" s="51"/>
      <c r="BO524" s="51"/>
      <c r="BP524" s="51"/>
      <c r="BQ524" s="51"/>
      <c r="BR524" s="9">
        <f t="shared" si="181"/>
        <v>1</v>
      </c>
      <c r="BT524" s="53"/>
      <c r="BU524" s="25"/>
    </row>
    <row r="525" spans="2:73" ht="12.75" customHeight="1" x14ac:dyDescent="0.25">
      <c r="B525" s="23"/>
      <c r="C525" s="209" t="str">
        <f>HYPERLINK("https://sites.wustl.edu/meteoritesite/items/lm_nwa_15482/",Q525)</f>
        <v>Northwest Africa 15482</v>
      </c>
      <c r="D525" s="210"/>
      <c r="E525" s="210"/>
      <c r="F525" s="211"/>
      <c r="G525" s="89">
        <v>2022</v>
      </c>
      <c r="H525" s="214" t="s">
        <v>662</v>
      </c>
      <c r="I525" s="215"/>
      <c r="J525" s="32">
        <v>80.599999999999994</v>
      </c>
      <c r="K525" s="212" t="s">
        <v>39</v>
      </c>
      <c r="L525" s="213"/>
      <c r="M525" s="32" t="s">
        <v>40</v>
      </c>
      <c r="N525" s="32" t="s">
        <v>40</v>
      </c>
      <c r="P525" s="125">
        <f t="shared" si="164"/>
        <v>80.599999999999994</v>
      </c>
      <c r="Q525" s="54" t="s">
        <v>657</v>
      </c>
      <c r="R525" s="48"/>
      <c r="S525" s="49"/>
      <c r="T525" s="50">
        <f t="shared" si="179"/>
        <v>0</v>
      </c>
      <c r="V525" s="51">
        <v>80.599999999999994</v>
      </c>
      <c r="W525" s="51"/>
      <c r="X525" s="51"/>
      <c r="Y525" s="51"/>
      <c r="Z525" s="51"/>
      <c r="AA525" s="51"/>
      <c r="AB525" s="51"/>
      <c r="AC525" s="51"/>
      <c r="AD525" s="51"/>
      <c r="AE525" s="51"/>
      <c r="AF525" s="51"/>
      <c r="AG525" s="51"/>
      <c r="AH525" s="51"/>
      <c r="AI525" s="51"/>
      <c r="AJ525" s="51"/>
      <c r="AK525" s="51"/>
      <c r="AL525" s="51"/>
      <c r="AM525" s="51"/>
      <c r="AN525" s="51"/>
      <c r="AO525" s="51"/>
      <c r="AP525" s="51"/>
      <c r="AQ525" s="51"/>
      <c r="AR525" s="51"/>
      <c r="AS525" s="51"/>
      <c r="AT525" s="51"/>
      <c r="AU525" s="51"/>
      <c r="AV525" s="51"/>
      <c r="AW525" s="51"/>
      <c r="AX525" s="51"/>
      <c r="AY525" s="51"/>
      <c r="AZ525" s="51"/>
      <c r="BA525" s="51"/>
      <c r="BB525" s="51"/>
      <c r="BC525" s="51"/>
      <c r="BD525" s="51"/>
      <c r="BE525" s="51"/>
      <c r="BF525" s="51"/>
      <c r="BG525" s="51"/>
      <c r="BH525" s="51"/>
      <c r="BI525" s="51"/>
      <c r="BJ525" s="51"/>
      <c r="BK525" s="51"/>
      <c r="BL525" s="51"/>
      <c r="BM525" s="51"/>
      <c r="BN525" s="51"/>
      <c r="BO525" s="51"/>
      <c r="BP525" s="51"/>
      <c r="BQ525" s="51"/>
      <c r="BR525" s="9">
        <f t="shared" si="181"/>
        <v>1</v>
      </c>
      <c r="BT525" s="53"/>
      <c r="BU525" s="25"/>
    </row>
    <row r="526" spans="2:73" ht="12.75" customHeight="1" x14ac:dyDescent="0.25">
      <c r="B526" s="23"/>
      <c r="C526" s="209" t="str">
        <f>HYPERLINK("https://sites.wustl.edu/meteoritesite/items/lm_nwa_15483/",Q526)</f>
        <v>Northwest Africa 15483</v>
      </c>
      <c r="D526" s="210"/>
      <c r="E526" s="210"/>
      <c r="F526" s="211"/>
      <c r="G526" s="89">
        <v>2022</v>
      </c>
      <c r="H526" s="249" t="s">
        <v>396</v>
      </c>
      <c r="I526" s="249"/>
      <c r="J526" s="62">
        <v>72.930000000000007</v>
      </c>
      <c r="K526" s="212" t="s">
        <v>39</v>
      </c>
      <c r="L526" s="213"/>
      <c r="M526" s="32" t="s">
        <v>536</v>
      </c>
      <c r="N526" s="32" t="s">
        <v>40</v>
      </c>
      <c r="P526" s="125">
        <f t="shared" si="164"/>
        <v>72.930000000000007</v>
      </c>
      <c r="Q526" s="54" t="s">
        <v>638</v>
      </c>
      <c r="R526" s="48"/>
      <c r="S526" s="49"/>
      <c r="T526" s="50">
        <f t="shared" si="179"/>
        <v>0</v>
      </c>
      <c r="V526" s="51">
        <v>72.930000000000007</v>
      </c>
      <c r="W526" s="51"/>
      <c r="X526" s="51"/>
      <c r="Y526" s="51"/>
      <c r="Z526" s="51"/>
      <c r="AA526" s="51"/>
      <c r="AB526" s="51"/>
      <c r="AC526" s="51"/>
      <c r="AD526" s="51"/>
      <c r="AE526" s="51"/>
      <c r="AF526" s="51"/>
      <c r="AG526" s="51"/>
      <c r="AH526" s="51"/>
      <c r="AI526" s="51"/>
      <c r="AJ526" s="51"/>
      <c r="AK526" s="51"/>
      <c r="AL526" s="51"/>
      <c r="AM526" s="51"/>
      <c r="AN526" s="51"/>
      <c r="AO526" s="51"/>
      <c r="AP526" s="51"/>
      <c r="AQ526" s="51"/>
      <c r="AR526" s="51"/>
      <c r="AS526" s="51"/>
      <c r="AT526" s="51"/>
      <c r="AU526" s="51"/>
      <c r="AV526" s="51"/>
      <c r="AW526" s="51"/>
      <c r="AX526" s="51"/>
      <c r="AY526" s="51"/>
      <c r="AZ526" s="51"/>
      <c r="BA526" s="51"/>
      <c r="BB526" s="51"/>
      <c r="BC526" s="51"/>
      <c r="BD526" s="51"/>
      <c r="BE526" s="51"/>
      <c r="BF526" s="51"/>
      <c r="BG526" s="51"/>
      <c r="BH526" s="51"/>
      <c r="BI526" s="51"/>
      <c r="BJ526" s="51"/>
      <c r="BK526" s="51"/>
      <c r="BL526" s="51"/>
      <c r="BM526" s="51"/>
      <c r="BN526" s="51"/>
      <c r="BO526" s="51"/>
      <c r="BP526" s="51"/>
      <c r="BQ526" s="51"/>
      <c r="BR526" s="9">
        <f t="shared" ref="BR526" si="186">COUNT(V526:BQ526)</f>
        <v>1</v>
      </c>
      <c r="BT526" s="53"/>
      <c r="BU526" s="25"/>
    </row>
    <row r="527" spans="2:73" ht="12.75" customHeight="1" x14ac:dyDescent="0.25">
      <c r="B527" s="144"/>
      <c r="C527" s="209" t="str">
        <f>HYPERLINK("https://sites.wustl.edu/meteoritesite/items/lm_nwa_15500/",Q527)</f>
        <v>Northwest Africa 15500</v>
      </c>
      <c r="D527" s="210"/>
      <c r="E527" s="210"/>
      <c r="F527" s="211"/>
      <c r="G527" s="89">
        <v>2022</v>
      </c>
      <c r="H527" s="236" t="s">
        <v>639</v>
      </c>
      <c r="I527" s="237"/>
      <c r="J527" s="145">
        <v>467</v>
      </c>
      <c r="K527" s="212" t="s">
        <v>39</v>
      </c>
      <c r="L527" s="213"/>
      <c r="M527" s="32" t="s">
        <v>40</v>
      </c>
      <c r="N527" s="32" t="s">
        <v>40</v>
      </c>
      <c r="P527" s="125">
        <f t="shared" si="164"/>
        <v>467</v>
      </c>
      <c r="Q527" s="54" t="s">
        <v>640</v>
      </c>
      <c r="R527" s="48"/>
      <c r="S527" s="49"/>
      <c r="T527" s="50">
        <f t="shared" si="179"/>
        <v>0</v>
      </c>
      <c r="V527" s="51">
        <v>467</v>
      </c>
      <c r="W527" s="51"/>
      <c r="X527" s="51"/>
      <c r="Y527" s="51"/>
      <c r="Z527" s="51"/>
      <c r="AA527" s="51"/>
      <c r="AB527" s="51"/>
      <c r="AC527" s="51"/>
      <c r="AD527" s="51"/>
      <c r="AE527" s="51"/>
      <c r="AF527" s="51"/>
      <c r="AG527" s="51"/>
      <c r="AH527" s="51"/>
      <c r="AI527" s="51"/>
      <c r="AJ527" s="51"/>
      <c r="AK527" s="51"/>
      <c r="AL527" s="51"/>
      <c r="AM527" s="51"/>
      <c r="AN527" s="51"/>
      <c r="AO527" s="51"/>
      <c r="AP527" s="51"/>
      <c r="AQ527" s="51"/>
      <c r="AR527" s="51"/>
      <c r="AS527" s="51"/>
      <c r="AT527" s="51"/>
      <c r="AU527" s="51"/>
      <c r="AV527" s="51"/>
      <c r="AW527" s="51"/>
      <c r="AX527" s="51"/>
      <c r="AY527" s="51"/>
      <c r="AZ527" s="51"/>
      <c r="BA527" s="51"/>
      <c r="BB527" s="51"/>
      <c r="BC527" s="51"/>
      <c r="BD527" s="51"/>
      <c r="BE527" s="51"/>
      <c r="BF527" s="51"/>
      <c r="BG527" s="51"/>
      <c r="BH527" s="51"/>
      <c r="BI527" s="51"/>
      <c r="BJ527" s="51"/>
      <c r="BK527" s="51"/>
      <c r="BL527" s="51"/>
      <c r="BM527" s="51"/>
      <c r="BN527" s="51"/>
      <c r="BO527" s="51"/>
      <c r="BP527" s="51"/>
      <c r="BQ527" s="51"/>
      <c r="BR527" s="9">
        <f t="shared" ref="BR527:BR645" si="187">COUNT(V527:BQ527)</f>
        <v>1</v>
      </c>
      <c r="BT527" s="53"/>
      <c r="BU527" s="25"/>
    </row>
    <row r="528" spans="2:73" ht="12.75" customHeight="1" x14ac:dyDescent="0.25">
      <c r="B528" s="144"/>
      <c r="C528" s="209" t="str">
        <f>HYPERLINK("https://sites.wustl.edu/meteoritesite/items/lm_nwa_15528/",Q528)</f>
        <v>Northwest Africa 15528</v>
      </c>
      <c r="D528" s="210"/>
      <c r="E528" s="210"/>
      <c r="F528" s="211"/>
      <c r="G528" s="89">
        <v>2017</v>
      </c>
      <c r="H528" s="214" t="s">
        <v>396</v>
      </c>
      <c r="I528" s="215"/>
      <c r="J528" s="145">
        <v>27</v>
      </c>
      <c r="K528" s="212" t="s">
        <v>39</v>
      </c>
      <c r="L528" s="213"/>
      <c r="M528" s="32" t="s">
        <v>40</v>
      </c>
      <c r="N528" s="32" t="s">
        <v>40</v>
      </c>
      <c r="P528" s="125">
        <f t="shared" si="164"/>
        <v>27</v>
      </c>
      <c r="Q528" s="54" t="s">
        <v>641</v>
      </c>
      <c r="R528" s="48"/>
      <c r="S528" s="49"/>
      <c r="T528" s="50">
        <f t="shared" si="179"/>
        <v>0</v>
      </c>
      <c r="V528" s="51">
        <v>27</v>
      </c>
      <c r="W528" s="51"/>
      <c r="X528" s="51"/>
      <c r="Y528" s="51"/>
      <c r="Z528" s="51"/>
      <c r="AA528" s="51"/>
      <c r="AB528" s="51"/>
      <c r="AC528" s="51"/>
      <c r="AD528" s="51"/>
      <c r="AE528" s="51"/>
      <c r="AF528" s="51"/>
      <c r="AG528" s="51"/>
      <c r="AH528" s="51"/>
      <c r="AI528" s="51"/>
      <c r="AJ528" s="51"/>
      <c r="AK528" s="51"/>
      <c r="AL528" s="51"/>
      <c r="AM528" s="51"/>
      <c r="AN528" s="51"/>
      <c r="AO528" s="51"/>
      <c r="AP528" s="51"/>
      <c r="AQ528" s="51"/>
      <c r="AR528" s="51"/>
      <c r="AS528" s="51"/>
      <c r="AT528" s="51"/>
      <c r="AU528" s="51"/>
      <c r="AV528" s="51"/>
      <c r="AW528" s="51"/>
      <c r="AX528" s="51"/>
      <c r="AY528" s="51"/>
      <c r="AZ528" s="51"/>
      <c r="BA528" s="51"/>
      <c r="BB528" s="51"/>
      <c r="BC528" s="51"/>
      <c r="BD528" s="51"/>
      <c r="BE528" s="51"/>
      <c r="BF528" s="51"/>
      <c r="BG528" s="51"/>
      <c r="BH528" s="51"/>
      <c r="BI528" s="51"/>
      <c r="BJ528" s="51"/>
      <c r="BK528" s="51"/>
      <c r="BL528" s="51"/>
      <c r="BM528" s="51"/>
      <c r="BN528" s="51"/>
      <c r="BO528" s="51"/>
      <c r="BP528" s="51"/>
      <c r="BQ528" s="51"/>
      <c r="BR528" s="9">
        <f t="shared" si="187"/>
        <v>1</v>
      </c>
      <c r="BT528" s="53"/>
      <c r="BU528" s="25"/>
    </row>
    <row r="529" spans="2:73" ht="12.75" customHeight="1" x14ac:dyDescent="0.25">
      <c r="B529" s="144"/>
      <c r="C529" s="209" t="str">
        <f>HYPERLINK("https://sites.wustl.edu/meteoritesite/items/lm_nwa_15533/",Q529)</f>
        <v>Northwest Africa 15533</v>
      </c>
      <c r="D529" s="210"/>
      <c r="E529" s="210"/>
      <c r="F529" s="211"/>
      <c r="G529" s="89">
        <v>2021</v>
      </c>
      <c r="H529" s="214" t="s">
        <v>616</v>
      </c>
      <c r="I529" s="215"/>
      <c r="J529" s="145">
        <v>641</v>
      </c>
      <c r="K529" s="212" t="s">
        <v>66</v>
      </c>
      <c r="L529" s="213"/>
      <c r="M529" s="32" t="s">
        <v>40</v>
      </c>
      <c r="N529" s="32" t="s">
        <v>40</v>
      </c>
      <c r="P529" s="125">
        <f t="shared" ref="P529" si="188">SUM(V529:BQ529)</f>
        <v>641</v>
      </c>
      <c r="Q529" s="54" t="s">
        <v>676</v>
      </c>
      <c r="R529" s="48"/>
      <c r="S529" s="49"/>
      <c r="T529" s="50">
        <f t="shared" ref="T529" si="189">J529-P529</f>
        <v>0</v>
      </c>
      <c r="V529" s="51">
        <v>641</v>
      </c>
      <c r="W529" s="51"/>
      <c r="X529" s="51"/>
      <c r="Y529" s="51"/>
      <c r="Z529" s="51"/>
      <c r="AA529" s="51"/>
      <c r="AB529" s="51"/>
      <c r="AC529" s="51"/>
      <c r="AD529" s="51"/>
      <c r="AE529" s="51"/>
      <c r="AF529" s="51"/>
      <c r="AG529" s="51"/>
      <c r="AH529" s="51"/>
      <c r="AI529" s="51"/>
      <c r="AJ529" s="51"/>
      <c r="AK529" s="51"/>
      <c r="AL529" s="51"/>
      <c r="AM529" s="51"/>
      <c r="AN529" s="51"/>
      <c r="AO529" s="51"/>
      <c r="AP529" s="51"/>
      <c r="AQ529" s="51"/>
      <c r="AR529" s="51"/>
      <c r="AS529" s="51"/>
      <c r="AT529" s="51"/>
      <c r="AU529" s="51"/>
      <c r="AV529" s="51"/>
      <c r="AW529" s="51"/>
      <c r="AX529" s="51"/>
      <c r="AY529" s="51"/>
      <c r="AZ529" s="51"/>
      <c r="BA529" s="51"/>
      <c r="BB529" s="51"/>
      <c r="BC529" s="51"/>
      <c r="BD529" s="51"/>
      <c r="BE529" s="51"/>
      <c r="BF529" s="51"/>
      <c r="BG529" s="51"/>
      <c r="BH529" s="51"/>
      <c r="BI529" s="51"/>
      <c r="BJ529" s="51"/>
      <c r="BK529" s="51"/>
      <c r="BL529" s="51"/>
      <c r="BM529" s="51"/>
      <c r="BN529" s="51"/>
      <c r="BO529" s="51"/>
      <c r="BP529" s="51"/>
      <c r="BQ529" s="51"/>
      <c r="BR529" s="9">
        <f t="shared" ref="BR529" si="190">COUNT(V529:BQ529)</f>
        <v>1</v>
      </c>
      <c r="BT529" s="53"/>
      <c r="BU529" s="25"/>
    </row>
    <row r="530" spans="2:73" ht="12.75" customHeight="1" x14ac:dyDescent="0.25">
      <c r="B530" s="144"/>
      <c r="C530" s="209" t="str">
        <f>HYPERLINK("https://sites.wustl.edu/meteoritesite/items/lm_nwa_15583/",Q530)</f>
        <v>Northwest Africa 15583</v>
      </c>
      <c r="D530" s="210"/>
      <c r="E530" s="210"/>
      <c r="F530" s="211"/>
      <c r="G530" s="89">
        <v>2022</v>
      </c>
      <c r="H530" s="214" t="s">
        <v>396</v>
      </c>
      <c r="I530" s="215"/>
      <c r="J530" s="145">
        <v>3400</v>
      </c>
      <c r="K530" s="212" t="s">
        <v>66</v>
      </c>
      <c r="L530" s="213"/>
      <c r="M530" s="32" t="s">
        <v>40</v>
      </c>
      <c r="N530" s="32" t="s">
        <v>40</v>
      </c>
      <c r="P530" s="125">
        <f t="shared" si="164"/>
        <v>3400</v>
      </c>
      <c r="Q530" s="54" t="s">
        <v>647</v>
      </c>
      <c r="R530" s="48"/>
      <c r="S530" s="49"/>
      <c r="T530" s="50">
        <f t="shared" si="179"/>
        <v>0</v>
      </c>
      <c r="V530" s="51">
        <v>3400</v>
      </c>
      <c r="W530" s="51"/>
      <c r="X530" s="51"/>
      <c r="Y530" s="51"/>
      <c r="Z530" s="51"/>
      <c r="AA530" s="51"/>
      <c r="AB530" s="51"/>
      <c r="AC530" s="51"/>
      <c r="AD530" s="51"/>
      <c r="AE530" s="51"/>
      <c r="AF530" s="51"/>
      <c r="AG530" s="51"/>
      <c r="AH530" s="51"/>
      <c r="AI530" s="51"/>
      <c r="AJ530" s="51"/>
      <c r="AK530" s="51"/>
      <c r="AL530" s="51"/>
      <c r="AM530" s="51"/>
      <c r="AN530" s="51"/>
      <c r="AO530" s="51"/>
      <c r="AP530" s="51"/>
      <c r="AQ530" s="51"/>
      <c r="AR530" s="51"/>
      <c r="AS530" s="51"/>
      <c r="AT530" s="51"/>
      <c r="AU530" s="51"/>
      <c r="AV530" s="51"/>
      <c r="AW530" s="51"/>
      <c r="AX530" s="51"/>
      <c r="AY530" s="51"/>
      <c r="AZ530" s="51"/>
      <c r="BA530" s="51"/>
      <c r="BB530" s="51"/>
      <c r="BC530" s="51"/>
      <c r="BD530" s="51"/>
      <c r="BE530" s="51"/>
      <c r="BF530" s="51"/>
      <c r="BG530" s="51"/>
      <c r="BH530" s="51"/>
      <c r="BI530" s="51"/>
      <c r="BJ530" s="51"/>
      <c r="BK530" s="51"/>
      <c r="BL530" s="51"/>
      <c r="BM530" s="51"/>
      <c r="BN530" s="51"/>
      <c r="BO530" s="51"/>
      <c r="BP530" s="51"/>
      <c r="BQ530" s="51"/>
      <c r="BR530" s="9">
        <f t="shared" ref="BR530:BR536" si="191">COUNT(V530:BQ530)</f>
        <v>1</v>
      </c>
      <c r="BT530" s="53"/>
      <c r="BU530" s="25"/>
    </row>
    <row r="531" spans="2:73" ht="12.75" customHeight="1" x14ac:dyDescent="0.25">
      <c r="B531" s="144"/>
      <c r="C531" s="209" t="str">
        <f>HYPERLINK("https://sites.wustl.edu/meteoritesite/items/lm_nwa_15603/",Q531)</f>
        <v>Northwest Africa 15603</v>
      </c>
      <c r="D531" s="210"/>
      <c r="E531" s="210"/>
      <c r="F531" s="211"/>
      <c r="G531" s="89">
        <v>2022</v>
      </c>
      <c r="H531" s="214" t="s">
        <v>396</v>
      </c>
      <c r="I531" s="215"/>
      <c r="J531" s="145">
        <v>187</v>
      </c>
      <c r="K531" s="212" t="s">
        <v>39</v>
      </c>
      <c r="L531" s="213"/>
      <c r="M531" s="32" t="s">
        <v>40</v>
      </c>
      <c r="N531" s="32" t="s">
        <v>40</v>
      </c>
      <c r="P531" s="125">
        <f t="shared" si="164"/>
        <v>187</v>
      </c>
      <c r="Q531" s="54" t="s">
        <v>654</v>
      </c>
      <c r="R531" s="48"/>
      <c r="S531" s="49"/>
      <c r="T531" s="50">
        <f t="shared" si="179"/>
        <v>0</v>
      </c>
      <c r="V531" s="51">
        <v>187</v>
      </c>
      <c r="W531" s="51"/>
      <c r="X531" s="51"/>
      <c r="Y531" s="51"/>
      <c r="Z531" s="51"/>
      <c r="AA531" s="51"/>
      <c r="AB531" s="51"/>
      <c r="AC531" s="51"/>
      <c r="AD531" s="51"/>
      <c r="AE531" s="51"/>
      <c r="AF531" s="51"/>
      <c r="AG531" s="51"/>
      <c r="AH531" s="51"/>
      <c r="AI531" s="51"/>
      <c r="AJ531" s="51"/>
      <c r="AK531" s="51"/>
      <c r="AL531" s="51"/>
      <c r="AM531" s="51"/>
      <c r="AN531" s="51"/>
      <c r="AO531" s="51"/>
      <c r="AP531" s="51"/>
      <c r="AQ531" s="51"/>
      <c r="AR531" s="51"/>
      <c r="AS531" s="51"/>
      <c r="AT531" s="51"/>
      <c r="AU531" s="51"/>
      <c r="AV531" s="51"/>
      <c r="AW531" s="51"/>
      <c r="AX531" s="51"/>
      <c r="AY531" s="51"/>
      <c r="AZ531" s="51"/>
      <c r="BA531" s="51"/>
      <c r="BB531" s="51"/>
      <c r="BC531" s="51"/>
      <c r="BD531" s="51"/>
      <c r="BE531" s="51"/>
      <c r="BF531" s="51"/>
      <c r="BG531" s="51"/>
      <c r="BH531" s="51"/>
      <c r="BI531" s="51"/>
      <c r="BJ531" s="51"/>
      <c r="BK531" s="51"/>
      <c r="BL531" s="51"/>
      <c r="BM531" s="51"/>
      <c r="BN531" s="51"/>
      <c r="BO531" s="51"/>
      <c r="BP531" s="51"/>
      <c r="BQ531" s="51"/>
      <c r="BR531" s="9">
        <f t="shared" si="191"/>
        <v>1</v>
      </c>
      <c r="BT531" s="53"/>
      <c r="BU531" s="25"/>
    </row>
    <row r="532" spans="2:73" ht="12.75" customHeight="1" x14ac:dyDescent="0.25">
      <c r="B532" s="144"/>
      <c r="C532" s="209" t="str">
        <f>HYPERLINK("https://sites.wustl.edu/meteoritesite/items/lm_nwa_15603/",Q532)</f>
        <v>Northwest Africa 15604</v>
      </c>
      <c r="D532" s="210"/>
      <c r="E532" s="210"/>
      <c r="F532" s="211"/>
      <c r="G532" s="89">
        <v>2022</v>
      </c>
      <c r="H532" s="214" t="s">
        <v>396</v>
      </c>
      <c r="I532" s="215"/>
      <c r="J532" s="145">
        <v>2300</v>
      </c>
      <c r="K532" s="212" t="s">
        <v>39</v>
      </c>
      <c r="L532" s="213"/>
      <c r="M532" s="32" t="s">
        <v>40</v>
      </c>
      <c r="N532" s="32" t="s">
        <v>40</v>
      </c>
      <c r="P532" s="125">
        <f t="shared" si="164"/>
        <v>2300</v>
      </c>
      <c r="Q532" s="54" t="s">
        <v>655</v>
      </c>
      <c r="R532" s="48"/>
      <c r="S532" s="49"/>
      <c r="T532" s="50">
        <f t="shared" si="179"/>
        <v>0</v>
      </c>
      <c r="V532" s="51">
        <v>2300</v>
      </c>
      <c r="W532" s="51"/>
      <c r="X532" s="51"/>
      <c r="Y532" s="51"/>
      <c r="Z532" s="51"/>
      <c r="AA532" s="51"/>
      <c r="AB532" s="51"/>
      <c r="AC532" s="51"/>
      <c r="AD532" s="51"/>
      <c r="AE532" s="51"/>
      <c r="AF532" s="51"/>
      <c r="AG532" s="51"/>
      <c r="AH532" s="51"/>
      <c r="AI532" s="51"/>
      <c r="AJ532" s="51"/>
      <c r="AK532" s="51"/>
      <c r="AL532" s="51"/>
      <c r="AM532" s="51"/>
      <c r="AN532" s="51"/>
      <c r="AO532" s="51"/>
      <c r="AP532" s="51"/>
      <c r="AQ532" s="51"/>
      <c r="AR532" s="51"/>
      <c r="AS532" s="51"/>
      <c r="AT532" s="51"/>
      <c r="AU532" s="51"/>
      <c r="AV532" s="51"/>
      <c r="AW532" s="51"/>
      <c r="AX532" s="51"/>
      <c r="AY532" s="51"/>
      <c r="AZ532" s="51"/>
      <c r="BA532" s="51"/>
      <c r="BB532" s="51"/>
      <c r="BC532" s="51"/>
      <c r="BD532" s="51"/>
      <c r="BE532" s="51"/>
      <c r="BF532" s="51"/>
      <c r="BG532" s="51"/>
      <c r="BH532" s="51"/>
      <c r="BI532" s="51"/>
      <c r="BJ532" s="51"/>
      <c r="BK532" s="51"/>
      <c r="BL532" s="51"/>
      <c r="BM532" s="51"/>
      <c r="BN532" s="51"/>
      <c r="BO532" s="51"/>
      <c r="BP532" s="51"/>
      <c r="BQ532" s="51"/>
      <c r="BT532" s="53"/>
      <c r="BU532" s="25"/>
    </row>
    <row r="533" spans="2:73" ht="12.75" customHeight="1" x14ac:dyDescent="0.25">
      <c r="B533" s="144"/>
      <c r="C533" s="209" t="str">
        <f>HYPERLINK("https://sites.wustl.edu/meteoritesite/items/lm_nwa_15603/",Q533)</f>
        <v>Northwest Africa 15605</v>
      </c>
      <c r="D533" s="210"/>
      <c r="E533" s="210"/>
      <c r="F533" s="211"/>
      <c r="G533" s="89">
        <v>2022</v>
      </c>
      <c r="H533" s="214" t="s">
        <v>396</v>
      </c>
      <c r="I533" s="215"/>
      <c r="J533" s="145">
        <v>1000</v>
      </c>
      <c r="K533" s="212" t="s">
        <v>39</v>
      </c>
      <c r="L533" s="213"/>
      <c r="M533" s="32" t="s">
        <v>40</v>
      </c>
      <c r="N533" s="32" t="s">
        <v>40</v>
      </c>
      <c r="P533" s="125">
        <f t="shared" si="164"/>
        <v>1000</v>
      </c>
      <c r="Q533" s="54" t="s">
        <v>656</v>
      </c>
      <c r="R533" s="48"/>
      <c r="S533" s="49"/>
      <c r="T533" s="50">
        <f t="shared" si="179"/>
        <v>0</v>
      </c>
      <c r="V533" s="51">
        <v>1000</v>
      </c>
      <c r="W533" s="51"/>
      <c r="X533" s="51"/>
      <c r="Y533" s="51"/>
      <c r="Z533" s="51"/>
      <c r="AA533" s="51"/>
      <c r="AB533" s="51"/>
      <c r="AC533" s="51"/>
      <c r="AD533" s="51"/>
      <c r="AE533" s="51"/>
      <c r="AF533" s="51"/>
      <c r="AG533" s="51"/>
      <c r="AH533" s="51"/>
      <c r="AI533" s="51"/>
      <c r="AJ533" s="51"/>
      <c r="AK533" s="51"/>
      <c r="AL533" s="51"/>
      <c r="AM533" s="51"/>
      <c r="AN533" s="51"/>
      <c r="AO533" s="51"/>
      <c r="AP533" s="51"/>
      <c r="AQ533" s="51"/>
      <c r="AR533" s="51"/>
      <c r="AS533" s="51"/>
      <c r="AT533" s="51"/>
      <c r="AU533" s="51"/>
      <c r="AV533" s="51"/>
      <c r="AW533" s="51"/>
      <c r="AX533" s="51"/>
      <c r="AY533" s="51"/>
      <c r="AZ533" s="51"/>
      <c r="BA533" s="51"/>
      <c r="BB533" s="51"/>
      <c r="BC533" s="51"/>
      <c r="BD533" s="51"/>
      <c r="BE533" s="51"/>
      <c r="BF533" s="51"/>
      <c r="BG533" s="51"/>
      <c r="BH533" s="51"/>
      <c r="BI533" s="51"/>
      <c r="BJ533" s="51"/>
      <c r="BK533" s="51"/>
      <c r="BL533" s="51"/>
      <c r="BM533" s="51"/>
      <c r="BN533" s="51"/>
      <c r="BO533" s="51"/>
      <c r="BP533" s="51"/>
      <c r="BQ533" s="51"/>
      <c r="BT533" s="53"/>
      <c r="BU533" s="25"/>
    </row>
    <row r="534" spans="2:73" ht="12.75" customHeight="1" x14ac:dyDescent="0.25">
      <c r="B534" s="144"/>
      <c r="C534" s="209" t="str">
        <f>HYPERLINK("https://sites.wustl.edu/meteoritesite/items/lm_nwa_15603/",Q534)</f>
        <v>Northwest Africa 15612</v>
      </c>
      <c r="D534" s="210"/>
      <c r="E534" s="210"/>
      <c r="F534" s="211"/>
      <c r="G534" s="89">
        <v>2022</v>
      </c>
      <c r="H534" s="214" t="s">
        <v>396</v>
      </c>
      <c r="I534" s="215"/>
      <c r="J534" s="145">
        <v>90</v>
      </c>
      <c r="K534" s="212" t="s">
        <v>39</v>
      </c>
      <c r="L534" s="213"/>
      <c r="M534" s="32" t="s">
        <v>40</v>
      </c>
      <c r="N534" s="32" t="s">
        <v>40</v>
      </c>
      <c r="P534" s="125">
        <f t="shared" si="164"/>
        <v>90</v>
      </c>
      <c r="Q534" s="54" t="s">
        <v>653</v>
      </c>
      <c r="R534" s="48"/>
      <c r="S534" s="49"/>
      <c r="T534" s="50">
        <f t="shared" si="179"/>
        <v>0</v>
      </c>
      <c r="V534" s="51">
        <v>90</v>
      </c>
      <c r="W534" s="51"/>
      <c r="X534" s="51"/>
      <c r="Y534" s="51"/>
      <c r="Z534" s="51"/>
      <c r="AA534" s="51"/>
      <c r="AB534" s="51"/>
      <c r="AC534" s="51"/>
      <c r="AD534" s="51"/>
      <c r="AE534" s="51"/>
      <c r="AF534" s="51"/>
      <c r="AG534" s="51"/>
      <c r="AH534" s="51"/>
      <c r="AI534" s="51"/>
      <c r="AJ534" s="51"/>
      <c r="AK534" s="51"/>
      <c r="AL534" s="51"/>
      <c r="AM534" s="51"/>
      <c r="AN534" s="51"/>
      <c r="AO534" s="51"/>
      <c r="AP534" s="51"/>
      <c r="AQ534" s="51"/>
      <c r="AR534" s="51"/>
      <c r="AS534" s="51"/>
      <c r="AT534" s="51"/>
      <c r="AU534" s="51"/>
      <c r="AV534" s="51"/>
      <c r="AW534" s="51"/>
      <c r="AX534" s="51"/>
      <c r="AY534" s="51"/>
      <c r="AZ534" s="51"/>
      <c r="BA534" s="51"/>
      <c r="BB534" s="51"/>
      <c r="BC534" s="51"/>
      <c r="BD534" s="51"/>
      <c r="BE534" s="51"/>
      <c r="BF534" s="51"/>
      <c r="BG534" s="51"/>
      <c r="BH534" s="51"/>
      <c r="BI534" s="51"/>
      <c r="BJ534" s="51"/>
      <c r="BK534" s="51"/>
      <c r="BL534" s="51"/>
      <c r="BM534" s="51"/>
      <c r="BN534" s="51"/>
      <c r="BO534" s="51"/>
      <c r="BP534" s="51"/>
      <c r="BQ534" s="51"/>
      <c r="BT534" s="53"/>
      <c r="BU534" s="25"/>
    </row>
    <row r="535" spans="2:73" ht="12.75" customHeight="1" x14ac:dyDescent="0.25">
      <c r="B535" s="144"/>
      <c r="C535" s="209" t="str">
        <f>HYPERLINK("https://sites.wustl.edu/meteoritesite/items/lm_nwa_15629/",Q535)</f>
        <v>Northwest Africa 15629</v>
      </c>
      <c r="D535" s="210"/>
      <c r="E535" s="210"/>
      <c r="F535" s="211"/>
      <c r="G535" s="89">
        <v>2022</v>
      </c>
      <c r="H535" s="214" t="s">
        <v>396</v>
      </c>
      <c r="I535" s="215"/>
      <c r="J535" s="145">
        <v>3400</v>
      </c>
      <c r="K535" s="212" t="s">
        <v>39</v>
      </c>
      <c r="L535" s="213"/>
      <c r="M535" s="32" t="s">
        <v>40</v>
      </c>
      <c r="N535" s="32" t="s">
        <v>40</v>
      </c>
      <c r="P535" s="125">
        <f t="shared" ref="P535" si="192">SUM(V535:BQ535)</f>
        <v>3400</v>
      </c>
      <c r="Q535" s="54" t="s">
        <v>745</v>
      </c>
      <c r="R535" s="48"/>
      <c r="S535" s="49"/>
      <c r="T535" s="50">
        <f t="shared" ref="T535" si="193">J535-P535</f>
        <v>0</v>
      </c>
      <c r="V535" s="51">
        <v>3400</v>
      </c>
      <c r="W535" s="51"/>
      <c r="X535" s="51"/>
      <c r="Y535" s="51"/>
      <c r="Z535" s="51"/>
      <c r="AA535" s="51"/>
      <c r="AB535" s="51"/>
      <c r="AC535" s="51"/>
      <c r="AD535" s="51"/>
      <c r="AE535" s="51"/>
      <c r="AF535" s="51"/>
      <c r="AG535" s="51"/>
      <c r="AH535" s="51"/>
      <c r="AI535" s="51"/>
      <c r="AJ535" s="51"/>
      <c r="AK535" s="51"/>
      <c r="AL535" s="51"/>
      <c r="AM535" s="51"/>
      <c r="AN535" s="51"/>
      <c r="AO535" s="51"/>
      <c r="AP535" s="51"/>
      <c r="AQ535" s="51"/>
      <c r="AR535" s="51"/>
      <c r="AS535" s="51"/>
      <c r="AT535" s="51"/>
      <c r="AU535" s="51"/>
      <c r="AV535" s="51"/>
      <c r="AW535" s="51"/>
      <c r="AX535" s="51"/>
      <c r="AY535" s="51"/>
      <c r="AZ535" s="51"/>
      <c r="BA535" s="51"/>
      <c r="BB535" s="51"/>
      <c r="BC535" s="51"/>
      <c r="BD535" s="51"/>
      <c r="BE535" s="51"/>
      <c r="BF535" s="51"/>
      <c r="BG535" s="51"/>
      <c r="BH535" s="51"/>
      <c r="BI535" s="51"/>
      <c r="BJ535" s="51"/>
      <c r="BK535" s="51"/>
      <c r="BL535" s="51"/>
      <c r="BM535" s="51"/>
      <c r="BN535" s="51"/>
      <c r="BO535" s="51"/>
      <c r="BP535" s="51"/>
      <c r="BQ535" s="51"/>
      <c r="BT535" s="53"/>
      <c r="BU535" s="25"/>
    </row>
    <row r="536" spans="2:73" ht="12.75" customHeight="1" x14ac:dyDescent="0.25">
      <c r="B536" s="144"/>
      <c r="C536" s="209" t="str">
        <f>HYPERLINK("https://sites.wustl.edu/meteoritesite/items/lm_nwa_15655/",Q536)</f>
        <v>Northwest Africa 15655</v>
      </c>
      <c r="D536" s="210"/>
      <c r="E536" s="210"/>
      <c r="F536" s="211"/>
      <c r="G536" s="89">
        <v>2022</v>
      </c>
      <c r="H536" s="214" t="s">
        <v>396</v>
      </c>
      <c r="I536" s="215"/>
      <c r="J536" s="146">
        <v>446.5</v>
      </c>
      <c r="K536" s="212" t="s">
        <v>39</v>
      </c>
      <c r="L536" s="213"/>
      <c r="M536" s="32" t="s">
        <v>40</v>
      </c>
      <c r="N536" s="32" t="s">
        <v>40</v>
      </c>
      <c r="P536" s="125">
        <f t="shared" si="164"/>
        <v>446.5</v>
      </c>
      <c r="Q536" s="54" t="s">
        <v>650</v>
      </c>
      <c r="R536" s="48"/>
      <c r="S536" s="49"/>
      <c r="T536" s="50">
        <f t="shared" si="179"/>
        <v>0</v>
      </c>
      <c r="V536" s="51">
        <v>446.5</v>
      </c>
      <c r="W536" s="51"/>
      <c r="X536" s="51"/>
      <c r="Y536" s="51"/>
      <c r="Z536" s="51"/>
      <c r="AA536" s="51"/>
      <c r="AB536" s="51"/>
      <c r="AC536" s="51"/>
      <c r="AD536" s="51"/>
      <c r="AE536" s="51"/>
      <c r="AF536" s="51"/>
      <c r="AG536" s="51"/>
      <c r="AH536" s="51"/>
      <c r="AI536" s="51"/>
      <c r="AJ536" s="51"/>
      <c r="AK536" s="51"/>
      <c r="AL536" s="51"/>
      <c r="AM536" s="51"/>
      <c r="AN536" s="51"/>
      <c r="AO536" s="51"/>
      <c r="AP536" s="51"/>
      <c r="AQ536" s="51"/>
      <c r="AR536" s="51"/>
      <c r="AS536" s="51"/>
      <c r="AT536" s="51"/>
      <c r="AU536" s="51"/>
      <c r="AV536" s="51"/>
      <c r="AW536" s="51"/>
      <c r="AX536" s="51"/>
      <c r="AY536" s="51"/>
      <c r="AZ536" s="51"/>
      <c r="BA536" s="51"/>
      <c r="BB536" s="51"/>
      <c r="BC536" s="51"/>
      <c r="BD536" s="51"/>
      <c r="BE536" s="51"/>
      <c r="BF536" s="51"/>
      <c r="BG536" s="51"/>
      <c r="BH536" s="51"/>
      <c r="BI536" s="51"/>
      <c r="BJ536" s="51"/>
      <c r="BK536" s="51"/>
      <c r="BL536" s="51"/>
      <c r="BM536" s="51"/>
      <c r="BN536" s="51"/>
      <c r="BO536" s="51"/>
      <c r="BP536" s="51"/>
      <c r="BQ536" s="51"/>
      <c r="BR536" s="9">
        <f t="shared" si="191"/>
        <v>1</v>
      </c>
      <c r="BT536" s="53"/>
      <c r="BU536" s="25"/>
    </row>
    <row r="537" spans="2:73" ht="12.75" customHeight="1" x14ac:dyDescent="0.25">
      <c r="B537" s="144"/>
      <c r="C537" s="209" t="str">
        <f>HYPERLINK("https://sites.wustl.edu/meteoritesite/items/lm_nwa_15686/",Q537)</f>
        <v>Northwest Africa 15686</v>
      </c>
      <c r="D537" s="210"/>
      <c r="E537" s="210"/>
      <c r="F537" s="211"/>
      <c r="G537" s="89">
        <v>2022</v>
      </c>
      <c r="H537" s="214" t="s">
        <v>38</v>
      </c>
      <c r="I537" s="215"/>
      <c r="J537" s="146">
        <v>80.2</v>
      </c>
      <c r="K537" s="212" t="s">
        <v>39</v>
      </c>
      <c r="L537" s="213"/>
      <c r="M537" s="32" t="s">
        <v>40</v>
      </c>
      <c r="N537" s="32" t="s">
        <v>40</v>
      </c>
      <c r="P537" s="125">
        <f t="shared" si="164"/>
        <v>80.2</v>
      </c>
      <c r="Q537" s="54" t="s">
        <v>671</v>
      </c>
      <c r="R537" s="48"/>
      <c r="S537" s="49"/>
      <c r="T537" s="50">
        <f t="shared" si="179"/>
        <v>0</v>
      </c>
      <c r="V537" s="51">
        <v>80.2</v>
      </c>
      <c r="W537" s="51"/>
      <c r="X537" s="51"/>
      <c r="Y537" s="51"/>
      <c r="Z537" s="51"/>
      <c r="AA537" s="51"/>
      <c r="AB537" s="51"/>
      <c r="AC537" s="51"/>
      <c r="AD537" s="51"/>
      <c r="AE537" s="51"/>
      <c r="AF537" s="51"/>
      <c r="AG537" s="51"/>
      <c r="AH537" s="51"/>
      <c r="AI537" s="51"/>
      <c r="AJ537" s="51"/>
      <c r="AK537" s="51"/>
      <c r="AL537" s="51"/>
      <c r="AM537" s="51"/>
      <c r="AN537" s="51"/>
      <c r="AO537" s="51"/>
      <c r="AP537" s="51"/>
      <c r="AQ537" s="51"/>
      <c r="AR537" s="51"/>
      <c r="AS537" s="51"/>
      <c r="AT537" s="51"/>
      <c r="AU537" s="51"/>
      <c r="AV537" s="51"/>
      <c r="AW537" s="51"/>
      <c r="AX537" s="51"/>
      <c r="AY537" s="51"/>
      <c r="AZ537" s="51"/>
      <c r="BA537" s="51"/>
      <c r="BB537" s="51"/>
      <c r="BC537" s="51"/>
      <c r="BD537" s="51"/>
      <c r="BE537" s="51"/>
      <c r="BF537" s="51"/>
      <c r="BG537" s="51"/>
      <c r="BH537" s="51"/>
      <c r="BI537" s="51"/>
      <c r="BJ537" s="51"/>
      <c r="BK537" s="51"/>
      <c r="BL537" s="51"/>
      <c r="BM537" s="51"/>
      <c r="BN537" s="51"/>
      <c r="BO537" s="51"/>
      <c r="BP537" s="51"/>
      <c r="BQ537" s="51"/>
      <c r="BT537" s="53"/>
      <c r="BU537" s="25"/>
    </row>
    <row r="538" spans="2:73" ht="12.75" customHeight="1" x14ac:dyDescent="0.25">
      <c r="B538" s="144"/>
      <c r="C538" s="209" t="str">
        <f>HYPERLINK("https://sites.wustl.edu/meteoritesite/items/lm_nwa_15714/",Q538)</f>
        <v>Northwest Africa 15714</v>
      </c>
      <c r="D538" s="210"/>
      <c r="E538" s="210"/>
      <c r="F538" s="211"/>
      <c r="G538" s="89">
        <v>2022</v>
      </c>
      <c r="H538" s="214" t="s">
        <v>38</v>
      </c>
      <c r="I538" s="215"/>
      <c r="J538" s="145">
        <v>33</v>
      </c>
      <c r="K538" s="212" t="s">
        <v>39</v>
      </c>
      <c r="L538" s="213"/>
      <c r="M538" s="32" t="s">
        <v>40</v>
      </c>
      <c r="N538" s="32" t="s">
        <v>40</v>
      </c>
      <c r="P538" s="125">
        <f t="shared" si="164"/>
        <v>33</v>
      </c>
      <c r="Q538" s="54" t="s">
        <v>652</v>
      </c>
      <c r="R538" s="48"/>
      <c r="S538" s="49"/>
      <c r="T538" s="50">
        <f t="shared" si="179"/>
        <v>0</v>
      </c>
      <c r="V538" s="51">
        <v>33</v>
      </c>
      <c r="W538" s="51"/>
      <c r="X538" s="51"/>
      <c r="Y538" s="51"/>
      <c r="Z538" s="51"/>
      <c r="AA538" s="51"/>
      <c r="AB538" s="51"/>
      <c r="AC538" s="51"/>
      <c r="AD538" s="51"/>
      <c r="AE538" s="51"/>
      <c r="AF538" s="51"/>
      <c r="AG538" s="51"/>
      <c r="AH538" s="51"/>
      <c r="AI538" s="51"/>
      <c r="AJ538" s="51"/>
      <c r="AK538" s="51"/>
      <c r="AL538" s="51"/>
      <c r="AM538" s="51"/>
      <c r="AN538" s="51"/>
      <c r="AO538" s="51"/>
      <c r="AP538" s="51"/>
      <c r="AQ538" s="51"/>
      <c r="AR538" s="51"/>
      <c r="AS538" s="51"/>
      <c r="AT538" s="51"/>
      <c r="AU538" s="51"/>
      <c r="AV538" s="51"/>
      <c r="AW538" s="51"/>
      <c r="AX538" s="51"/>
      <c r="AY538" s="51"/>
      <c r="AZ538" s="51"/>
      <c r="BA538" s="51"/>
      <c r="BB538" s="51"/>
      <c r="BC538" s="51"/>
      <c r="BD538" s="51"/>
      <c r="BE538" s="51"/>
      <c r="BF538" s="51"/>
      <c r="BG538" s="51"/>
      <c r="BH538" s="51"/>
      <c r="BI538" s="51"/>
      <c r="BJ538" s="51"/>
      <c r="BK538" s="51"/>
      <c r="BL538" s="51"/>
      <c r="BM538" s="51"/>
      <c r="BN538" s="51"/>
      <c r="BO538" s="51"/>
      <c r="BP538" s="51"/>
      <c r="BQ538" s="51"/>
      <c r="BT538" s="53"/>
      <c r="BU538" s="25"/>
    </row>
    <row r="539" spans="2:73" ht="12.75" customHeight="1" x14ac:dyDescent="0.25">
      <c r="B539" s="144"/>
      <c r="C539" s="209" t="str">
        <f>HYPERLINK("https://sites.wustl.edu/meteoritesite/items/lm_nwa_15782/",Q539)</f>
        <v>Northwest Africa 15782</v>
      </c>
      <c r="D539" s="210"/>
      <c r="E539" s="210"/>
      <c r="F539" s="211"/>
      <c r="G539" s="89">
        <v>2022</v>
      </c>
      <c r="H539" s="214" t="s">
        <v>396</v>
      </c>
      <c r="I539" s="215"/>
      <c r="J539" s="145">
        <v>276</v>
      </c>
      <c r="K539" s="212" t="s">
        <v>39</v>
      </c>
      <c r="L539" s="213"/>
      <c r="M539" s="32" t="s">
        <v>40</v>
      </c>
      <c r="N539" s="32" t="s">
        <v>40</v>
      </c>
      <c r="P539" s="125">
        <f t="shared" si="164"/>
        <v>276</v>
      </c>
      <c r="Q539" s="54" t="s">
        <v>672</v>
      </c>
      <c r="R539" s="48"/>
      <c r="S539" s="49"/>
      <c r="T539" s="50">
        <f t="shared" si="179"/>
        <v>0</v>
      </c>
      <c r="V539" s="51">
        <v>276</v>
      </c>
      <c r="W539" s="51"/>
      <c r="X539" s="51"/>
      <c r="Y539" s="51"/>
      <c r="Z539" s="51"/>
      <c r="AA539" s="51"/>
      <c r="AB539" s="51"/>
      <c r="AC539" s="51"/>
      <c r="AD539" s="51"/>
      <c r="AE539" s="51"/>
      <c r="AF539" s="51"/>
      <c r="AG539" s="51"/>
      <c r="AH539" s="51"/>
      <c r="AI539" s="51"/>
      <c r="AJ539" s="51"/>
      <c r="AK539" s="51"/>
      <c r="AL539" s="51"/>
      <c r="AM539" s="51"/>
      <c r="AN539" s="51"/>
      <c r="AO539" s="51"/>
      <c r="AP539" s="51"/>
      <c r="AQ539" s="51"/>
      <c r="AR539" s="51"/>
      <c r="AS539" s="51"/>
      <c r="AT539" s="51"/>
      <c r="AU539" s="51"/>
      <c r="AV539" s="51"/>
      <c r="AW539" s="51"/>
      <c r="AX539" s="51"/>
      <c r="AY539" s="51"/>
      <c r="AZ539" s="51"/>
      <c r="BA539" s="51"/>
      <c r="BB539" s="51"/>
      <c r="BC539" s="51"/>
      <c r="BD539" s="51"/>
      <c r="BE539" s="51"/>
      <c r="BF539" s="51"/>
      <c r="BG539" s="51"/>
      <c r="BH539" s="51"/>
      <c r="BI539" s="51"/>
      <c r="BJ539" s="51"/>
      <c r="BK539" s="51"/>
      <c r="BL539" s="51"/>
      <c r="BM539" s="51"/>
      <c r="BN539" s="51"/>
      <c r="BO539" s="51"/>
      <c r="BP539" s="51"/>
      <c r="BQ539" s="51"/>
      <c r="BT539" s="53"/>
      <c r="BU539" s="25"/>
    </row>
    <row r="540" spans="2:73" ht="12.75" customHeight="1" x14ac:dyDescent="0.25">
      <c r="B540" s="144"/>
      <c r="C540" s="209" t="str">
        <f>HYPERLINK("https://sites.wustl.edu/meteoritesite/items/lm_nwa_15800/",Q540)</f>
        <v>Northwest Africa 15800</v>
      </c>
      <c r="D540" s="210"/>
      <c r="E540" s="210"/>
      <c r="F540" s="211"/>
      <c r="G540" s="89">
        <v>2023</v>
      </c>
      <c r="H540" s="214" t="s">
        <v>396</v>
      </c>
      <c r="I540" s="215"/>
      <c r="J540" s="145">
        <v>23</v>
      </c>
      <c r="K540" s="212" t="s">
        <v>39</v>
      </c>
      <c r="L540" s="213"/>
      <c r="M540" s="32" t="s">
        <v>40</v>
      </c>
      <c r="N540" s="32" t="s">
        <v>40</v>
      </c>
      <c r="P540" s="125">
        <f t="shared" si="164"/>
        <v>23</v>
      </c>
      <c r="Q540" s="54" t="s">
        <v>673</v>
      </c>
      <c r="R540" s="48"/>
      <c r="S540" s="49"/>
      <c r="T540" s="50">
        <f t="shared" si="179"/>
        <v>0</v>
      </c>
      <c r="V540" s="51">
        <v>23</v>
      </c>
      <c r="W540" s="51"/>
      <c r="X540" s="51"/>
      <c r="Y540" s="51"/>
      <c r="Z540" s="51"/>
      <c r="AA540" s="51"/>
      <c r="AB540" s="51"/>
      <c r="AC540" s="51"/>
      <c r="AD540" s="51"/>
      <c r="AE540" s="51"/>
      <c r="AF540" s="51"/>
      <c r="AG540" s="51"/>
      <c r="AH540" s="51"/>
      <c r="AI540" s="51"/>
      <c r="AJ540" s="51"/>
      <c r="AK540" s="51"/>
      <c r="AL540" s="51"/>
      <c r="AM540" s="51"/>
      <c r="AN540" s="51"/>
      <c r="AO540" s="51"/>
      <c r="AP540" s="51"/>
      <c r="AQ540" s="51"/>
      <c r="AR540" s="51"/>
      <c r="AS540" s="51"/>
      <c r="AT540" s="51"/>
      <c r="AU540" s="51"/>
      <c r="AV540" s="51"/>
      <c r="AW540" s="51"/>
      <c r="AX540" s="51"/>
      <c r="AY540" s="51"/>
      <c r="AZ540" s="51"/>
      <c r="BA540" s="51"/>
      <c r="BB540" s="51"/>
      <c r="BC540" s="51"/>
      <c r="BD540" s="51"/>
      <c r="BE540" s="51"/>
      <c r="BF540" s="51"/>
      <c r="BG540" s="51"/>
      <c r="BH540" s="51"/>
      <c r="BI540" s="51"/>
      <c r="BJ540" s="51"/>
      <c r="BK540" s="51"/>
      <c r="BL540" s="51"/>
      <c r="BM540" s="51"/>
      <c r="BN540" s="51"/>
      <c r="BO540" s="51"/>
      <c r="BP540" s="51"/>
      <c r="BQ540" s="51"/>
      <c r="BT540" s="53"/>
      <c r="BU540" s="25"/>
    </row>
    <row r="541" spans="2:73" ht="12.75" customHeight="1" x14ac:dyDescent="0.25">
      <c r="B541" s="144"/>
      <c r="C541" s="209" t="str">
        <f>HYPERLINK("https://sites.wustl.edu/meteoritesite/items/lm_nwa_15806/",Q541)</f>
        <v>Northwest Africa 15806</v>
      </c>
      <c r="D541" s="210"/>
      <c r="E541" s="210"/>
      <c r="F541" s="211"/>
      <c r="G541" s="89">
        <v>2021</v>
      </c>
      <c r="H541" s="214" t="s">
        <v>38</v>
      </c>
      <c r="I541" s="215"/>
      <c r="J541" s="145">
        <v>2320</v>
      </c>
      <c r="K541" s="212" t="s">
        <v>35</v>
      </c>
      <c r="L541" s="213"/>
      <c r="M541" s="32" t="s">
        <v>40</v>
      </c>
      <c r="N541" s="32" t="s">
        <v>40</v>
      </c>
      <c r="P541" s="125">
        <f t="shared" ref="P541" si="194">SUM(V541:BQ541)</f>
        <v>2320</v>
      </c>
      <c r="Q541" s="54" t="s">
        <v>677</v>
      </c>
      <c r="R541" s="48"/>
      <c r="S541" s="49"/>
      <c r="T541" s="50">
        <f t="shared" ref="T541" si="195">J541-P541</f>
        <v>0</v>
      </c>
      <c r="V541" s="51">
        <v>2320</v>
      </c>
      <c r="W541" s="51"/>
      <c r="X541" s="51"/>
      <c r="Y541" s="51"/>
      <c r="Z541" s="51"/>
      <c r="AA541" s="51"/>
      <c r="AB541" s="51"/>
      <c r="AC541" s="51"/>
      <c r="AD541" s="51"/>
      <c r="AE541" s="51"/>
      <c r="AF541" s="51"/>
      <c r="AG541" s="51"/>
      <c r="AH541" s="51"/>
      <c r="AI541" s="51"/>
      <c r="AJ541" s="51"/>
      <c r="AK541" s="51"/>
      <c r="AL541" s="51"/>
      <c r="AM541" s="51"/>
      <c r="AN541" s="51"/>
      <c r="AO541" s="51"/>
      <c r="AP541" s="51"/>
      <c r="AQ541" s="51"/>
      <c r="AR541" s="51"/>
      <c r="AS541" s="51"/>
      <c r="AT541" s="51"/>
      <c r="AU541" s="51"/>
      <c r="AV541" s="51"/>
      <c r="AW541" s="51"/>
      <c r="AX541" s="51"/>
      <c r="AY541" s="51"/>
      <c r="AZ541" s="51"/>
      <c r="BA541" s="51"/>
      <c r="BB541" s="51"/>
      <c r="BC541" s="51"/>
      <c r="BD541" s="51"/>
      <c r="BE541" s="51"/>
      <c r="BF541" s="51"/>
      <c r="BG541" s="51"/>
      <c r="BH541" s="51"/>
      <c r="BI541" s="51"/>
      <c r="BJ541" s="51"/>
      <c r="BK541" s="51"/>
      <c r="BL541" s="51"/>
      <c r="BM541" s="51"/>
      <c r="BN541" s="51"/>
      <c r="BO541" s="51"/>
      <c r="BP541" s="51"/>
      <c r="BQ541" s="51"/>
      <c r="BT541" s="53"/>
      <c r="BU541" s="25"/>
    </row>
    <row r="542" spans="2:73" ht="12.75" customHeight="1" x14ac:dyDescent="0.25">
      <c r="B542" s="144"/>
      <c r="C542" s="209" t="str">
        <f>HYPERLINK("https://sites.wustl.edu/meteoritesite/items/lm_nwa_15807/",Q542)</f>
        <v>Northwest Africa 15807</v>
      </c>
      <c r="D542" s="210"/>
      <c r="E542" s="210"/>
      <c r="F542" s="211"/>
      <c r="G542" s="89">
        <v>2021</v>
      </c>
      <c r="H542" s="236" t="s">
        <v>41</v>
      </c>
      <c r="I542" s="237"/>
      <c r="J542" s="145">
        <v>3610</v>
      </c>
      <c r="K542" s="212" t="s">
        <v>66</v>
      </c>
      <c r="L542" s="213"/>
      <c r="M542" s="32" t="s">
        <v>40</v>
      </c>
      <c r="N542" s="32" t="s">
        <v>40</v>
      </c>
      <c r="P542" s="125">
        <f t="shared" ref="P542" si="196">SUM(V542:BQ542)</f>
        <v>3610</v>
      </c>
      <c r="Q542" s="54" t="s">
        <v>689</v>
      </c>
      <c r="R542" s="48"/>
      <c r="S542" s="49"/>
      <c r="T542" s="50">
        <f t="shared" ref="T542:T543" si="197">J542-P542</f>
        <v>0</v>
      </c>
      <c r="V542" s="51">
        <v>3610</v>
      </c>
      <c r="W542" s="51"/>
      <c r="X542" s="51"/>
      <c r="Y542" s="51"/>
      <c r="Z542" s="51"/>
      <c r="AA542" s="51"/>
      <c r="AB542" s="51"/>
      <c r="AC542" s="51"/>
      <c r="AD542" s="51"/>
      <c r="AE542" s="51"/>
      <c r="AF542" s="51"/>
      <c r="AG542" s="51"/>
      <c r="AH542" s="51"/>
      <c r="AI542" s="51"/>
      <c r="AJ542" s="51"/>
      <c r="AK542" s="51"/>
      <c r="AL542" s="51"/>
      <c r="AM542" s="51"/>
      <c r="AN542" s="51"/>
      <c r="AO542" s="51"/>
      <c r="AP542" s="51"/>
      <c r="AQ542" s="51"/>
      <c r="AR542" s="51"/>
      <c r="AS542" s="51"/>
      <c r="AT542" s="51"/>
      <c r="AU542" s="51"/>
      <c r="AV542" s="51"/>
      <c r="AW542" s="51"/>
      <c r="AX542" s="51"/>
      <c r="AY542" s="51"/>
      <c r="AZ542" s="51"/>
      <c r="BA542" s="51"/>
      <c r="BB542" s="51"/>
      <c r="BC542" s="51"/>
      <c r="BD542" s="51"/>
      <c r="BE542" s="51"/>
      <c r="BF542" s="51"/>
      <c r="BG542" s="51"/>
      <c r="BH542" s="51"/>
      <c r="BI542" s="51"/>
      <c r="BJ542" s="51"/>
      <c r="BK542" s="51"/>
      <c r="BL542" s="51"/>
      <c r="BM542" s="51"/>
      <c r="BN542" s="51"/>
      <c r="BO542" s="51"/>
      <c r="BP542" s="51"/>
      <c r="BQ542" s="51"/>
      <c r="BT542" s="53"/>
      <c r="BU542" s="25"/>
    </row>
    <row r="543" spans="2:73" ht="12.75" customHeight="1" x14ac:dyDescent="0.25">
      <c r="B543" s="144"/>
      <c r="C543" s="209" t="str">
        <f>HYPERLINK("https://sites.wustl.edu/meteoritesite/items/lm_nwa_15859/",Q543)</f>
        <v>Northwest Africa 15859</v>
      </c>
      <c r="D543" s="210"/>
      <c r="E543" s="210"/>
      <c r="F543" s="211"/>
      <c r="G543" s="89">
        <v>2021</v>
      </c>
      <c r="H543" s="214" t="s">
        <v>38</v>
      </c>
      <c r="I543" s="215"/>
      <c r="J543" s="146">
        <v>25.4</v>
      </c>
      <c r="K543" s="212" t="s">
        <v>66</v>
      </c>
      <c r="L543" s="213"/>
      <c r="M543" s="32" t="s">
        <v>40</v>
      </c>
      <c r="N543" s="32" t="s">
        <v>40</v>
      </c>
      <c r="P543" s="125">
        <v>25.4</v>
      </c>
      <c r="Q543" s="54" t="s">
        <v>694</v>
      </c>
      <c r="R543" s="48"/>
      <c r="S543" s="49"/>
      <c r="T543" s="50">
        <f t="shared" si="197"/>
        <v>0</v>
      </c>
      <c r="V543" s="51">
        <v>25.4</v>
      </c>
      <c r="W543" s="51"/>
      <c r="X543" s="51"/>
      <c r="Y543" s="51"/>
      <c r="Z543" s="51"/>
      <c r="AA543" s="51"/>
      <c r="AB543" s="51"/>
      <c r="AC543" s="51"/>
      <c r="AD543" s="51"/>
      <c r="AE543" s="51"/>
      <c r="AF543" s="51"/>
      <c r="AG543" s="51"/>
      <c r="AH543" s="51"/>
      <c r="AI543" s="51"/>
      <c r="AJ543" s="51"/>
      <c r="AK543" s="51"/>
      <c r="AL543" s="51"/>
      <c r="AM543" s="51"/>
      <c r="AN543" s="51"/>
      <c r="AO543" s="51"/>
      <c r="AP543" s="51"/>
      <c r="AQ543" s="51"/>
      <c r="AR543" s="51"/>
      <c r="AS543" s="51"/>
      <c r="AT543" s="51"/>
      <c r="AU543" s="51"/>
      <c r="AV543" s="51"/>
      <c r="AW543" s="51"/>
      <c r="AX543" s="51"/>
      <c r="AY543" s="51"/>
      <c r="AZ543" s="51"/>
      <c r="BA543" s="51"/>
      <c r="BB543" s="51"/>
      <c r="BC543" s="51"/>
      <c r="BD543" s="51"/>
      <c r="BE543" s="51"/>
      <c r="BF543" s="51"/>
      <c r="BG543" s="51"/>
      <c r="BH543" s="51"/>
      <c r="BI543" s="51"/>
      <c r="BJ543" s="51"/>
      <c r="BK543" s="51"/>
      <c r="BL543" s="51"/>
      <c r="BM543" s="51"/>
      <c r="BN543" s="51"/>
      <c r="BO543" s="51"/>
      <c r="BP543" s="51"/>
      <c r="BQ543" s="51"/>
      <c r="BT543" s="53"/>
      <c r="BU543" s="25"/>
    </row>
    <row r="544" spans="2:73" ht="12.75" customHeight="1" x14ac:dyDescent="0.25">
      <c r="B544" s="144"/>
      <c r="C544" s="209" t="str">
        <f>HYPERLINK("https://sites.wustl.edu/meteoritesite/items/lm_nwa_15945/",Q544)</f>
        <v>Northwest Africa 15945</v>
      </c>
      <c r="D544" s="210"/>
      <c r="E544" s="210"/>
      <c r="F544" s="211"/>
      <c r="G544" s="89">
        <v>2022</v>
      </c>
      <c r="H544" s="214" t="s">
        <v>396</v>
      </c>
      <c r="I544" s="215"/>
      <c r="J544" s="145">
        <v>476</v>
      </c>
      <c r="K544" s="212" t="s">
        <v>51</v>
      </c>
      <c r="L544" s="213"/>
      <c r="M544" s="32" t="s">
        <v>40</v>
      </c>
      <c r="N544" s="32" t="s">
        <v>40</v>
      </c>
      <c r="P544" s="125">
        <f t="shared" ref="P544:P547" si="198">SUM(V544:BQ544)</f>
        <v>476</v>
      </c>
      <c r="Q544" s="54" t="s">
        <v>679</v>
      </c>
      <c r="R544" s="48"/>
      <c r="S544" s="49"/>
      <c r="T544" s="50">
        <f t="shared" ref="T544:T547" si="199">J544-P544</f>
        <v>0</v>
      </c>
      <c r="V544" s="51">
        <v>476</v>
      </c>
      <c r="W544" s="51"/>
      <c r="X544" s="51"/>
      <c r="Y544" s="51"/>
      <c r="Z544" s="51"/>
      <c r="AA544" s="51"/>
      <c r="AB544" s="51"/>
      <c r="AC544" s="51"/>
      <c r="AD544" s="51"/>
      <c r="AE544" s="51"/>
      <c r="AF544" s="51"/>
      <c r="AG544" s="51"/>
      <c r="AH544" s="51"/>
      <c r="AI544" s="51"/>
      <c r="AJ544" s="51"/>
      <c r="AK544" s="51"/>
      <c r="AL544" s="51"/>
      <c r="AM544" s="51"/>
      <c r="AN544" s="51"/>
      <c r="AO544" s="51"/>
      <c r="AP544" s="51"/>
      <c r="AQ544" s="51"/>
      <c r="AR544" s="51"/>
      <c r="AS544" s="51"/>
      <c r="AT544" s="51"/>
      <c r="AU544" s="51"/>
      <c r="AV544" s="51"/>
      <c r="AW544" s="51"/>
      <c r="AX544" s="51"/>
      <c r="AY544" s="51"/>
      <c r="AZ544" s="51"/>
      <c r="BA544" s="51"/>
      <c r="BB544" s="51"/>
      <c r="BC544" s="51"/>
      <c r="BD544" s="51"/>
      <c r="BE544" s="51"/>
      <c r="BF544" s="51"/>
      <c r="BG544" s="51"/>
      <c r="BH544" s="51"/>
      <c r="BI544" s="51"/>
      <c r="BJ544" s="51"/>
      <c r="BK544" s="51"/>
      <c r="BL544" s="51"/>
      <c r="BM544" s="51"/>
      <c r="BN544" s="51"/>
      <c r="BO544" s="51"/>
      <c r="BP544" s="51"/>
      <c r="BQ544" s="51"/>
      <c r="BT544" s="53"/>
      <c r="BU544" s="25"/>
    </row>
    <row r="545" spans="1:73" ht="12.75" customHeight="1" x14ac:dyDescent="0.25">
      <c r="B545" s="144"/>
      <c r="C545" s="209" t="str">
        <f>HYPERLINK("https://sites.wustl.edu/meteoritesite/items/lm_nwa_15952/",Q545)</f>
        <v>Northwest Africa 15952</v>
      </c>
      <c r="D545" s="210"/>
      <c r="E545" s="210"/>
      <c r="F545" s="211"/>
      <c r="G545" s="89">
        <v>2023</v>
      </c>
      <c r="H545" s="240" t="s">
        <v>682</v>
      </c>
      <c r="I545" s="240"/>
      <c r="J545" s="145">
        <v>68</v>
      </c>
      <c r="K545" s="212" t="s">
        <v>39</v>
      </c>
      <c r="L545" s="213"/>
      <c r="M545" s="32" t="s">
        <v>536</v>
      </c>
      <c r="N545" s="32" t="s">
        <v>40</v>
      </c>
      <c r="P545" s="125">
        <f t="shared" si="198"/>
        <v>68</v>
      </c>
      <c r="Q545" s="54" t="s">
        <v>680</v>
      </c>
      <c r="R545" s="48"/>
      <c r="S545" s="49"/>
      <c r="T545" s="50">
        <f t="shared" si="199"/>
        <v>0</v>
      </c>
      <c r="V545" s="51">
        <v>68</v>
      </c>
      <c r="W545" s="51"/>
      <c r="X545" s="51"/>
      <c r="Y545" s="51"/>
      <c r="Z545" s="51"/>
      <c r="AA545" s="51"/>
      <c r="AB545" s="51"/>
      <c r="AC545" s="51"/>
      <c r="AD545" s="51"/>
      <c r="AE545" s="51"/>
      <c r="AF545" s="51"/>
      <c r="AG545" s="51"/>
      <c r="AH545" s="51"/>
      <c r="AI545" s="51"/>
      <c r="AJ545" s="51"/>
      <c r="AK545" s="51"/>
      <c r="AL545" s="51"/>
      <c r="AM545" s="51"/>
      <c r="AN545" s="51"/>
      <c r="AO545" s="51"/>
      <c r="AP545" s="51"/>
      <c r="AQ545" s="51"/>
      <c r="AR545" s="51"/>
      <c r="AS545" s="51"/>
      <c r="AT545" s="51"/>
      <c r="AU545" s="51"/>
      <c r="AV545" s="51"/>
      <c r="AW545" s="51"/>
      <c r="AX545" s="51"/>
      <c r="AY545" s="51"/>
      <c r="AZ545" s="51"/>
      <c r="BA545" s="51"/>
      <c r="BB545" s="51"/>
      <c r="BC545" s="51"/>
      <c r="BD545" s="51"/>
      <c r="BE545" s="51"/>
      <c r="BF545" s="51"/>
      <c r="BG545" s="51"/>
      <c r="BH545" s="51"/>
      <c r="BI545" s="51"/>
      <c r="BJ545" s="51"/>
      <c r="BK545" s="51"/>
      <c r="BL545" s="51"/>
      <c r="BM545" s="51"/>
      <c r="BN545" s="51"/>
      <c r="BO545" s="51"/>
      <c r="BP545" s="51"/>
      <c r="BQ545" s="51"/>
      <c r="BT545" s="53"/>
      <c r="BU545" s="25"/>
    </row>
    <row r="546" spans="1:73" ht="12.75" customHeight="1" x14ac:dyDescent="0.25">
      <c r="B546" s="144"/>
      <c r="C546" s="209" t="str">
        <f>HYPERLINK("https://sites.wustl.edu/meteoritesite/items/lm_nwa_15954/",Q546)</f>
        <v>Northwest Africa 15954</v>
      </c>
      <c r="D546" s="210"/>
      <c r="E546" s="210"/>
      <c r="F546" s="211"/>
      <c r="G546" s="89">
        <v>2022</v>
      </c>
      <c r="H546" s="214" t="s">
        <v>396</v>
      </c>
      <c r="I546" s="215"/>
      <c r="J546" s="145">
        <v>944</v>
      </c>
      <c r="K546" s="212" t="s">
        <v>39</v>
      </c>
      <c r="L546" s="213"/>
      <c r="M546" s="32" t="s">
        <v>40</v>
      </c>
      <c r="N546" s="32" t="s">
        <v>40</v>
      </c>
      <c r="P546" s="125">
        <f t="shared" ref="P546" si="200">SUM(V546:BQ546)</f>
        <v>944</v>
      </c>
      <c r="Q546" s="54" t="s">
        <v>693</v>
      </c>
      <c r="R546" s="48"/>
      <c r="S546" s="49"/>
      <c r="T546" s="50">
        <f t="shared" ref="T546" si="201">J546-P546</f>
        <v>0</v>
      </c>
      <c r="V546" s="51">
        <v>944</v>
      </c>
      <c r="W546" s="51"/>
      <c r="X546" s="51"/>
      <c r="Y546" s="51"/>
      <c r="Z546" s="51"/>
      <c r="AA546" s="51"/>
      <c r="AB546" s="51"/>
      <c r="AC546" s="51"/>
      <c r="AD546" s="51"/>
      <c r="AE546" s="51"/>
      <c r="AF546" s="51"/>
      <c r="AG546" s="51"/>
      <c r="AH546" s="51"/>
      <c r="AI546" s="51"/>
      <c r="AJ546" s="51"/>
      <c r="AK546" s="51"/>
      <c r="AL546" s="51"/>
      <c r="AM546" s="51"/>
      <c r="AN546" s="51"/>
      <c r="AO546" s="51"/>
      <c r="AP546" s="51"/>
      <c r="AQ546" s="51"/>
      <c r="AR546" s="51"/>
      <c r="AS546" s="51"/>
      <c r="AT546" s="51"/>
      <c r="AU546" s="51"/>
      <c r="AV546" s="51"/>
      <c r="AW546" s="51"/>
      <c r="AX546" s="51"/>
      <c r="AY546" s="51"/>
      <c r="AZ546" s="51"/>
      <c r="BA546" s="51"/>
      <c r="BB546" s="51"/>
      <c r="BC546" s="51"/>
      <c r="BD546" s="51"/>
      <c r="BE546" s="51"/>
      <c r="BF546" s="51"/>
      <c r="BG546" s="51"/>
      <c r="BH546" s="51"/>
      <c r="BI546" s="51"/>
      <c r="BJ546" s="51"/>
      <c r="BK546" s="51"/>
      <c r="BL546" s="51"/>
      <c r="BM546" s="51"/>
      <c r="BN546" s="51"/>
      <c r="BO546" s="51"/>
      <c r="BP546" s="51"/>
      <c r="BQ546" s="51"/>
      <c r="BT546" s="53"/>
      <c r="BU546" s="25"/>
    </row>
    <row r="547" spans="1:73" ht="12.75" customHeight="1" x14ac:dyDescent="0.25">
      <c r="B547" s="144"/>
      <c r="C547" s="209" t="str">
        <f>HYPERLINK("https://sites.wustl.edu/meteoritesite/items/lm_nwa_15963/",Q547)</f>
        <v>Northwest Africa 15963</v>
      </c>
      <c r="D547" s="210"/>
      <c r="E547" s="210"/>
      <c r="F547" s="211"/>
      <c r="G547" s="89">
        <v>2023</v>
      </c>
      <c r="H547" s="214" t="s">
        <v>616</v>
      </c>
      <c r="I547" s="215"/>
      <c r="J547" s="145">
        <v>56</v>
      </c>
      <c r="K547" s="212" t="s">
        <v>51</v>
      </c>
      <c r="L547" s="213"/>
      <c r="M547" s="32">
        <v>2.2999999999999998</v>
      </c>
      <c r="N547" s="32" t="s">
        <v>40</v>
      </c>
      <c r="P547" s="125">
        <f t="shared" si="198"/>
        <v>56</v>
      </c>
      <c r="Q547" s="54" t="s">
        <v>681</v>
      </c>
      <c r="R547" s="48"/>
      <c r="S547" s="49"/>
      <c r="T547" s="50">
        <f t="shared" si="199"/>
        <v>0</v>
      </c>
      <c r="V547" s="51">
        <v>56</v>
      </c>
      <c r="W547" s="51"/>
      <c r="X547" s="51"/>
      <c r="Y547" s="51"/>
      <c r="Z547" s="51"/>
      <c r="AA547" s="51"/>
      <c r="AB547" s="51"/>
      <c r="AC547" s="51"/>
      <c r="AD547" s="51"/>
      <c r="AE547" s="51"/>
      <c r="AF547" s="51"/>
      <c r="AG547" s="51"/>
      <c r="AH547" s="51"/>
      <c r="AI547" s="51"/>
      <c r="AJ547" s="51"/>
      <c r="AK547" s="51"/>
      <c r="AL547" s="51"/>
      <c r="AM547" s="51"/>
      <c r="AN547" s="51"/>
      <c r="AO547" s="51"/>
      <c r="AP547" s="51"/>
      <c r="AQ547" s="51"/>
      <c r="AR547" s="51"/>
      <c r="AS547" s="51"/>
      <c r="AT547" s="51"/>
      <c r="AU547" s="51"/>
      <c r="AV547" s="51"/>
      <c r="AW547" s="51"/>
      <c r="AX547" s="51"/>
      <c r="AY547" s="51"/>
      <c r="AZ547" s="51"/>
      <c r="BA547" s="51"/>
      <c r="BB547" s="51"/>
      <c r="BC547" s="51"/>
      <c r="BD547" s="51"/>
      <c r="BE547" s="51"/>
      <c r="BF547" s="51"/>
      <c r="BG547" s="51"/>
      <c r="BH547" s="51"/>
      <c r="BI547" s="51"/>
      <c r="BJ547" s="51"/>
      <c r="BK547" s="51"/>
      <c r="BL547" s="51"/>
      <c r="BM547" s="51"/>
      <c r="BN547" s="51"/>
      <c r="BO547" s="51"/>
      <c r="BP547" s="51"/>
      <c r="BQ547" s="51"/>
      <c r="BT547" s="53"/>
      <c r="BU547" s="25"/>
    </row>
    <row r="548" spans="1:73" s="1" customFormat="1" ht="12.75" customHeight="1" x14ac:dyDescent="0.25">
      <c r="A548"/>
      <c r="B548" s="228" t="s">
        <v>28</v>
      </c>
      <c r="C548" s="230" t="s">
        <v>29</v>
      </c>
      <c r="D548" s="231"/>
      <c r="E548" s="231"/>
      <c r="F548" s="232"/>
      <c r="G548" s="247" t="s">
        <v>282</v>
      </c>
      <c r="H548" s="219" t="s">
        <v>249</v>
      </c>
      <c r="I548" s="220"/>
      <c r="J548" s="241" t="s">
        <v>30</v>
      </c>
      <c r="K548" s="219" t="s">
        <v>31</v>
      </c>
      <c r="L548" s="220"/>
      <c r="M548" s="223" t="s">
        <v>245</v>
      </c>
      <c r="N548" s="225" t="s">
        <v>32</v>
      </c>
      <c r="O548" s="15"/>
      <c r="P548" s="127"/>
      <c r="Q548" s="15"/>
      <c r="R548" s="15"/>
      <c r="S548" s="15"/>
      <c r="T548" s="50"/>
      <c r="U548" s="9"/>
      <c r="V548" s="42"/>
      <c r="W548" s="42"/>
      <c r="X548" s="42"/>
      <c r="Y548" s="42"/>
      <c r="Z548" s="42"/>
      <c r="AA548" s="42"/>
      <c r="AB548" s="42"/>
      <c r="AC548" s="42"/>
      <c r="AD548" s="42"/>
      <c r="AE548" s="42"/>
      <c r="AF548" s="42"/>
      <c r="AG548" s="42"/>
      <c r="AH548" s="42"/>
      <c r="AI548" s="42"/>
      <c r="AJ548" s="42"/>
      <c r="AK548" s="42"/>
      <c r="AL548" s="42"/>
      <c r="AM548" s="42"/>
      <c r="AN548" s="42"/>
      <c r="AO548" s="42"/>
      <c r="AP548" s="42"/>
      <c r="AQ548" s="42"/>
      <c r="AR548" s="42"/>
      <c r="AS548" s="42"/>
      <c r="AT548" s="42"/>
      <c r="AU548" s="42"/>
      <c r="AV548" s="42"/>
      <c r="AW548" s="42"/>
      <c r="AX548" s="42"/>
      <c r="AY548" s="42"/>
      <c r="AZ548" s="42"/>
      <c r="BA548" s="42"/>
      <c r="BB548" s="42"/>
      <c r="BC548" s="42"/>
      <c r="BD548" s="42"/>
      <c r="BE548" s="42"/>
      <c r="BF548" s="42"/>
      <c r="BG548" s="42"/>
      <c r="BH548" s="42"/>
      <c r="BI548" s="42"/>
      <c r="BJ548" s="42"/>
      <c r="BK548" s="42"/>
      <c r="BL548" s="42"/>
      <c r="BM548" s="42"/>
      <c r="BN548" s="42"/>
      <c r="BO548" s="42"/>
      <c r="BP548" s="42"/>
      <c r="BQ548" s="42"/>
      <c r="BR548" s="9"/>
      <c r="BS548" s="42"/>
      <c r="BT548" s="53"/>
      <c r="BU548" s="25"/>
    </row>
    <row r="549" spans="1:73" s="1" customFormat="1" ht="12.75" customHeight="1" x14ac:dyDescent="0.25">
      <c r="A549"/>
      <c r="B549" s="229"/>
      <c r="C549" s="233"/>
      <c r="D549" s="234"/>
      <c r="E549" s="234"/>
      <c r="F549" s="235"/>
      <c r="G549" s="242"/>
      <c r="H549" s="221"/>
      <c r="I549" s="222"/>
      <c r="J549" s="242"/>
      <c r="K549" s="221"/>
      <c r="L549" s="222"/>
      <c r="M549" s="224"/>
      <c r="N549" s="226"/>
      <c r="O549" s="15"/>
      <c r="P549" s="127"/>
      <c r="Q549" s="15"/>
      <c r="R549" s="15"/>
      <c r="S549" s="15"/>
      <c r="T549" s="50"/>
      <c r="U549" s="9"/>
      <c r="V549" s="42"/>
      <c r="W549" s="42"/>
      <c r="X549" s="42"/>
      <c r="Y549" s="42"/>
      <c r="Z549" s="42"/>
      <c r="AA549" s="42"/>
      <c r="AB549" s="42"/>
      <c r="AC549" s="42"/>
      <c r="AD549" s="42"/>
      <c r="AE549" s="42"/>
      <c r="AF549" s="42"/>
      <c r="AG549" s="42"/>
      <c r="AH549" s="42"/>
      <c r="AI549" s="42"/>
      <c r="AJ549" s="42"/>
      <c r="AK549" s="42"/>
      <c r="AL549" s="42"/>
      <c r="AM549" s="42"/>
      <c r="AN549" s="42"/>
      <c r="AO549" s="42"/>
      <c r="AP549" s="42"/>
      <c r="AQ549" s="42"/>
      <c r="AR549" s="42"/>
      <c r="AS549" s="42"/>
      <c r="AT549" s="42"/>
      <c r="AU549" s="42"/>
      <c r="AV549" s="42"/>
      <c r="AW549" s="42"/>
      <c r="AX549" s="42"/>
      <c r="AY549" s="42"/>
      <c r="AZ549" s="42"/>
      <c r="BA549" s="42"/>
      <c r="BB549" s="42"/>
      <c r="BC549" s="42"/>
      <c r="BD549" s="42"/>
      <c r="BE549" s="42"/>
      <c r="BF549" s="42"/>
      <c r="BG549" s="42"/>
      <c r="BH549" s="42"/>
      <c r="BI549" s="42"/>
      <c r="BJ549" s="42"/>
      <c r="BK549" s="42"/>
      <c r="BL549" s="42"/>
      <c r="BM549" s="42"/>
      <c r="BN549" s="42"/>
      <c r="BO549" s="42"/>
      <c r="BP549" s="42"/>
      <c r="BQ549" s="42"/>
      <c r="BR549" s="9"/>
      <c r="BS549" s="42"/>
      <c r="BT549" s="53"/>
      <c r="BU549" s="25"/>
    </row>
    <row r="550" spans="1:73" ht="12.75" customHeight="1" x14ac:dyDescent="0.25">
      <c r="B550" s="144"/>
      <c r="C550" s="209" t="str">
        <f>HYPERLINK("https://sites.wustl.edu/meteoritesite/items/lm_nwa_16002/",Q550)</f>
        <v>Northwest Africa 16002</v>
      </c>
      <c r="D550" s="210"/>
      <c r="E550" s="210"/>
      <c r="F550" s="211"/>
      <c r="G550" s="89">
        <v>2022</v>
      </c>
      <c r="H550" s="214" t="s">
        <v>616</v>
      </c>
      <c r="I550" s="215"/>
      <c r="J550" s="145">
        <v>660</v>
      </c>
      <c r="K550" s="212" t="s">
        <v>39</v>
      </c>
      <c r="L550" s="213"/>
      <c r="M550" s="32" t="s">
        <v>40</v>
      </c>
      <c r="N550" s="32" t="s">
        <v>40</v>
      </c>
      <c r="P550" s="125">
        <f t="shared" ref="P550:P551" si="202">SUM(V550:BQ550)</f>
        <v>660</v>
      </c>
      <c r="Q550" s="54" t="s">
        <v>701</v>
      </c>
      <c r="R550" s="48"/>
      <c r="S550" s="49"/>
      <c r="T550" s="50">
        <f t="shared" ref="T550:T551" si="203">J550-P550</f>
        <v>0</v>
      </c>
      <c r="V550" s="51">
        <v>660</v>
      </c>
      <c r="W550" s="51"/>
      <c r="X550" s="51"/>
      <c r="Y550" s="51"/>
      <c r="Z550" s="51"/>
      <c r="AA550" s="51"/>
      <c r="AB550" s="51"/>
      <c r="AC550" s="51"/>
      <c r="AD550" s="51"/>
      <c r="AE550" s="51"/>
      <c r="AF550" s="51"/>
      <c r="AG550" s="51"/>
      <c r="AH550" s="51"/>
      <c r="AI550" s="51"/>
      <c r="AJ550" s="51"/>
      <c r="AK550" s="51"/>
      <c r="AL550" s="51"/>
      <c r="AM550" s="51"/>
      <c r="AN550" s="51"/>
      <c r="AO550" s="51"/>
      <c r="AP550" s="51"/>
      <c r="AQ550" s="51"/>
      <c r="AR550" s="51"/>
      <c r="AS550" s="51"/>
      <c r="AT550" s="51"/>
      <c r="AU550" s="51"/>
      <c r="AV550" s="51"/>
      <c r="AW550" s="51"/>
      <c r="AX550" s="51"/>
      <c r="AY550" s="51"/>
      <c r="AZ550" s="51"/>
      <c r="BA550" s="51"/>
      <c r="BB550" s="51"/>
      <c r="BC550" s="51"/>
      <c r="BD550" s="51"/>
      <c r="BE550" s="51"/>
      <c r="BF550" s="51"/>
      <c r="BG550" s="51"/>
      <c r="BH550" s="51"/>
      <c r="BI550" s="51"/>
      <c r="BJ550" s="51"/>
      <c r="BK550" s="51"/>
      <c r="BL550" s="51"/>
      <c r="BM550" s="51"/>
      <c r="BN550" s="51"/>
      <c r="BO550" s="51"/>
      <c r="BP550" s="51"/>
      <c r="BQ550" s="51"/>
      <c r="BT550" s="53"/>
      <c r="BU550" s="25"/>
    </row>
    <row r="551" spans="1:73" ht="12.75" customHeight="1" x14ac:dyDescent="0.25">
      <c r="B551" s="144"/>
      <c r="C551" s="209" t="str">
        <f>HYPERLINK("https://sites.wustl.edu/meteoritesite/items/lm_nwa_16008/",Q551)</f>
        <v>Northwest Africa 16008</v>
      </c>
      <c r="D551" s="210"/>
      <c r="E551" s="210"/>
      <c r="F551" s="211"/>
      <c r="G551" s="89">
        <v>2022</v>
      </c>
      <c r="H551" s="214" t="s">
        <v>396</v>
      </c>
      <c r="I551" s="215"/>
      <c r="J551" s="145">
        <v>251</v>
      </c>
      <c r="K551" s="212" t="s">
        <v>39</v>
      </c>
      <c r="L551" s="213"/>
      <c r="M551" s="32" t="s">
        <v>40</v>
      </c>
      <c r="N551" s="32" t="s">
        <v>40</v>
      </c>
      <c r="P551" s="125">
        <f t="shared" si="202"/>
        <v>251</v>
      </c>
      <c r="Q551" s="54" t="s">
        <v>702</v>
      </c>
      <c r="R551" s="48"/>
      <c r="S551" s="49"/>
      <c r="T551" s="50">
        <f t="shared" si="203"/>
        <v>0</v>
      </c>
      <c r="V551" s="51">
        <v>251</v>
      </c>
      <c r="W551" s="51"/>
      <c r="X551" s="51"/>
      <c r="Y551" s="51"/>
      <c r="Z551" s="51"/>
      <c r="AA551" s="51"/>
      <c r="AB551" s="51"/>
      <c r="AC551" s="51"/>
      <c r="AD551" s="51"/>
      <c r="AE551" s="51"/>
      <c r="AF551" s="51"/>
      <c r="AG551" s="51"/>
      <c r="AH551" s="51"/>
      <c r="AI551" s="51"/>
      <c r="AJ551" s="51"/>
      <c r="AK551" s="51"/>
      <c r="AL551" s="51"/>
      <c r="AM551" s="51"/>
      <c r="AN551" s="51"/>
      <c r="AO551" s="51"/>
      <c r="AP551" s="51"/>
      <c r="AQ551" s="51"/>
      <c r="AR551" s="51"/>
      <c r="AS551" s="51"/>
      <c r="AT551" s="51"/>
      <c r="AU551" s="51"/>
      <c r="AV551" s="51"/>
      <c r="AW551" s="51"/>
      <c r="AX551" s="51"/>
      <c r="AY551" s="51"/>
      <c r="AZ551" s="51"/>
      <c r="BA551" s="51"/>
      <c r="BB551" s="51"/>
      <c r="BC551" s="51"/>
      <c r="BD551" s="51"/>
      <c r="BE551" s="51"/>
      <c r="BF551" s="51"/>
      <c r="BG551" s="51"/>
      <c r="BH551" s="51"/>
      <c r="BI551" s="51"/>
      <c r="BJ551" s="51"/>
      <c r="BK551" s="51"/>
      <c r="BL551" s="51"/>
      <c r="BM551" s="51"/>
      <c r="BN551" s="51"/>
      <c r="BO551" s="51"/>
      <c r="BP551" s="51"/>
      <c r="BQ551" s="51"/>
      <c r="BT551" s="53"/>
      <c r="BU551" s="25"/>
    </row>
    <row r="552" spans="1:73" ht="12.75" customHeight="1" x14ac:dyDescent="0.25">
      <c r="B552" s="144"/>
      <c r="C552" s="209" t="str">
        <f>HYPERLINK("https://sites.wustl.edu/meteoritesite/items/lm_nwa_16095/",Q552)</f>
        <v>Northwest Africa 16095</v>
      </c>
      <c r="D552" s="210"/>
      <c r="E552" s="210"/>
      <c r="F552" s="211"/>
      <c r="G552" s="89">
        <v>2023</v>
      </c>
      <c r="H552" s="214" t="s">
        <v>396</v>
      </c>
      <c r="I552" s="215"/>
      <c r="J552" s="139">
        <v>4.62</v>
      </c>
      <c r="K552" s="212" t="s">
        <v>39</v>
      </c>
      <c r="L552" s="213"/>
      <c r="M552" s="32" t="s">
        <v>40</v>
      </c>
      <c r="N552" s="32" t="s">
        <v>40</v>
      </c>
      <c r="P552" s="125">
        <f t="shared" ref="P552:P553" si="204">SUM(V552:BQ552)</f>
        <v>4.62</v>
      </c>
      <c r="Q552" s="54" t="s">
        <v>690</v>
      </c>
      <c r="R552" s="48"/>
      <c r="S552" s="49"/>
      <c r="T552" s="50">
        <f t="shared" ref="T552:T553" si="205">J552-P552</f>
        <v>0</v>
      </c>
      <c r="V552" s="51">
        <v>4.62</v>
      </c>
      <c r="W552" s="51"/>
      <c r="X552" s="51"/>
      <c r="Y552" s="51"/>
      <c r="Z552" s="51"/>
      <c r="AA552" s="51"/>
      <c r="AB552" s="51"/>
      <c r="AC552" s="51"/>
      <c r="AD552" s="51"/>
      <c r="AE552" s="51"/>
      <c r="AF552" s="51"/>
      <c r="AG552" s="51"/>
      <c r="AH552" s="51"/>
      <c r="AI552" s="51"/>
      <c r="AJ552" s="51"/>
      <c r="AK552" s="51"/>
      <c r="AL552" s="51"/>
      <c r="AM552" s="51"/>
      <c r="AN552" s="51"/>
      <c r="AO552" s="51"/>
      <c r="AP552" s="51"/>
      <c r="AQ552" s="51"/>
      <c r="AR552" s="51"/>
      <c r="AS552" s="51"/>
      <c r="AT552" s="51"/>
      <c r="AU552" s="51"/>
      <c r="AV552" s="51"/>
      <c r="AW552" s="51"/>
      <c r="AX552" s="51"/>
      <c r="AY552" s="51"/>
      <c r="AZ552" s="51"/>
      <c r="BA552" s="51"/>
      <c r="BB552" s="51"/>
      <c r="BC552" s="51"/>
      <c r="BD552" s="51"/>
      <c r="BE552" s="51"/>
      <c r="BF552" s="51"/>
      <c r="BG552" s="51"/>
      <c r="BH552" s="51"/>
      <c r="BI552" s="51"/>
      <c r="BJ552" s="51"/>
      <c r="BK552" s="51"/>
      <c r="BL552" s="51"/>
      <c r="BM552" s="51"/>
      <c r="BN552" s="51"/>
      <c r="BO552" s="51"/>
      <c r="BP552" s="51"/>
      <c r="BQ552" s="51"/>
      <c r="BT552" s="53"/>
      <c r="BU552" s="25"/>
    </row>
    <row r="553" spans="1:73" ht="12.75" customHeight="1" x14ac:dyDescent="0.25">
      <c r="B553" s="144"/>
      <c r="C553" s="209" t="str">
        <f>HYPERLINK("https://sites.wustl.edu/meteoritesite/items/lm_nwa_16106/",Q553)</f>
        <v>Northwest Africa 16106</v>
      </c>
      <c r="D553" s="210"/>
      <c r="E553" s="210"/>
      <c r="F553" s="211"/>
      <c r="G553" s="89">
        <v>2022</v>
      </c>
      <c r="H553" s="214" t="s">
        <v>396</v>
      </c>
      <c r="I553" s="215"/>
      <c r="J553" s="145">
        <v>4568</v>
      </c>
      <c r="K553" s="212" t="s">
        <v>39</v>
      </c>
      <c r="L553" s="213"/>
      <c r="M553" s="32" t="s">
        <v>40</v>
      </c>
      <c r="N553" s="32" t="s">
        <v>40</v>
      </c>
      <c r="P553" s="125">
        <f t="shared" si="204"/>
        <v>4568</v>
      </c>
      <c r="Q553" s="54" t="s">
        <v>691</v>
      </c>
      <c r="R553" s="48"/>
      <c r="S553" s="49"/>
      <c r="T553" s="50">
        <f t="shared" si="205"/>
        <v>0</v>
      </c>
      <c r="V553" s="51">
        <v>4568</v>
      </c>
      <c r="W553" s="51"/>
      <c r="X553" s="51"/>
      <c r="Y553" s="51"/>
      <c r="Z553" s="51"/>
      <c r="AA553" s="51"/>
      <c r="AB553" s="51"/>
      <c r="AC553" s="51"/>
      <c r="AD553" s="51"/>
      <c r="AE553" s="51"/>
      <c r="AF553" s="51"/>
      <c r="AG553" s="51"/>
      <c r="AH553" s="51"/>
      <c r="AI553" s="51"/>
      <c r="AJ553" s="51"/>
      <c r="AK553" s="51"/>
      <c r="AL553" s="51"/>
      <c r="AM553" s="51"/>
      <c r="AN553" s="51"/>
      <c r="AO553" s="51"/>
      <c r="AP553" s="51"/>
      <c r="AQ553" s="51"/>
      <c r="AR553" s="51"/>
      <c r="AS553" s="51"/>
      <c r="AT553" s="51"/>
      <c r="AU553" s="51"/>
      <c r="AV553" s="51"/>
      <c r="AW553" s="51"/>
      <c r="AX553" s="51"/>
      <c r="AY553" s="51"/>
      <c r="AZ553" s="51"/>
      <c r="BA553" s="51"/>
      <c r="BB553" s="51"/>
      <c r="BC553" s="51"/>
      <c r="BD553" s="51"/>
      <c r="BE553" s="51"/>
      <c r="BF553" s="51"/>
      <c r="BG553" s="51"/>
      <c r="BH553" s="51"/>
      <c r="BI553" s="51"/>
      <c r="BJ553" s="51"/>
      <c r="BK553" s="51"/>
      <c r="BL553" s="51"/>
      <c r="BM553" s="51"/>
      <c r="BN553" s="51"/>
      <c r="BO553" s="51"/>
      <c r="BP553" s="51"/>
      <c r="BQ553" s="51"/>
      <c r="BT553" s="53"/>
      <c r="BU553" s="25"/>
    </row>
    <row r="554" spans="1:73" ht="12.75" customHeight="1" x14ac:dyDescent="0.25">
      <c r="B554" s="144"/>
      <c r="C554" s="209" t="str">
        <f>HYPERLINK("https://sites.wustl.edu/meteoritesite/items/lm_nwa_16132/",Q554)</f>
        <v>Northwest Africa 16132</v>
      </c>
      <c r="D554" s="210"/>
      <c r="E554" s="210"/>
      <c r="F554" s="211"/>
      <c r="G554" s="89">
        <v>2022</v>
      </c>
      <c r="H554" s="214" t="s">
        <v>616</v>
      </c>
      <c r="I554" s="215"/>
      <c r="J554" s="146">
        <v>7.4</v>
      </c>
      <c r="K554" s="212" t="s">
        <v>66</v>
      </c>
      <c r="L554" s="213"/>
      <c r="M554" s="32" t="s">
        <v>40</v>
      </c>
      <c r="N554" s="32" t="s">
        <v>40</v>
      </c>
      <c r="P554" s="125">
        <f t="shared" ref="P554:P556" si="206">SUM(V554:BQ554)</f>
        <v>7.4</v>
      </c>
      <c r="Q554" s="54" t="s">
        <v>695</v>
      </c>
      <c r="R554" s="48"/>
      <c r="S554" s="49"/>
      <c r="T554" s="50">
        <f t="shared" ref="T554:T556" si="207">J554-P554</f>
        <v>0</v>
      </c>
      <c r="V554" s="51">
        <v>7.4</v>
      </c>
      <c r="W554" s="51"/>
      <c r="X554" s="51"/>
      <c r="Y554" s="51"/>
      <c r="Z554" s="51"/>
      <c r="AA554" s="51"/>
      <c r="AB554" s="51"/>
      <c r="AC554" s="51"/>
      <c r="AD554" s="51"/>
      <c r="AE554" s="51"/>
      <c r="AF554" s="51"/>
      <c r="AG554" s="51"/>
      <c r="AH554" s="51"/>
      <c r="AI554" s="51"/>
      <c r="AJ554" s="51"/>
      <c r="AK554" s="51"/>
      <c r="AL554" s="51"/>
      <c r="AM554" s="51"/>
      <c r="AN554" s="51"/>
      <c r="AO554" s="51"/>
      <c r="AP554" s="51"/>
      <c r="AQ554" s="51"/>
      <c r="AR554" s="51"/>
      <c r="AS554" s="51"/>
      <c r="AT554" s="51"/>
      <c r="AU554" s="51"/>
      <c r="AV554" s="51"/>
      <c r="AW554" s="51"/>
      <c r="AX554" s="51"/>
      <c r="AY554" s="51"/>
      <c r="AZ554" s="51"/>
      <c r="BA554" s="51"/>
      <c r="BB554" s="51"/>
      <c r="BC554" s="51"/>
      <c r="BD554" s="51"/>
      <c r="BE554" s="51"/>
      <c r="BF554" s="51"/>
      <c r="BG554" s="51"/>
      <c r="BH554" s="51"/>
      <c r="BI554" s="51"/>
      <c r="BJ554" s="51"/>
      <c r="BK554" s="51"/>
      <c r="BL554" s="51"/>
      <c r="BM554" s="51"/>
      <c r="BN554" s="51"/>
      <c r="BO554" s="51"/>
      <c r="BP554" s="51"/>
      <c r="BQ554" s="51"/>
      <c r="BT554" s="53"/>
      <c r="BU554" s="25"/>
    </row>
    <row r="555" spans="1:73" ht="12.75" customHeight="1" x14ac:dyDescent="0.25">
      <c r="B555" s="144"/>
      <c r="C555" s="209" t="str">
        <f>HYPERLINK("https://sites.wustl.edu/meteoritesite/items/lm_nwa_16134/",Q555)</f>
        <v>Northwest Africa 16134</v>
      </c>
      <c r="D555" s="210"/>
      <c r="E555" s="210"/>
      <c r="F555" s="211"/>
      <c r="G555" s="89">
        <v>2022</v>
      </c>
      <c r="H555" s="214" t="s">
        <v>616</v>
      </c>
      <c r="I555" s="215"/>
      <c r="J555" s="145">
        <v>644</v>
      </c>
      <c r="K555" s="212" t="s">
        <v>66</v>
      </c>
      <c r="L555" s="213"/>
      <c r="M555" s="32" t="s">
        <v>40</v>
      </c>
      <c r="N555" s="32" t="s">
        <v>40</v>
      </c>
      <c r="P555" s="125">
        <f t="shared" si="206"/>
        <v>644</v>
      </c>
      <c r="Q555" s="54" t="s">
        <v>696</v>
      </c>
      <c r="R555" s="48"/>
      <c r="S555" s="49"/>
      <c r="T555" s="50">
        <f t="shared" si="207"/>
        <v>0</v>
      </c>
      <c r="V555" s="51">
        <v>644</v>
      </c>
      <c r="W555" s="51"/>
      <c r="X555" s="51"/>
      <c r="Y555" s="51"/>
      <c r="Z555" s="51"/>
      <c r="AA555" s="51"/>
      <c r="AB555" s="51"/>
      <c r="AC555" s="51"/>
      <c r="AD555" s="51"/>
      <c r="AE555" s="51"/>
      <c r="AF555" s="51"/>
      <c r="AG555" s="51"/>
      <c r="AH555" s="51"/>
      <c r="AI555" s="51"/>
      <c r="AJ555" s="51"/>
      <c r="AK555" s="51"/>
      <c r="AL555" s="51"/>
      <c r="AM555" s="51"/>
      <c r="AN555" s="51"/>
      <c r="AO555" s="51"/>
      <c r="AP555" s="51"/>
      <c r="AQ555" s="51"/>
      <c r="AR555" s="51"/>
      <c r="AS555" s="51"/>
      <c r="AT555" s="51"/>
      <c r="AU555" s="51"/>
      <c r="AV555" s="51"/>
      <c r="AW555" s="51"/>
      <c r="AX555" s="51"/>
      <c r="AY555" s="51"/>
      <c r="AZ555" s="51"/>
      <c r="BA555" s="51"/>
      <c r="BB555" s="51"/>
      <c r="BC555" s="51"/>
      <c r="BD555" s="51"/>
      <c r="BE555" s="51"/>
      <c r="BF555" s="51"/>
      <c r="BG555" s="51"/>
      <c r="BH555" s="51"/>
      <c r="BI555" s="51"/>
      <c r="BJ555" s="51"/>
      <c r="BK555" s="51"/>
      <c r="BL555" s="51"/>
      <c r="BM555" s="51"/>
      <c r="BN555" s="51"/>
      <c r="BO555" s="51"/>
      <c r="BP555" s="51"/>
      <c r="BQ555" s="51"/>
      <c r="BT555" s="53"/>
      <c r="BU555" s="25"/>
    </row>
    <row r="556" spans="1:73" ht="12.75" customHeight="1" x14ac:dyDescent="0.25">
      <c r="B556" s="144"/>
      <c r="C556" s="209" t="str">
        <f>HYPERLINK("https://sites.wustl.edu/meteoritesite/items/lm_nwa_16173/",Q556)</f>
        <v>Northwest Africa 16173</v>
      </c>
      <c r="D556" s="210"/>
      <c r="E556" s="210"/>
      <c r="F556" s="211"/>
      <c r="G556" s="89">
        <v>2023</v>
      </c>
      <c r="H556" s="214" t="s">
        <v>396</v>
      </c>
      <c r="I556" s="215"/>
      <c r="J556" s="145">
        <v>160</v>
      </c>
      <c r="K556" s="212" t="s">
        <v>39</v>
      </c>
      <c r="L556" s="213"/>
      <c r="M556" s="32" t="s">
        <v>40</v>
      </c>
      <c r="N556" s="32" t="s">
        <v>40</v>
      </c>
      <c r="P556" s="125">
        <f t="shared" si="206"/>
        <v>160</v>
      </c>
      <c r="Q556" s="54" t="s">
        <v>697</v>
      </c>
      <c r="R556" s="48"/>
      <c r="S556" s="49"/>
      <c r="T556" s="50">
        <f t="shared" si="207"/>
        <v>0</v>
      </c>
      <c r="V556" s="51">
        <v>160</v>
      </c>
      <c r="W556" s="51"/>
      <c r="X556" s="51"/>
      <c r="Y556" s="51"/>
      <c r="Z556" s="51"/>
      <c r="AA556" s="51"/>
      <c r="AB556" s="51"/>
      <c r="AC556" s="51"/>
      <c r="AD556" s="51"/>
      <c r="AE556" s="51"/>
      <c r="AF556" s="51"/>
      <c r="AG556" s="51"/>
      <c r="AH556" s="51"/>
      <c r="AI556" s="51"/>
      <c r="AJ556" s="51"/>
      <c r="AK556" s="51"/>
      <c r="AL556" s="51"/>
      <c r="AM556" s="51"/>
      <c r="AN556" s="51"/>
      <c r="AO556" s="51"/>
      <c r="AP556" s="51"/>
      <c r="AQ556" s="51"/>
      <c r="AR556" s="51"/>
      <c r="AS556" s="51"/>
      <c r="AT556" s="51"/>
      <c r="AU556" s="51"/>
      <c r="AV556" s="51"/>
      <c r="AW556" s="51"/>
      <c r="AX556" s="51"/>
      <c r="AY556" s="51"/>
      <c r="AZ556" s="51"/>
      <c r="BA556" s="51"/>
      <c r="BB556" s="51"/>
      <c r="BC556" s="51"/>
      <c r="BD556" s="51"/>
      <c r="BE556" s="51"/>
      <c r="BF556" s="51"/>
      <c r="BG556" s="51"/>
      <c r="BH556" s="51"/>
      <c r="BI556" s="51"/>
      <c r="BJ556" s="51"/>
      <c r="BK556" s="51"/>
      <c r="BL556" s="51"/>
      <c r="BM556" s="51"/>
      <c r="BN556" s="51"/>
      <c r="BO556" s="51"/>
      <c r="BP556" s="51"/>
      <c r="BQ556" s="51"/>
      <c r="BT556" s="53"/>
      <c r="BU556" s="25"/>
    </row>
    <row r="557" spans="1:73" ht="12.75" customHeight="1" x14ac:dyDescent="0.25">
      <c r="B557" s="144"/>
      <c r="C557" s="209" t="str">
        <f>HYPERLINK("https://sites.wustl.edu/meteoritesite/items/lm_nwa_16189/",Q557)</f>
        <v>Northwest Africa 16189</v>
      </c>
      <c r="D557" s="210"/>
      <c r="E557" s="210"/>
      <c r="F557" s="211"/>
      <c r="G557" s="89">
        <v>2022</v>
      </c>
      <c r="H557" s="214" t="s">
        <v>510</v>
      </c>
      <c r="I557" s="215"/>
      <c r="J557" s="145">
        <v>6829</v>
      </c>
      <c r="K557" s="212" t="s">
        <v>39</v>
      </c>
      <c r="L557" s="213"/>
      <c r="M557" s="32" t="s">
        <v>40</v>
      </c>
      <c r="N557" s="32" t="s">
        <v>40</v>
      </c>
      <c r="P557" s="125">
        <f t="shared" ref="P557" si="208">SUM(V557:BQ557)</f>
        <v>6829</v>
      </c>
      <c r="Q557" s="54" t="s">
        <v>716</v>
      </c>
      <c r="R557" s="48"/>
      <c r="S557" s="49"/>
      <c r="T557" s="50">
        <f t="shared" ref="T557" si="209">J557-P557</f>
        <v>0</v>
      </c>
      <c r="V557" s="51">
        <v>6829</v>
      </c>
      <c r="W557" s="51"/>
      <c r="X557" s="51"/>
      <c r="Y557" s="51"/>
      <c r="Z557" s="51"/>
      <c r="AA557" s="51"/>
      <c r="AB557" s="51"/>
      <c r="AC557" s="51"/>
      <c r="AD557" s="51"/>
      <c r="AE557" s="51"/>
      <c r="AF557" s="51"/>
      <c r="AG557" s="51"/>
      <c r="AH557" s="51"/>
      <c r="AI557" s="51"/>
      <c r="AJ557" s="51"/>
      <c r="AK557" s="51"/>
      <c r="AL557" s="51"/>
      <c r="AM557" s="51"/>
      <c r="AN557" s="51"/>
      <c r="AO557" s="51"/>
      <c r="AP557" s="51"/>
      <c r="AQ557" s="51"/>
      <c r="AR557" s="51"/>
      <c r="AS557" s="51"/>
      <c r="AT557" s="51"/>
      <c r="AU557" s="51"/>
      <c r="AV557" s="51"/>
      <c r="AW557" s="51"/>
      <c r="AX557" s="51"/>
      <c r="AY557" s="51"/>
      <c r="AZ557" s="51"/>
      <c r="BA557" s="51"/>
      <c r="BB557" s="51"/>
      <c r="BC557" s="51"/>
      <c r="BD557" s="51"/>
      <c r="BE557" s="51"/>
      <c r="BF557" s="51"/>
      <c r="BG557" s="51"/>
      <c r="BH557" s="51"/>
      <c r="BI557" s="51"/>
      <c r="BJ557" s="51"/>
      <c r="BK557" s="51"/>
      <c r="BL557" s="51"/>
      <c r="BM557" s="51"/>
      <c r="BN557" s="51"/>
      <c r="BO557" s="51"/>
      <c r="BP557" s="51"/>
      <c r="BQ557" s="51"/>
      <c r="BT557" s="53"/>
      <c r="BU557" s="25"/>
    </row>
    <row r="558" spans="1:73" ht="12.75" customHeight="1" x14ac:dyDescent="0.25">
      <c r="B558" s="144"/>
      <c r="C558" s="209" t="str">
        <f>HYPERLINK("https://sites.wustl.edu/meteoritesite/items/lm_nwa_16200/",Q558)</f>
        <v>Northwest Africa 16200</v>
      </c>
      <c r="D558" s="210"/>
      <c r="E558" s="210"/>
      <c r="F558" s="211"/>
      <c r="G558" s="89">
        <v>2023</v>
      </c>
      <c r="H558" s="214" t="s">
        <v>616</v>
      </c>
      <c r="I558" s="215"/>
      <c r="J558" s="145">
        <v>4161</v>
      </c>
      <c r="K558" s="212" t="s">
        <v>39</v>
      </c>
      <c r="L558" s="213"/>
      <c r="M558" s="32" t="s">
        <v>40</v>
      </c>
      <c r="N558" s="32" t="s">
        <v>40</v>
      </c>
      <c r="P558" s="125">
        <f t="shared" ref="P558:P560" si="210">SUM(V558:BQ558)</f>
        <v>4161</v>
      </c>
      <c r="Q558" s="54" t="s">
        <v>703</v>
      </c>
      <c r="R558" s="48"/>
      <c r="S558" s="49"/>
      <c r="T558" s="50">
        <f t="shared" ref="T558:T559" si="211">J558-P558</f>
        <v>0</v>
      </c>
      <c r="V558" s="51">
        <v>4161</v>
      </c>
      <c r="W558" s="51"/>
      <c r="X558" s="51"/>
      <c r="Y558" s="51"/>
      <c r="Z558" s="51"/>
      <c r="AA558" s="51"/>
      <c r="AB558" s="51"/>
      <c r="AC558" s="51"/>
      <c r="AD558" s="51"/>
      <c r="AE558" s="51"/>
      <c r="AF558" s="51"/>
      <c r="AG558" s="51"/>
      <c r="AH558" s="51"/>
      <c r="AI558" s="51"/>
      <c r="AJ558" s="51"/>
      <c r="AK558" s="51"/>
      <c r="AL558" s="51"/>
      <c r="AM558" s="51"/>
      <c r="AN558" s="51"/>
      <c r="AO558" s="51"/>
      <c r="AP558" s="51"/>
      <c r="AQ558" s="51"/>
      <c r="AR558" s="51"/>
      <c r="AS558" s="51"/>
      <c r="AT558" s="51"/>
      <c r="AU558" s="51"/>
      <c r="AV558" s="51"/>
      <c r="AW558" s="51"/>
      <c r="AX558" s="51"/>
      <c r="AY558" s="51"/>
      <c r="AZ558" s="51"/>
      <c r="BA558" s="51"/>
      <c r="BB558" s="51"/>
      <c r="BC558" s="51"/>
      <c r="BD558" s="51"/>
      <c r="BE558" s="51"/>
      <c r="BF558" s="51"/>
      <c r="BG558" s="51"/>
      <c r="BH558" s="51"/>
      <c r="BI558" s="51"/>
      <c r="BJ558" s="51"/>
      <c r="BK558" s="51"/>
      <c r="BL558" s="51"/>
      <c r="BM558" s="51"/>
      <c r="BN558" s="51"/>
      <c r="BO558" s="51"/>
      <c r="BP558" s="51"/>
      <c r="BQ558" s="51"/>
      <c r="BT558" s="53"/>
      <c r="BU558" s="25"/>
    </row>
    <row r="559" spans="1:73" ht="12.75" customHeight="1" x14ac:dyDescent="0.25">
      <c r="B559" s="144"/>
      <c r="C559" s="209" t="str">
        <f>HYPERLINK("https://sites.wustl.edu/meteoritesite/items/lm_nwa_16238/",Q559)</f>
        <v>Northwest Africa 16238</v>
      </c>
      <c r="D559" s="210"/>
      <c r="E559" s="210"/>
      <c r="F559" s="211"/>
      <c r="G559" s="89">
        <v>2023</v>
      </c>
      <c r="H559" s="214" t="s">
        <v>38</v>
      </c>
      <c r="I559" s="215"/>
      <c r="J559" s="145">
        <v>10</v>
      </c>
      <c r="K559" s="212" t="s">
        <v>51</v>
      </c>
      <c r="L559" s="213"/>
      <c r="M559" s="32" t="s">
        <v>40</v>
      </c>
      <c r="N559" s="32" t="s">
        <v>40</v>
      </c>
      <c r="P559" s="125">
        <f t="shared" si="210"/>
        <v>10</v>
      </c>
      <c r="Q559" s="54" t="s">
        <v>704</v>
      </c>
      <c r="R559" s="48"/>
      <c r="S559" s="49"/>
      <c r="T559" s="50">
        <f t="shared" si="211"/>
        <v>0</v>
      </c>
      <c r="V559" s="51">
        <v>10</v>
      </c>
      <c r="W559" s="51"/>
      <c r="X559" s="51"/>
      <c r="Y559" s="51"/>
      <c r="Z559" s="51"/>
      <c r="AA559" s="51"/>
      <c r="AB559" s="51"/>
      <c r="AC559" s="51"/>
      <c r="AD559" s="51"/>
      <c r="AE559" s="51"/>
      <c r="AF559" s="51"/>
      <c r="AG559" s="51"/>
      <c r="AH559" s="51"/>
      <c r="AI559" s="51"/>
      <c r="AJ559" s="51"/>
      <c r="AK559" s="51"/>
      <c r="AL559" s="51"/>
      <c r="AM559" s="51"/>
      <c r="AN559" s="51"/>
      <c r="AO559" s="51"/>
      <c r="AP559" s="51"/>
      <c r="AQ559" s="51"/>
      <c r="AR559" s="51"/>
      <c r="AS559" s="51"/>
      <c r="AT559" s="51"/>
      <c r="AU559" s="51"/>
      <c r="AV559" s="51"/>
      <c r="AW559" s="51"/>
      <c r="AX559" s="51"/>
      <c r="AY559" s="51"/>
      <c r="AZ559" s="51"/>
      <c r="BA559" s="51"/>
      <c r="BB559" s="51"/>
      <c r="BC559" s="51"/>
      <c r="BD559" s="51"/>
      <c r="BE559" s="51"/>
      <c r="BF559" s="51"/>
      <c r="BG559" s="51"/>
      <c r="BH559" s="51"/>
      <c r="BI559" s="51"/>
      <c r="BJ559" s="51"/>
      <c r="BK559" s="51"/>
      <c r="BL559" s="51"/>
      <c r="BM559" s="51"/>
      <c r="BN559" s="51"/>
      <c r="BO559" s="51"/>
      <c r="BP559" s="51"/>
      <c r="BQ559" s="51"/>
      <c r="BT559" s="53"/>
      <c r="BU559" s="25"/>
    </row>
    <row r="560" spans="1:73" ht="12.75" customHeight="1" x14ac:dyDescent="0.25">
      <c r="B560" s="144"/>
      <c r="C560" s="209" t="str">
        <f>HYPERLINK("https://sites.wustl.edu/meteoritesite/items/lm_nwa_16256/",Q560)</f>
        <v>Northwest Africa 16256</v>
      </c>
      <c r="D560" s="210"/>
      <c r="E560" s="210"/>
      <c r="F560" s="211"/>
      <c r="G560" s="89">
        <v>2023</v>
      </c>
      <c r="H560" s="240" t="s">
        <v>772</v>
      </c>
      <c r="I560" s="240"/>
      <c r="J560" s="145">
        <v>2490</v>
      </c>
      <c r="K560" s="212" t="s">
        <v>39</v>
      </c>
      <c r="L560" s="213"/>
      <c r="M560" s="32" t="s">
        <v>40</v>
      </c>
      <c r="N560" s="32" t="s">
        <v>40</v>
      </c>
      <c r="P560" s="125">
        <f t="shared" si="210"/>
        <v>2490</v>
      </c>
      <c r="Q560" s="54" t="s">
        <v>771</v>
      </c>
      <c r="R560" s="48"/>
      <c r="S560" s="49"/>
      <c r="T560" s="50">
        <f t="shared" ref="T560" si="212">J560-P560</f>
        <v>0</v>
      </c>
      <c r="V560" s="51">
        <v>2490</v>
      </c>
      <c r="W560" s="51"/>
      <c r="X560" s="51"/>
      <c r="Y560" s="51"/>
      <c r="Z560" s="51"/>
      <c r="AA560" s="51"/>
      <c r="AB560" s="51"/>
      <c r="AC560" s="51"/>
      <c r="AD560" s="51"/>
      <c r="AE560" s="51"/>
      <c r="AF560" s="51"/>
      <c r="AG560" s="51"/>
      <c r="AH560" s="51"/>
      <c r="AI560" s="51"/>
      <c r="AJ560" s="51"/>
      <c r="AK560" s="51"/>
      <c r="AL560" s="51"/>
      <c r="AM560" s="51"/>
      <c r="AN560" s="51"/>
      <c r="AO560" s="51"/>
      <c r="AP560" s="51"/>
      <c r="AQ560" s="51"/>
      <c r="AR560" s="51"/>
      <c r="AS560" s="51"/>
      <c r="AT560" s="51"/>
      <c r="AU560" s="51"/>
      <c r="AV560" s="51"/>
      <c r="AW560" s="51"/>
      <c r="AX560" s="51"/>
      <c r="AY560" s="51"/>
      <c r="AZ560" s="51"/>
      <c r="BA560" s="51"/>
      <c r="BB560" s="51"/>
      <c r="BC560" s="51"/>
      <c r="BD560" s="51"/>
      <c r="BE560" s="51"/>
      <c r="BF560" s="51"/>
      <c r="BG560" s="51"/>
      <c r="BH560" s="51"/>
      <c r="BI560" s="51"/>
      <c r="BJ560" s="51"/>
      <c r="BK560" s="51"/>
      <c r="BL560" s="51"/>
      <c r="BM560" s="51"/>
      <c r="BN560" s="51"/>
      <c r="BO560" s="51"/>
      <c r="BP560" s="51"/>
      <c r="BQ560" s="51"/>
      <c r="BT560" s="53"/>
      <c r="BU560" s="25"/>
    </row>
    <row r="561" spans="2:73" ht="12.75" customHeight="1" x14ac:dyDescent="0.25">
      <c r="B561" s="144"/>
      <c r="C561" s="209" t="str">
        <f>HYPERLINK("https://sites.wustl.edu/meteoritesite/items/lm_nwa_16267/",Q561)</f>
        <v>Northwest Africa 16267</v>
      </c>
      <c r="D561" s="210"/>
      <c r="E561" s="210"/>
      <c r="F561" s="211"/>
      <c r="G561" s="89">
        <v>2022</v>
      </c>
      <c r="H561" s="214" t="s">
        <v>38</v>
      </c>
      <c r="I561" s="215"/>
      <c r="J561" s="145">
        <v>1977</v>
      </c>
      <c r="K561" s="212" t="s">
        <v>39</v>
      </c>
      <c r="L561" s="213"/>
      <c r="M561" s="32" t="s">
        <v>40</v>
      </c>
      <c r="N561" s="32" t="s">
        <v>40</v>
      </c>
      <c r="P561" s="125">
        <f t="shared" ref="P561:P577" si="213">SUM(V561:BQ561)</f>
        <v>1977</v>
      </c>
      <c r="Q561" s="54" t="s">
        <v>710</v>
      </c>
      <c r="R561" s="48"/>
      <c r="S561" s="49"/>
      <c r="T561" s="50">
        <f t="shared" ref="T561:T569" si="214">J561-P561</f>
        <v>0</v>
      </c>
      <c r="V561" s="51">
        <v>1977</v>
      </c>
      <c r="W561" s="51"/>
      <c r="X561" s="51"/>
      <c r="Y561" s="51"/>
      <c r="Z561" s="51"/>
      <c r="AA561" s="51"/>
      <c r="AB561" s="51"/>
      <c r="AC561" s="51"/>
      <c r="AD561" s="51"/>
      <c r="AE561" s="51"/>
      <c r="AF561" s="51"/>
      <c r="AG561" s="51"/>
      <c r="AH561" s="51"/>
      <c r="AI561" s="51"/>
      <c r="AJ561" s="51"/>
      <c r="AK561" s="51"/>
      <c r="AL561" s="51"/>
      <c r="AM561" s="51"/>
      <c r="AN561" s="51"/>
      <c r="AO561" s="51"/>
      <c r="AP561" s="51"/>
      <c r="AQ561" s="51"/>
      <c r="AR561" s="51"/>
      <c r="AS561" s="51"/>
      <c r="AT561" s="51"/>
      <c r="AU561" s="51"/>
      <c r="AV561" s="51"/>
      <c r="AW561" s="51"/>
      <c r="AX561" s="51"/>
      <c r="AY561" s="51"/>
      <c r="AZ561" s="51"/>
      <c r="BA561" s="51"/>
      <c r="BB561" s="51"/>
      <c r="BC561" s="51"/>
      <c r="BD561" s="51"/>
      <c r="BE561" s="51"/>
      <c r="BF561" s="51"/>
      <c r="BG561" s="51"/>
      <c r="BH561" s="51"/>
      <c r="BI561" s="51"/>
      <c r="BJ561" s="51"/>
      <c r="BK561" s="51"/>
      <c r="BL561" s="51"/>
      <c r="BM561" s="51"/>
      <c r="BN561" s="51"/>
      <c r="BO561" s="51"/>
      <c r="BP561" s="51"/>
      <c r="BQ561" s="51"/>
      <c r="BT561" s="53"/>
      <c r="BU561" s="25"/>
    </row>
    <row r="562" spans="2:73" ht="12.75" customHeight="1" x14ac:dyDescent="0.25">
      <c r="B562" s="144"/>
      <c r="C562" s="209" t="str">
        <f>HYPERLINK("https://sites.wustl.edu/meteoritesite/items/lm_nwa_16277/",Q562)</f>
        <v>Northwest Africa 16277</v>
      </c>
      <c r="D562" s="210"/>
      <c r="E562" s="210"/>
      <c r="F562" s="211"/>
      <c r="G562" s="89">
        <v>2022</v>
      </c>
      <c r="H562" s="214" t="s">
        <v>616</v>
      </c>
      <c r="I562" s="215"/>
      <c r="J562" s="145">
        <v>2031</v>
      </c>
      <c r="K562" s="212" t="s">
        <v>51</v>
      </c>
      <c r="L562" s="213"/>
      <c r="M562" s="32" t="s">
        <v>40</v>
      </c>
      <c r="N562" s="32" t="s">
        <v>40</v>
      </c>
      <c r="P562" s="125">
        <f t="shared" si="213"/>
        <v>2031</v>
      </c>
      <c r="Q562" s="54" t="s">
        <v>727</v>
      </c>
      <c r="R562" s="48"/>
      <c r="S562" s="49"/>
      <c r="T562" s="50">
        <f t="shared" si="214"/>
        <v>0</v>
      </c>
      <c r="V562" s="51">
        <v>2031</v>
      </c>
      <c r="W562" s="51"/>
      <c r="X562" s="51"/>
      <c r="Y562" s="51"/>
      <c r="Z562" s="51"/>
      <c r="AA562" s="51"/>
      <c r="AB562" s="51"/>
      <c r="AC562" s="51"/>
      <c r="AD562" s="51"/>
      <c r="AE562" s="51"/>
      <c r="AF562" s="51"/>
      <c r="AG562" s="51"/>
      <c r="AH562" s="51"/>
      <c r="AI562" s="51"/>
      <c r="AJ562" s="51"/>
      <c r="AK562" s="51"/>
      <c r="AL562" s="51"/>
      <c r="AM562" s="51"/>
      <c r="AN562" s="51"/>
      <c r="AO562" s="51"/>
      <c r="AP562" s="51"/>
      <c r="AQ562" s="51"/>
      <c r="AR562" s="51"/>
      <c r="AS562" s="51"/>
      <c r="AT562" s="51"/>
      <c r="AU562" s="51"/>
      <c r="AV562" s="51"/>
      <c r="AW562" s="51"/>
      <c r="AX562" s="51"/>
      <c r="AY562" s="51"/>
      <c r="AZ562" s="51"/>
      <c r="BA562" s="51"/>
      <c r="BB562" s="51"/>
      <c r="BC562" s="51"/>
      <c r="BD562" s="51"/>
      <c r="BE562" s="51"/>
      <c r="BF562" s="51"/>
      <c r="BG562" s="51"/>
      <c r="BH562" s="51"/>
      <c r="BI562" s="51"/>
      <c r="BJ562" s="51"/>
      <c r="BK562" s="51"/>
      <c r="BL562" s="51"/>
      <c r="BM562" s="51"/>
      <c r="BN562" s="51"/>
      <c r="BO562" s="51"/>
      <c r="BP562" s="51"/>
      <c r="BQ562" s="51"/>
      <c r="BT562" s="53"/>
      <c r="BU562" s="25"/>
    </row>
    <row r="563" spans="2:73" ht="12.75" customHeight="1" x14ac:dyDescent="0.25">
      <c r="B563" s="144"/>
      <c r="C563" s="209" t="str">
        <f>HYPERLINK("https://sites.wustl.edu/meteoritesite/items/lm_nwa_16278/",Q563)</f>
        <v>Northwest Africa 16278</v>
      </c>
      <c r="D563" s="210"/>
      <c r="E563" s="210"/>
      <c r="F563" s="211"/>
      <c r="G563" s="89">
        <v>2023</v>
      </c>
      <c r="H563" s="214" t="s">
        <v>38</v>
      </c>
      <c r="I563" s="215"/>
      <c r="J563" s="145">
        <v>10201</v>
      </c>
      <c r="K563" s="212" t="s">
        <v>39</v>
      </c>
      <c r="L563" s="213"/>
      <c r="M563" s="32" t="s">
        <v>40</v>
      </c>
      <c r="N563" s="32" t="s">
        <v>40</v>
      </c>
      <c r="P563" s="125">
        <f t="shared" si="213"/>
        <v>10201</v>
      </c>
      <c r="Q563" s="54" t="s">
        <v>711</v>
      </c>
      <c r="R563" s="48"/>
      <c r="S563" s="49"/>
      <c r="T563" s="50">
        <f t="shared" si="214"/>
        <v>0</v>
      </c>
      <c r="V563" s="51">
        <v>10201</v>
      </c>
      <c r="W563" s="51"/>
      <c r="X563" s="51"/>
      <c r="Y563" s="51"/>
      <c r="Z563" s="51"/>
      <c r="AA563" s="51"/>
      <c r="AB563" s="51"/>
      <c r="AC563" s="51"/>
      <c r="AD563" s="51"/>
      <c r="AE563" s="51"/>
      <c r="AF563" s="51"/>
      <c r="AG563" s="51"/>
      <c r="AH563" s="51"/>
      <c r="AI563" s="51"/>
      <c r="AJ563" s="51"/>
      <c r="AK563" s="51"/>
      <c r="AL563" s="51"/>
      <c r="AM563" s="51"/>
      <c r="AN563" s="51"/>
      <c r="AO563" s="51"/>
      <c r="AP563" s="51"/>
      <c r="AQ563" s="51"/>
      <c r="AR563" s="51"/>
      <c r="AS563" s="51"/>
      <c r="AT563" s="51"/>
      <c r="AU563" s="51"/>
      <c r="AV563" s="51"/>
      <c r="AW563" s="51"/>
      <c r="AX563" s="51"/>
      <c r="AY563" s="51"/>
      <c r="AZ563" s="51"/>
      <c r="BA563" s="51"/>
      <c r="BB563" s="51"/>
      <c r="BC563" s="51"/>
      <c r="BD563" s="51"/>
      <c r="BE563" s="51"/>
      <c r="BF563" s="51"/>
      <c r="BG563" s="51"/>
      <c r="BH563" s="51"/>
      <c r="BI563" s="51"/>
      <c r="BJ563" s="51"/>
      <c r="BK563" s="51"/>
      <c r="BL563" s="51"/>
      <c r="BM563" s="51"/>
      <c r="BN563" s="51"/>
      <c r="BO563" s="51"/>
      <c r="BP563" s="51"/>
      <c r="BQ563" s="51"/>
      <c r="BT563" s="53"/>
      <c r="BU563" s="25"/>
    </row>
    <row r="564" spans="2:73" ht="12.75" customHeight="1" x14ac:dyDescent="0.25">
      <c r="B564" s="144"/>
      <c r="C564" s="209" t="str">
        <f>HYPERLINK("https://sites.wustl.edu/meteoritesite/items/lm_nwa_16282/",Q564)</f>
        <v>Northwest Africa 16282</v>
      </c>
      <c r="D564" s="210"/>
      <c r="E564" s="210"/>
      <c r="F564" s="211"/>
      <c r="G564" s="89">
        <v>2023</v>
      </c>
      <c r="H564" s="214" t="s">
        <v>616</v>
      </c>
      <c r="I564" s="215"/>
      <c r="J564" s="145">
        <v>7525</v>
      </c>
      <c r="K564" s="212" t="s">
        <v>39</v>
      </c>
      <c r="L564" s="213"/>
      <c r="M564" s="32" t="s">
        <v>40</v>
      </c>
      <c r="N564" s="32" t="s">
        <v>40</v>
      </c>
      <c r="P564" s="125">
        <f t="shared" si="213"/>
        <v>7525</v>
      </c>
      <c r="Q564" s="54" t="s">
        <v>712</v>
      </c>
      <c r="R564" s="48"/>
      <c r="S564" s="49"/>
      <c r="T564" s="50">
        <f t="shared" si="214"/>
        <v>0</v>
      </c>
      <c r="V564" s="51">
        <v>7525</v>
      </c>
      <c r="W564" s="51"/>
      <c r="X564" s="51"/>
      <c r="Y564" s="51"/>
      <c r="Z564" s="51"/>
      <c r="AA564" s="51"/>
      <c r="AB564" s="51"/>
      <c r="AC564" s="51"/>
      <c r="AD564" s="51"/>
      <c r="AE564" s="51"/>
      <c r="AF564" s="51"/>
      <c r="AG564" s="51"/>
      <c r="AH564" s="51"/>
      <c r="AI564" s="51"/>
      <c r="AJ564" s="51"/>
      <c r="AK564" s="51"/>
      <c r="AL564" s="51"/>
      <c r="AM564" s="51"/>
      <c r="AN564" s="51"/>
      <c r="AO564" s="51"/>
      <c r="AP564" s="51"/>
      <c r="AQ564" s="51"/>
      <c r="AR564" s="51"/>
      <c r="AS564" s="51"/>
      <c r="AT564" s="51"/>
      <c r="AU564" s="51"/>
      <c r="AV564" s="51"/>
      <c r="AW564" s="51"/>
      <c r="AX564" s="51"/>
      <c r="AY564" s="51"/>
      <c r="AZ564" s="51"/>
      <c r="BA564" s="51"/>
      <c r="BB564" s="51"/>
      <c r="BC564" s="51"/>
      <c r="BD564" s="51"/>
      <c r="BE564" s="51"/>
      <c r="BF564" s="51"/>
      <c r="BG564" s="51"/>
      <c r="BH564" s="51"/>
      <c r="BI564" s="51"/>
      <c r="BJ564" s="51"/>
      <c r="BK564" s="51"/>
      <c r="BL564" s="51"/>
      <c r="BM564" s="51"/>
      <c r="BN564" s="51"/>
      <c r="BO564" s="51"/>
      <c r="BP564" s="51"/>
      <c r="BQ564" s="51"/>
      <c r="BT564" s="53"/>
      <c r="BU564" s="25"/>
    </row>
    <row r="565" spans="2:73" ht="12.75" customHeight="1" x14ac:dyDescent="0.25">
      <c r="B565" s="144"/>
      <c r="C565" s="209" t="str">
        <f>HYPERLINK("https://sites.wustl.edu/meteoritesite/items/lm_nwa_16283/",Q565)</f>
        <v>Northwest Africa 16283</v>
      </c>
      <c r="D565" s="210"/>
      <c r="E565" s="210"/>
      <c r="F565" s="211"/>
      <c r="G565" s="89">
        <v>2023</v>
      </c>
      <c r="H565" s="236" t="s">
        <v>41</v>
      </c>
      <c r="I565" s="237"/>
      <c r="J565" s="145">
        <v>20000</v>
      </c>
      <c r="K565" s="212" t="s">
        <v>39</v>
      </c>
      <c r="L565" s="213"/>
      <c r="M565" s="32" t="s">
        <v>40</v>
      </c>
      <c r="N565" s="32" t="s">
        <v>40</v>
      </c>
      <c r="P565" s="125">
        <f t="shared" si="213"/>
        <v>20000</v>
      </c>
      <c r="Q565" s="54" t="s">
        <v>713</v>
      </c>
      <c r="R565" s="48"/>
      <c r="S565" s="49"/>
      <c r="T565" s="50">
        <f t="shared" si="214"/>
        <v>0</v>
      </c>
      <c r="V565" s="51">
        <v>20000</v>
      </c>
      <c r="W565" s="51"/>
      <c r="X565" s="51"/>
      <c r="Y565" s="51"/>
      <c r="Z565" s="51"/>
      <c r="AA565" s="51"/>
      <c r="AB565" s="51"/>
      <c r="AC565" s="51"/>
      <c r="AD565" s="51"/>
      <c r="AE565" s="51"/>
      <c r="AF565" s="51"/>
      <c r="AG565" s="51"/>
      <c r="AH565" s="51"/>
      <c r="AI565" s="51"/>
      <c r="AJ565" s="51"/>
      <c r="AK565" s="51"/>
      <c r="AL565" s="51"/>
      <c r="AM565" s="51"/>
      <c r="AN565" s="51"/>
      <c r="AO565" s="51"/>
      <c r="AP565" s="51"/>
      <c r="AQ565" s="51"/>
      <c r="AR565" s="51"/>
      <c r="AS565" s="51"/>
      <c r="AT565" s="51"/>
      <c r="AU565" s="51"/>
      <c r="AV565" s="51"/>
      <c r="AW565" s="51"/>
      <c r="AX565" s="51"/>
      <c r="AY565" s="51"/>
      <c r="AZ565" s="51"/>
      <c r="BA565" s="51"/>
      <c r="BB565" s="51"/>
      <c r="BC565" s="51"/>
      <c r="BD565" s="51"/>
      <c r="BE565" s="51"/>
      <c r="BF565" s="51"/>
      <c r="BG565" s="51"/>
      <c r="BH565" s="51"/>
      <c r="BI565" s="51"/>
      <c r="BJ565" s="51"/>
      <c r="BK565" s="51"/>
      <c r="BL565" s="51"/>
      <c r="BM565" s="51"/>
      <c r="BN565" s="51"/>
      <c r="BO565" s="51"/>
      <c r="BP565" s="51"/>
      <c r="BQ565" s="51"/>
      <c r="BT565" s="53"/>
      <c r="BU565" s="25"/>
    </row>
    <row r="566" spans="2:73" ht="12.75" customHeight="1" x14ac:dyDescent="0.25">
      <c r="B566" s="144"/>
      <c r="C566" s="209" t="str">
        <f>HYPERLINK("https://sites.wustl.edu/meteoritesite/items/lm_nwa_16286/",Q566)</f>
        <v>Northwest Africa 16286</v>
      </c>
      <c r="D566" s="210"/>
      <c r="E566" s="210"/>
      <c r="F566" s="211"/>
      <c r="G566" s="89">
        <v>2023</v>
      </c>
      <c r="H566" s="240" t="s">
        <v>682</v>
      </c>
      <c r="I566" s="240"/>
      <c r="J566" s="145">
        <v>311</v>
      </c>
      <c r="K566" s="212" t="s">
        <v>39</v>
      </c>
      <c r="L566" s="213"/>
      <c r="M566" s="32" t="s">
        <v>342</v>
      </c>
      <c r="N566" s="32" t="s">
        <v>40</v>
      </c>
      <c r="P566" s="125">
        <f t="shared" ref="P566" si="215">SUM(V566:BQ566)</f>
        <v>311</v>
      </c>
      <c r="Q566" s="54" t="s">
        <v>728</v>
      </c>
      <c r="R566" s="48"/>
      <c r="S566" s="49"/>
      <c r="T566" s="50">
        <f t="shared" ref="T566" si="216">J566-P566</f>
        <v>0</v>
      </c>
      <c r="V566" s="51">
        <v>311</v>
      </c>
      <c r="W566" s="51"/>
      <c r="X566" s="51"/>
      <c r="Y566" s="51"/>
      <c r="Z566" s="51"/>
      <c r="AA566" s="51"/>
      <c r="AB566" s="51"/>
      <c r="AC566" s="51"/>
      <c r="AD566" s="51"/>
      <c r="AE566" s="51"/>
      <c r="AF566" s="51"/>
      <c r="AG566" s="51"/>
      <c r="AH566" s="51"/>
      <c r="AI566" s="51"/>
      <c r="AJ566" s="51"/>
      <c r="AK566" s="51"/>
      <c r="AL566" s="51"/>
      <c r="AM566" s="51"/>
      <c r="AN566" s="51"/>
      <c r="AO566" s="51"/>
      <c r="AP566" s="51"/>
      <c r="AQ566" s="51"/>
      <c r="AR566" s="51"/>
      <c r="AS566" s="51"/>
      <c r="AT566" s="51"/>
      <c r="AU566" s="51"/>
      <c r="AV566" s="51"/>
      <c r="AW566" s="51"/>
      <c r="AX566" s="51"/>
      <c r="AY566" s="51"/>
      <c r="AZ566" s="51"/>
      <c r="BA566" s="51"/>
      <c r="BB566" s="51"/>
      <c r="BC566" s="51"/>
      <c r="BD566" s="51"/>
      <c r="BE566" s="51"/>
      <c r="BF566" s="51"/>
      <c r="BG566" s="51"/>
      <c r="BH566" s="51"/>
      <c r="BI566" s="51"/>
      <c r="BJ566" s="51"/>
      <c r="BK566" s="51"/>
      <c r="BL566" s="51"/>
      <c r="BM566" s="51"/>
      <c r="BN566" s="51"/>
      <c r="BO566" s="51"/>
      <c r="BP566" s="51"/>
      <c r="BQ566" s="51"/>
      <c r="BT566" s="53"/>
      <c r="BU566" s="25"/>
    </row>
    <row r="567" spans="2:73" ht="12.75" customHeight="1" x14ac:dyDescent="0.25">
      <c r="B567" s="144"/>
      <c r="C567" s="209" t="str">
        <f>HYPERLINK("https://sites.wustl.edu/meteoritesite/items/lm_nwa_16292/",Q567)</f>
        <v>Northwest Africa 16292</v>
      </c>
      <c r="D567" s="210"/>
      <c r="E567" s="210"/>
      <c r="F567" s="211"/>
      <c r="G567" s="89">
        <v>2022</v>
      </c>
      <c r="H567" s="214" t="s">
        <v>616</v>
      </c>
      <c r="I567" s="215"/>
      <c r="J567" s="145">
        <v>3120</v>
      </c>
      <c r="K567" s="212" t="s">
        <v>39</v>
      </c>
      <c r="L567" s="213"/>
      <c r="M567" s="32" t="s">
        <v>40</v>
      </c>
      <c r="N567" s="32" t="s">
        <v>40</v>
      </c>
      <c r="P567" s="125">
        <f t="shared" si="213"/>
        <v>3120</v>
      </c>
      <c r="Q567" s="54" t="s">
        <v>714</v>
      </c>
      <c r="R567" s="48"/>
      <c r="S567" s="49"/>
      <c r="T567" s="50">
        <f t="shared" si="214"/>
        <v>0</v>
      </c>
      <c r="V567" s="51">
        <v>3120</v>
      </c>
      <c r="W567" s="51"/>
      <c r="X567" s="51"/>
      <c r="Y567" s="51"/>
      <c r="Z567" s="51"/>
      <c r="AA567" s="51"/>
      <c r="AB567" s="51"/>
      <c r="AC567" s="51"/>
      <c r="AD567" s="51"/>
      <c r="AE567" s="51"/>
      <c r="AF567" s="51"/>
      <c r="AG567" s="51"/>
      <c r="AH567" s="51"/>
      <c r="AI567" s="51"/>
      <c r="AJ567" s="51"/>
      <c r="AK567" s="51"/>
      <c r="AL567" s="51"/>
      <c r="AM567" s="51"/>
      <c r="AN567" s="51"/>
      <c r="AO567" s="51"/>
      <c r="AP567" s="51"/>
      <c r="AQ567" s="51"/>
      <c r="AR567" s="51"/>
      <c r="AS567" s="51"/>
      <c r="AT567" s="51"/>
      <c r="AU567" s="51"/>
      <c r="AV567" s="51"/>
      <c r="AW567" s="51"/>
      <c r="AX567" s="51"/>
      <c r="AY567" s="51"/>
      <c r="AZ567" s="51"/>
      <c r="BA567" s="51"/>
      <c r="BB567" s="51"/>
      <c r="BC567" s="51"/>
      <c r="BD567" s="51"/>
      <c r="BE567" s="51"/>
      <c r="BF567" s="51"/>
      <c r="BG567" s="51"/>
      <c r="BH567" s="51"/>
      <c r="BI567" s="51"/>
      <c r="BJ567" s="51"/>
      <c r="BK567" s="51"/>
      <c r="BL567" s="51"/>
      <c r="BM567" s="51"/>
      <c r="BN567" s="51"/>
      <c r="BO567" s="51"/>
      <c r="BP567" s="51"/>
      <c r="BQ567" s="51"/>
      <c r="BT567" s="53"/>
      <c r="BU567" s="25"/>
    </row>
    <row r="568" spans="2:73" ht="12.75" customHeight="1" x14ac:dyDescent="0.25">
      <c r="B568" s="144"/>
      <c r="C568" s="209" t="str">
        <f>HYPERLINK("https://sites.wustl.edu/meteoritesite/items/lm_nwa_16294/",Q568)</f>
        <v>Northwest Africa 16294</v>
      </c>
      <c r="D568" s="210"/>
      <c r="E568" s="210"/>
      <c r="F568" s="211"/>
      <c r="G568" s="89">
        <v>2022</v>
      </c>
      <c r="H568" s="214" t="s">
        <v>616</v>
      </c>
      <c r="I568" s="215"/>
      <c r="J568" s="145">
        <v>394</v>
      </c>
      <c r="K568" s="212" t="s">
        <v>66</v>
      </c>
      <c r="L568" s="213"/>
      <c r="M568" s="32" t="s">
        <v>40</v>
      </c>
      <c r="N568" s="32" t="s">
        <v>40</v>
      </c>
      <c r="P568" s="125">
        <f t="shared" si="213"/>
        <v>394</v>
      </c>
      <c r="Q568" s="54" t="s">
        <v>715</v>
      </c>
      <c r="R568" s="48"/>
      <c r="S568" s="49"/>
      <c r="T568" s="50">
        <f t="shared" si="214"/>
        <v>0</v>
      </c>
      <c r="V568" s="51">
        <v>394</v>
      </c>
      <c r="W568" s="51"/>
      <c r="X568" s="51"/>
      <c r="Y568" s="51"/>
      <c r="Z568" s="51"/>
      <c r="AA568" s="51"/>
      <c r="AB568" s="51"/>
      <c r="AC568" s="51"/>
      <c r="AD568" s="51"/>
      <c r="AE568" s="51"/>
      <c r="AF568" s="51"/>
      <c r="AG568" s="51"/>
      <c r="AH568" s="51"/>
      <c r="AI568" s="51"/>
      <c r="AJ568" s="51"/>
      <c r="AK568" s="51"/>
      <c r="AL568" s="51"/>
      <c r="AM568" s="51"/>
      <c r="AN568" s="51"/>
      <c r="AO568" s="51"/>
      <c r="AP568" s="51"/>
      <c r="AQ568" s="51"/>
      <c r="AR568" s="51"/>
      <c r="AS568" s="51"/>
      <c r="AT568" s="51"/>
      <c r="AU568" s="51"/>
      <c r="AV568" s="51"/>
      <c r="AW568" s="51"/>
      <c r="AX568" s="51"/>
      <c r="AY568" s="51"/>
      <c r="AZ568" s="51"/>
      <c r="BA568" s="51"/>
      <c r="BB568" s="51"/>
      <c r="BC568" s="51"/>
      <c r="BD568" s="51"/>
      <c r="BE568" s="51"/>
      <c r="BF568" s="51"/>
      <c r="BG568" s="51"/>
      <c r="BH568" s="51"/>
      <c r="BI568" s="51"/>
      <c r="BJ568" s="51"/>
      <c r="BK568" s="51"/>
      <c r="BL568" s="51"/>
      <c r="BM568" s="51"/>
      <c r="BN568" s="51"/>
      <c r="BO568" s="51"/>
      <c r="BP568" s="51"/>
      <c r="BQ568" s="51"/>
      <c r="BT568" s="53"/>
      <c r="BU568" s="25"/>
    </row>
    <row r="569" spans="2:73" ht="13.5" customHeight="1" x14ac:dyDescent="0.25">
      <c r="B569" s="144"/>
      <c r="C569" s="209" t="str">
        <f>HYPERLINK("https://sites.wustl.edu/meteoritesite/items/lm_nwa_16315/",Q569)</f>
        <v>Northwest Africa 16315</v>
      </c>
      <c r="D569" s="210"/>
      <c r="E569" s="210"/>
      <c r="F569" s="211"/>
      <c r="G569" s="89">
        <v>2023</v>
      </c>
      <c r="H569" s="214" t="s">
        <v>189</v>
      </c>
      <c r="I569" s="215"/>
      <c r="J569" s="145">
        <v>785</v>
      </c>
      <c r="K569" s="212" t="s">
        <v>51</v>
      </c>
      <c r="L569" s="213"/>
      <c r="M569" s="32" t="s">
        <v>40</v>
      </c>
      <c r="N569" s="32" t="s">
        <v>40</v>
      </c>
      <c r="P569" s="125">
        <f t="shared" si="213"/>
        <v>785</v>
      </c>
      <c r="Q569" s="54" t="s">
        <v>796</v>
      </c>
      <c r="R569" s="48"/>
      <c r="S569" s="49"/>
      <c r="T569" s="50">
        <f t="shared" si="214"/>
        <v>0</v>
      </c>
      <c r="V569" s="51">
        <v>785</v>
      </c>
      <c r="W569" s="51"/>
      <c r="X569" s="51"/>
      <c r="Y569" s="51"/>
      <c r="Z569" s="51"/>
      <c r="AA569" s="51"/>
      <c r="AB569" s="51"/>
      <c r="AC569" s="51"/>
      <c r="AD569" s="51"/>
      <c r="AE569" s="51"/>
      <c r="AF569" s="51"/>
      <c r="AG569" s="51"/>
      <c r="AH569" s="51"/>
      <c r="AI569" s="51"/>
      <c r="AJ569" s="51"/>
      <c r="AK569" s="51"/>
      <c r="AL569" s="51"/>
      <c r="AM569" s="51"/>
      <c r="AN569" s="51"/>
      <c r="AO569" s="51"/>
      <c r="AP569" s="51"/>
      <c r="AQ569" s="51"/>
      <c r="AR569" s="51"/>
      <c r="AS569" s="51"/>
      <c r="AT569" s="51"/>
      <c r="AU569" s="51"/>
      <c r="AV569" s="51"/>
      <c r="AW569" s="51"/>
      <c r="AX569" s="51"/>
      <c r="AY569" s="51"/>
      <c r="AZ569" s="51"/>
      <c r="BA569" s="51"/>
      <c r="BB569" s="51"/>
      <c r="BC569" s="51"/>
      <c r="BD569" s="51"/>
      <c r="BE569" s="51"/>
      <c r="BF569" s="51"/>
      <c r="BG569" s="51"/>
      <c r="BH569" s="51"/>
      <c r="BI569" s="51"/>
      <c r="BJ569" s="51"/>
      <c r="BK569" s="51"/>
      <c r="BL569" s="51"/>
      <c r="BM569" s="51"/>
      <c r="BN569" s="51"/>
      <c r="BO569" s="51"/>
      <c r="BP569" s="51"/>
      <c r="BQ569" s="51"/>
      <c r="BT569" s="53"/>
      <c r="BU569" s="25"/>
    </row>
    <row r="570" spans="2:73" ht="13.5" customHeight="1" x14ac:dyDescent="0.25">
      <c r="B570" s="144"/>
      <c r="C570" s="209" t="str">
        <f>HYPERLINK("https://sites.wustl.edu/meteoritesite/items/lm_nwa_16349/",Q570)</f>
        <v>Northwest Africa 16349</v>
      </c>
      <c r="D570" s="210"/>
      <c r="E570" s="210"/>
      <c r="F570" s="211"/>
      <c r="G570" s="89">
        <v>2020</v>
      </c>
      <c r="H570" s="240" t="s">
        <v>730</v>
      </c>
      <c r="I570" s="240"/>
      <c r="J570" s="145">
        <v>50</v>
      </c>
      <c r="K570" s="212" t="s">
        <v>66</v>
      </c>
      <c r="L570" s="213"/>
      <c r="M570" s="32" t="s">
        <v>536</v>
      </c>
      <c r="N570" s="32" t="s">
        <v>40</v>
      </c>
      <c r="P570" s="125">
        <f t="shared" si="213"/>
        <v>50</v>
      </c>
      <c r="Q570" s="54" t="s">
        <v>729</v>
      </c>
      <c r="R570" s="48"/>
      <c r="S570" s="49"/>
      <c r="T570" s="50">
        <f t="shared" ref="T570:T573" si="217">J570-P570</f>
        <v>0</v>
      </c>
      <c r="V570" s="51">
        <v>50</v>
      </c>
      <c r="W570" s="51"/>
      <c r="X570" s="51"/>
      <c r="Y570" s="51"/>
      <c r="Z570" s="51"/>
      <c r="AA570" s="51"/>
      <c r="AB570" s="51"/>
      <c r="AC570" s="51"/>
      <c r="AD570" s="51"/>
      <c r="AE570" s="51"/>
      <c r="AF570" s="51"/>
      <c r="AG570" s="51"/>
      <c r="AH570" s="51"/>
      <c r="AI570" s="51"/>
      <c r="AJ570" s="51"/>
      <c r="AK570" s="51"/>
      <c r="AL570" s="51"/>
      <c r="AM570" s="51"/>
      <c r="AN570" s="51"/>
      <c r="AO570" s="51"/>
      <c r="AP570" s="51"/>
      <c r="AQ570" s="51"/>
      <c r="AR570" s="51"/>
      <c r="AS570" s="51"/>
      <c r="AT570" s="51"/>
      <c r="AU570" s="51"/>
      <c r="AV570" s="51"/>
      <c r="AW570" s="51"/>
      <c r="AX570" s="51"/>
      <c r="AY570" s="51"/>
      <c r="AZ570" s="51"/>
      <c r="BA570" s="51"/>
      <c r="BB570" s="51"/>
      <c r="BC570" s="51"/>
      <c r="BD570" s="51"/>
      <c r="BE570" s="51"/>
      <c r="BF570" s="51"/>
      <c r="BG570" s="51"/>
      <c r="BH570" s="51"/>
      <c r="BI570" s="51"/>
      <c r="BJ570" s="51"/>
      <c r="BK570" s="51"/>
      <c r="BL570" s="51"/>
      <c r="BM570" s="51"/>
      <c r="BN570" s="51"/>
      <c r="BO570" s="51"/>
      <c r="BP570" s="51"/>
      <c r="BQ570" s="51"/>
      <c r="BT570" s="53"/>
      <c r="BU570" s="25"/>
    </row>
    <row r="571" spans="2:73" ht="12.75" customHeight="1" x14ac:dyDescent="0.25">
      <c r="B571" s="144"/>
      <c r="C571" s="209" t="str">
        <f>HYPERLINK("https://sites.wustl.edu/meteoritesite/items/lm_nwa_16366/",Q571)</f>
        <v>Northwest Africa 16366</v>
      </c>
      <c r="D571" s="210"/>
      <c r="E571" s="210"/>
      <c r="F571" s="211"/>
      <c r="G571" s="89">
        <v>2023</v>
      </c>
      <c r="H571" s="214" t="s">
        <v>34</v>
      </c>
      <c r="I571" s="215"/>
      <c r="J571" s="145">
        <v>9500</v>
      </c>
      <c r="K571" s="212" t="s">
        <v>44</v>
      </c>
      <c r="L571" s="213"/>
      <c r="M571" s="32" t="s">
        <v>40</v>
      </c>
      <c r="N571" s="32" t="s">
        <v>40</v>
      </c>
      <c r="P571" s="125">
        <f t="shared" si="213"/>
        <v>9500</v>
      </c>
      <c r="Q571" s="54" t="s">
        <v>731</v>
      </c>
      <c r="R571" s="48"/>
      <c r="S571" s="49"/>
      <c r="T571" s="50">
        <f t="shared" si="217"/>
        <v>0</v>
      </c>
      <c r="V571" s="51">
        <v>9500</v>
      </c>
      <c r="W571" s="51"/>
      <c r="X571" s="51"/>
      <c r="Y571" s="51"/>
      <c r="Z571" s="51"/>
      <c r="AA571" s="51"/>
      <c r="AB571" s="51"/>
      <c r="AC571" s="51"/>
      <c r="AD571" s="51"/>
      <c r="AE571" s="51"/>
      <c r="AF571" s="51"/>
      <c r="AG571" s="51"/>
      <c r="AH571" s="51"/>
      <c r="AI571" s="51"/>
      <c r="AJ571" s="51"/>
      <c r="AK571" s="51"/>
      <c r="AL571" s="51"/>
      <c r="AM571" s="51"/>
      <c r="AN571" s="51"/>
      <c r="AO571" s="51"/>
      <c r="AP571" s="51"/>
      <c r="AQ571" s="51"/>
      <c r="AR571" s="51"/>
      <c r="AS571" s="51"/>
      <c r="AT571" s="51"/>
      <c r="AU571" s="51"/>
      <c r="AV571" s="51"/>
      <c r="AW571" s="51"/>
      <c r="AX571" s="51"/>
      <c r="AY571" s="51"/>
      <c r="AZ571" s="51"/>
      <c r="BA571" s="51"/>
      <c r="BB571" s="51"/>
      <c r="BC571" s="51"/>
      <c r="BD571" s="51"/>
      <c r="BE571" s="51"/>
      <c r="BF571" s="51"/>
      <c r="BG571" s="51"/>
      <c r="BH571" s="51"/>
      <c r="BI571" s="51"/>
      <c r="BJ571" s="51"/>
      <c r="BK571" s="51"/>
      <c r="BL571" s="51"/>
      <c r="BM571" s="51"/>
      <c r="BN571" s="51"/>
      <c r="BO571" s="51"/>
      <c r="BP571" s="51"/>
      <c r="BQ571" s="51"/>
      <c r="BT571" s="53"/>
      <c r="BU571" s="25"/>
    </row>
    <row r="572" spans="2:73" ht="12.75" customHeight="1" x14ac:dyDescent="0.25">
      <c r="B572" s="144"/>
      <c r="C572" s="209" t="str">
        <f>HYPERLINK("https://sites.wustl.edu/meteoritesite/items/lm_nwa_16372/",Q572)</f>
        <v>Northwest Africa 16372</v>
      </c>
      <c r="D572" s="210"/>
      <c r="E572" s="210"/>
      <c r="F572" s="211"/>
      <c r="G572" s="89">
        <v>2023</v>
      </c>
      <c r="H572" s="214" t="s">
        <v>662</v>
      </c>
      <c r="I572" s="215"/>
      <c r="J572" s="145">
        <v>1200</v>
      </c>
      <c r="K572" s="212" t="s">
        <v>39</v>
      </c>
      <c r="L572" s="213"/>
      <c r="M572" s="32" t="s">
        <v>40</v>
      </c>
      <c r="N572" s="32" t="s">
        <v>40</v>
      </c>
      <c r="P572" s="125">
        <f t="shared" ref="P572" si="218">SUM(V572:BQ572)</f>
        <v>1200</v>
      </c>
      <c r="Q572" s="54" t="s">
        <v>741</v>
      </c>
      <c r="R572" s="48"/>
      <c r="S572" s="49"/>
      <c r="T572" s="50">
        <f t="shared" ref="T572" si="219">J572-P572</f>
        <v>0</v>
      </c>
      <c r="V572" s="51">
        <v>1200</v>
      </c>
      <c r="W572" s="51"/>
      <c r="X572" s="51"/>
      <c r="Y572" s="51"/>
      <c r="Z572" s="51"/>
      <c r="AA572" s="51"/>
      <c r="AB572" s="51"/>
      <c r="AC572" s="51"/>
      <c r="AD572" s="51"/>
      <c r="AE572" s="51"/>
      <c r="AF572" s="51"/>
      <c r="AG572" s="51"/>
      <c r="AH572" s="51"/>
      <c r="AI572" s="51"/>
      <c r="AJ572" s="51"/>
      <c r="AK572" s="51"/>
      <c r="AL572" s="51"/>
      <c r="AM572" s="51"/>
      <c r="AN572" s="51"/>
      <c r="AO572" s="51"/>
      <c r="AP572" s="51"/>
      <c r="AQ572" s="51"/>
      <c r="AR572" s="51"/>
      <c r="AS572" s="51"/>
      <c r="AT572" s="51"/>
      <c r="AU572" s="51"/>
      <c r="AV572" s="51"/>
      <c r="AW572" s="51"/>
      <c r="AX572" s="51"/>
      <c r="AY572" s="51"/>
      <c r="AZ572" s="51"/>
      <c r="BA572" s="51"/>
      <c r="BB572" s="51"/>
      <c r="BC572" s="51"/>
      <c r="BD572" s="51"/>
      <c r="BE572" s="51"/>
      <c r="BF572" s="51"/>
      <c r="BG572" s="51"/>
      <c r="BH572" s="51"/>
      <c r="BI572" s="51"/>
      <c r="BJ572" s="51"/>
      <c r="BK572" s="51"/>
      <c r="BL572" s="51"/>
      <c r="BM572" s="51"/>
      <c r="BN572" s="51"/>
      <c r="BO572" s="51"/>
      <c r="BP572" s="51"/>
      <c r="BQ572" s="51"/>
      <c r="BT572" s="53"/>
      <c r="BU572" s="25"/>
    </row>
    <row r="573" spans="2:73" ht="12.75" customHeight="1" x14ac:dyDescent="0.25">
      <c r="B573" s="144"/>
      <c r="C573" s="209" t="str">
        <f>HYPERLINK("https://sites.wustl.edu/meteoritesite/items/lm_nwa_15500/",Q573)</f>
        <v>Northwest Africa 16400</v>
      </c>
      <c r="D573" s="210"/>
      <c r="E573" s="210"/>
      <c r="F573" s="211"/>
      <c r="G573" s="89">
        <v>2023</v>
      </c>
      <c r="H573" s="214" t="s">
        <v>38</v>
      </c>
      <c r="I573" s="215"/>
      <c r="J573" s="145">
        <v>50</v>
      </c>
      <c r="K573" s="212" t="s">
        <v>39</v>
      </c>
      <c r="L573" s="213"/>
      <c r="M573" s="32" t="s">
        <v>40</v>
      </c>
      <c r="N573" s="32" t="s">
        <v>40</v>
      </c>
      <c r="P573" s="125">
        <f t="shared" si="213"/>
        <v>50</v>
      </c>
      <c r="Q573" s="54" t="s">
        <v>732</v>
      </c>
      <c r="R573" s="48"/>
      <c r="S573" s="49"/>
      <c r="T573" s="50">
        <f t="shared" si="217"/>
        <v>0</v>
      </c>
      <c r="V573" s="51">
        <v>50</v>
      </c>
      <c r="W573" s="51"/>
      <c r="X573" s="51"/>
      <c r="Y573" s="51"/>
      <c r="Z573" s="51"/>
      <c r="AA573" s="51"/>
      <c r="AB573" s="51"/>
      <c r="AC573" s="51"/>
      <c r="AD573" s="51"/>
      <c r="AE573" s="51"/>
      <c r="AF573" s="51"/>
      <c r="AG573" s="51"/>
      <c r="AH573" s="51"/>
      <c r="AI573" s="51"/>
      <c r="AJ573" s="51"/>
      <c r="AK573" s="51"/>
      <c r="AL573" s="51"/>
      <c r="AM573" s="51"/>
      <c r="AN573" s="51"/>
      <c r="AO573" s="51"/>
      <c r="AP573" s="51"/>
      <c r="AQ573" s="51"/>
      <c r="AR573" s="51"/>
      <c r="AS573" s="51"/>
      <c r="AT573" s="51"/>
      <c r="AU573" s="51"/>
      <c r="AV573" s="51"/>
      <c r="AW573" s="51"/>
      <c r="AX573" s="51"/>
      <c r="AY573" s="51"/>
      <c r="AZ573" s="51"/>
      <c r="BA573" s="51"/>
      <c r="BB573" s="51"/>
      <c r="BC573" s="51"/>
      <c r="BD573" s="51"/>
      <c r="BE573" s="51"/>
      <c r="BF573" s="51"/>
      <c r="BG573" s="51"/>
      <c r="BH573" s="51"/>
      <c r="BI573" s="51"/>
      <c r="BJ573" s="51"/>
      <c r="BK573" s="51"/>
      <c r="BL573" s="51"/>
      <c r="BM573" s="51"/>
      <c r="BN573" s="51"/>
      <c r="BO573" s="51"/>
      <c r="BP573" s="51"/>
      <c r="BQ573" s="51"/>
      <c r="BT573" s="53"/>
      <c r="BU573" s="25"/>
    </row>
    <row r="574" spans="2:73" ht="12.75" customHeight="1" x14ac:dyDescent="0.25">
      <c r="B574" s="144"/>
      <c r="C574" s="209" t="str">
        <f>HYPERLINK("https://sites.wustl.edu/meteoritesite/items/lm_nwa_16460/",Q574)</f>
        <v>Northwest Africa 16460</v>
      </c>
      <c r="D574" s="210"/>
      <c r="E574" s="210"/>
      <c r="F574" s="211"/>
      <c r="G574" s="89">
        <v>2021</v>
      </c>
      <c r="H574" s="240" t="s">
        <v>682</v>
      </c>
      <c r="I574" s="240"/>
      <c r="J574" s="145">
        <v>450</v>
      </c>
      <c r="K574" s="212" t="s">
        <v>39</v>
      </c>
      <c r="L574" s="213"/>
      <c r="M574" s="33">
        <v>20</v>
      </c>
      <c r="N574" s="32">
        <v>1.9</v>
      </c>
      <c r="P574" s="125">
        <f t="shared" si="213"/>
        <v>450</v>
      </c>
      <c r="Q574" s="54" t="s">
        <v>736</v>
      </c>
      <c r="R574" s="48"/>
      <c r="S574" s="49"/>
      <c r="T574" s="50">
        <f t="shared" ref="T574" si="220">J574-P574</f>
        <v>0</v>
      </c>
      <c r="V574" s="51">
        <v>450</v>
      </c>
      <c r="W574" s="51"/>
      <c r="X574" s="51"/>
      <c r="Y574" s="51"/>
      <c r="Z574" s="51"/>
      <c r="AA574" s="51"/>
      <c r="AB574" s="51"/>
      <c r="AC574" s="51"/>
      <c r="AD574" s="51"/>
      <c r="AE574" s="51"/>
      <c r="AF574" s="51"/>
      <c r="AG574" s="51"/>
      <c r="AH574" s="51"/>
      <c r="AI574" s="51"/>
      <c r="AJ574" s="51"/>
      <c r="AK574" s="51"/>
      <c r="AL574" s="51"/>
      <c r="AM574" s="51"/>
      <c r="AN574" s="51"/>
      <c r="AO574" s="51"/>
      <c r="AP574" s="51"/>
      <c r="AQ574" s="51"/>
      <c r="AR574" s="51"/>
      <c r="AS574" s="51"/>
      <c r="AT574" s="51"/>
      <c r="AU574" s="51"/>
      <c r="AV574" s="51"/>
      <c r="AW574" s="51"/>
      <c r="AX574" s="51"/>
      <c r="AY574" s="51"/>
      <c r="AZ574" s="51"/>
      <c r="BA574" s="51"/>
      <c r="BB574" s="51"/>
      <c r="BC574" s="51"/>
      <c r="BD574" s="51"/>
      <c r="BE574" s="51"/>
      <c r="BF574" s="51"/>
      <c r="BG574" s="51"/>
      <c r="BH574" s="51"/>
      <c r="BI574" s="51"/>
      <c r="BJ574" s="51"/>
      <c r="BK574" s="51"/>
      <c r="BL574" s="51"/>
      <c r="BM574" s="51"/>
      <c r="BN574" s="51"/>
      <c r="BO574" s="51"/>
      <c r="BP574" s="51"/>
      <c r="BQ574" s="51"/>
      <c r="BT574" s="53"/>
      <c r="BU574" s="25"/>
    </row>
    <row r="575" spans="2:73" ht="12.75" customHeight="1" x14ac:dyDescent="0.25">
      <c r="B575" s="144"/>
      <c r="C575" s="209" t="str">
        <f>HYPERLINK("https://sites.wustl.edu/meteoritesite/items/lm_nwa_16470/",Q575)</f>
        <v>Northwest Africa 16469/ 16470/ 16471</v>
      </c>
      <c r="D575" s="210"/>
      <c r="E575" s="210"/>
      <c r="F575" s="211"/>
      <c r="G575" s="89">
        <v>2021</v>
      </c>
      <c r="H575" s="214" t="s">
        <v>396</v>
      </c>
      <c r="I575" s="215"/>
      <c r="J575" s="146">
        <v>17.57</v>
      </c>
      <c r="K575" s="212" t="s">
        <v>35</v>
      </c>
      <c r="L575" s="213"/>
      <c r="M575" s="32" t="s">
        <v>40</v>
      </c>
      <c r="N575" s="32" t="s">
        <v>40</v>
      </c>
      <c r="P575" s="125">
        <f t="shared" si="213"/>
        <v>17.57</v>
      </c>
      <c r="Q575" s="54" t="s">
        <v>752</v>
      </c>
      <c r="R575" s="48"/>
      <c r="S575" s="49"/>
      <c r="T575" s="50">
        <f t="shared" ref="T575" si="221">J575-P575</f>
        <v>0</v>
      </c>
      <c r="V575" s="51">
        <v>5.6</v>
      </c>
      <c r="W575" s="51">
        <v>9.15</v>
      </c>
      <c r="X575" s="51">
        <v>2.82</v>
      </c>
      <c r="Y575" s="51"/>
      <c r="Z575" s="51"/>
      <c r="AA575" s="51"/>
      <c r="AB575" s="51"/>
      <c r="AC575" s="51"/>
      <c r="AD575" s="51"/>
      <c r="AE575" s="51"/>
      <c r="AF575" s="51"/>
      <c r="AG575" s="51"/>
      <c r="AH575" s="51"/>
      <c r="AI575" s="51"/>
      <c r="AJ575" s="51"/>
      <c r="AK575" s="51"/>
      <c r="AL575" s="51"/>
      <c r="AM575" s="51"/>
      <c r="AN575" s="51"/>
      <c r="AO575" s="51"/>
      <c r="AP575" s="51"/>
      <c r="AQ575" s="51"/>
      <c r="AR575" s="51"/>
      <c r="AS575" s="51"/>
      <c r="AT575" s="51"/>
      <c r="AU575" s="51"/>
      <c r="AV575" s="51"/>
      <c r="AW575" s="51"/>
      <c r="AX575" s="51"/>
      <c r="AY575" s="51"/>
      <c r="AZ575" s="51"/>
      <c r="BA575" s="51"/>
      <c r="BB575" s="51"/>
      <c r="BC575" s="51"/>
      <c r="BD575" s="51"/>
      <c r="BE575" s="51"/>
      <c r="BF575" s="51"/>
      <c r="BG575" s="51"/>
      <c r="BH575" s="51"/>
      <c r="BI575" s="51"/>
      <c r="BJ575" s="51"/>
      <c r="BK575" s="51"/>
      <c r="BL575" s="51"/>
      <c r="BM575" s="51"/>
      <c r="BN575" s="51"/>
      <c r="BO575" s="51"/>
      <c r="BP575" s="51"/>
      <c r="BQ575" s="51"/>
      <c r="BT575" s="53"/>
      <c r="BU575" s="25"/>
    </row>
    <row r="576" spans="2:73" ht="12.75" customHeight="1" x14ac:dyDescent="0.25">
      <c r="B576" s="144"/>
      <c r="C576" s="209" t="str">
        <f>HYPERLINK("https://sites.wustl.edu/meteoritesite/items/lm_nwa_16484/",Q576)</f>
        <v>Northwest Africa 16484</v>
      </c>
      <c r="D576" s="210"/>
      <c r="E576" s="210"/>
      <c r="F576" s="211"/>
      <c r="G576" s="89">
        <v>2023</v>
      </c>
      <c r="H576" s="214" t="s">
        <v>38</v>
      </c>
      <c r="I576" s="215"/>
      <c r="J576" s="145">
        <v>292</v>
      </c>
      <c r="K576" s="212" t="s">
        <v>39</v>
      </c>
      <c r="L576" s="213"/>
      <c r="M576" s="32" t="s">
        <v>40</v>
      </c>
      <c r="N576" s="32" t="s">
        <v>40</v>
      </c>
      <c r="P576" s="125">
        <f t="shared" si="213"/>
        <v>292</v>
      </c>
      <c r="Q576" s="54" t="s">
        <v>737</v>
      </c>
      <c r="R576" s="48"/>
      <c r="S576" s="49"/>
      <c r="T576" s="50">
        <f t="shared" ref="T576" si="222">J576-P576</f>
        <v>0</v>
      </c>
      <c r="V576" s="51">
        <v>292</v>
      </c>
      <c r="W576" s="51"/>
      <c r="X576" s="51"/>
      <c r="Y576" s="51"/>
      <c r="Z576" s="51"/>
      <c r="AA576" s="51"/>
      <c r="AB576" s="51"/>
      <c r="AC576" s="51"/>
      <c r="AD576" s="51"/>
      <c r="AE576" s="51"/>
      <c r="AF576" s="51"/>
      <c r="AG576" s="51"/>
      <c r="AH576" s="51"/>
      <c r="AI576" s="51"/>
      <c r="AJ576" s="51"/>
      <c r="AK576" s="51"/>
      <c r="AL576" s="51"/>
      <c r="AM576" s="51"/>
      <c r="AN576" s="51"/>
      <c r="AO576" s="51"/>
      <c r="AP576" s="51"/>
      <c r="AQ576" s="51"/>
      <c r="AR576" s="51"/>
      <c r="AS576" s="51"/>
      <c r="AT576" s="51"/>
      <c r="AU576" s="51"/>
      <c r="AV576" s="51"/>
      <c r="AW576" s="51"/>
      <c r="AX576" s="51"/>
      <c r="AY576" s="51"/>
      <c r="AZ576" s="51"/>
      <c r="BA576" s="51"/>
      <c r="BB576" s="51"/>
      <c r="BC576" s="51"/>
      <c r="BD576" s="51"/>
      <c r="BE576" s="51"/>
      <c r="BF576" s="51"/>
      <c r="BG576" s="51"/>
      <c r="BH576" s="51"/>
      <c r="BI576" s="51"/>
      <c r="BJ576" s="51"/>
      <c r="BK576" s="51"/>
      <c r="BL576" s="51"/>
      <c r="BM576" s="51"/>
      <c r="BN576" s="51"/>
      <c r="BO576" s="51"/>
      <c r="BP576" s="51"/>
      <c r="BQ576" s="51"/>
      <c r="BT576" s="53"/>
      <c r="BU576" s="25"/>
    </row>
    <row r="577" spans="2:73" ht="12.75" customHeight="1" x14ac:dyDescent="0.25">
      <c r="B577" s="144"/>
      <c r="C577" s="209" t="str">
        <f>HYPERLINK("https://sites.wustl.edu/meteoritesite/items/lm_nwa_16507/",Q577)</f>
        <v>Northwest Africa 16507</v>
      </c>
      <c r="D577" s="210"/>
      <c r="E577" s="210"/>
      <c r="F577" s="211"/>
      <c r="G577" s="89">
        <v>2023</v>
      </c>
      <c r="H577" s="214" t="s">
        <v>38</v>
      </c>
      <c r="I577" s="215"/>
      <c r="J577" s="145">
        <v>1700</v>
      </c>
      <c r="K577" s="212" t="s">
        <v>39</v>
      </c>
      <c r="L577" s="213"/>
      <c r="M577" s="32" t="s">
        <v>40</v>
      </c>
      <c r="N577" s="32" t="s">
        <v>40</v>
      </c>
      <c r="P577" s="125">
        <f t="shared" si="213"/>
        <v>1700</v>
      </c>
      <c r="Q577" s="54" t="s">
        <v>742</v>
      </c>
      <c r="R577" s="48"/>
      <c r="S577" s="49"/>
      <c r="T577" s="50">
        <f t="shared" ref="T577:T581" si="223">J577-P577</f>
        <v>0</v>
      </c>
      <c r="V577" s="51">
        <v>1700</v>
      </c>
      <c r="W577" s="51"/>
      <c r="X577" s="51"/>
      <c r="Y577" s="51"/>
      <c r="Z577" s="51"/>
      <c r="AA577" s="51"/>
      <c r="AB577" s="51"/>
      <c r="AC577" s="51"/>
      <c r="AD577" s="51"/>
      <c r="AE577" s="51"/>
      <c r="AF577" s="51"/>
      <c r="AG577" s="51"/>
      <c r="AH577" s="51"/>
      <c r="AI577" s="51"/>
      <c r="AJ577" s="51"/>
      <c r="AK577" s="51"/>
      <c r="AL577" s="51"/>
      <c r="AM577" s="51"/>
      <c r="AN577" s="51"/>
      <c r="AO577" s="51"/>
      <c r="AP577" s="51"/>
      <c r="AQ577" s="51"/>
      <c r="AR577" s="51"/>
      <c r="AS577" s="51"/>
      <c r="AT577" s="51"/>
      <c r="AU577" s="51"/>
      <c r="AV577" s="51"/>
      <c r="AW577" s="51"/>
      <c r="AX577" s="51"/>
      <c r="AY577" s="51"/>
      <c r="AZ577" s="51"/>
      <c r="BA577" s="51"/>
      <c r="BB577" s="51"/>
      <c r="BC577" s="51"/>
      <c r="BD577" s="51"/>
      <c r="BE577" s="51"/>
      <c r="BF577" s="51"/>
      <c r="BG577" s="51"/>
      <c r="BH577" s="51"/>
      <c r="BI577" s="51"/>
      <c r="BJ577" s="51"/>
      <c r="BK577" s="51"/>
      <c r="BL577" s="51"/>
      <c r="BM577" s="51"/>
      <c r="BN577" s="51"/>
      <c r="BO577" s="51"/>
      <c r="BP577" s="51"/>
      <c r="BQ577" s="51"/>
      <c r="BT577" s="53"/>
      <c r="BU577" s="25"/>
    </row>
    <row r="578" spans="2:73" ht="12.75" customHeight="1" x14ac:dyDescent="0.25">
      <c r="B578" s="144"/>
      <c r="C578" s="209" t="str">
        <f>HYPERLINK("https://sites.wustl.edu/meteoritesite/items/lm_nwa_16520/",Q578)</f>
        <v>Northwest Africa 16520</v>
      </c>
      <c r="D578" s="210"/>
      <c r="E578" s="210"/>
      <c r="F578" s="211"/>
      <c r="G578" s="89">
        <v>2022</v>
      </c>
      <c r="H578" s="214" t="s">
        <v>38</v>
      </c>
      <c r="I578" s="215"/>
      <c r="J578" s="145">
        <v>875</v>
      </c>
      <c r="K578" s="212" t="s">
        <v>39</v>
      </c>
      <c r="L578" s="213"/>
      <c r="M578" s="32" t="s">
        <v>40</v>
      </c>
      <c r="N578" s="32" t="s">
        <v>40</v>
      </c>
      <c r="P578" s="125">
        <f t="shared" ref="P578" si="224">SUM(V578:BQ578)</f>
        <v>875</v>
      </c>
      <c r="Q578" s="54" t="s">
        <v>756</v>
      </c>
      <c r="R578" s="48"/>
      <c r="S578" s="49"/>
      <c r="T578" s="50">
        <f t="shared" ref="T578" si="225">J578-P578</f>
        <v>0</v>
      </c>
      <c r="V578" s="51">
        <v>875</v>
      </c>
      <c r="W578" s="51"/>
      <c r="X578" s="51"/>
      <c r="Y578" s="51"/>
      <c r="Z578" s="51"/>
      <c r="AA578" s="51"/>
      <c r="AB578" s="51"/>
      <c r="AC578" s="51"/>
      <c r="AD578" s="51"/>
      <c r="AE578" s="51"/>
      <c r="AF578" s="51"/>
      <c r="AG578" s="51"/>
      <c r="AH578" s="51"/>
      <c r="AI578" s="51"/>
      <c r="AJ578" s="51"/>
      <c r="AK578" s="51"/>
      <c r="AL578" s="51"/>
      <c r="AM578" s="51"/>
      <c r="AN578" s="51"/>
      <c r="AO578" s="51"/>
      <c r="AP578" s="51"/>
      <c r="AQ578" s="51"/>
      <c r="AR578" s="51"/>
      <c r="AS578" s="51"/>
      <c r="AT578" s="51"/>
      <c r="AU578" s="51"/>
      <c r="AV578" s="51"/>
      <c r="AW578" s="51"/>
      <c r="AX578" s="51"/>
      <c r="AY578" s="51"/>
      <c r="AZ578" s="51"/>
      <c r="BA578" s="51"/>
      <c r="BB578" s="51"/>
      <c r="BC578" s="51"/>
      <c r="BD578" s="51"/>
      <c r="BE578" s="51"/>
      <c r="BF578" s="51"/>
      <c r="BG578" s="51"/>
      <c r="BH578" s="51"/>
      <c r="BI578" s="51"/>
      <c r="BJ578" s="51"/>
      <c r="BK578" s="51"/>
      <c r="BL578" s="51"/>
      <c r="BM578" s="51"/>
      <c r="BN578" s="51"/>
      <c r="BO578" s="51"/>
      <c r="BP578" s="51"/>
      <c r="BQ578" s="51"/>
      <c r="BT578" s="53"/>
      <c r="BU578" s="25"/>
    </row>
    <row r="579" spans="2:73" ht="12.75" customHeight="1" x14ac:dyDescent="0.25">
      <c r="B579" s="144"/>
      <c r="C579" s="209" t="str">
        <f>HYPERLINK("https://sites.wustl.edu/meteoritesite/items/lm_nwa_16530/",Q579)</f>
        <v>Northwest Africa 16530</v>
      </c>
      <c r="D579" s="210"/>
      <c r="E579" s="210"/>
      <c r="F579" s="211"/>
      <c r="G579" s="89">
        <v>2024</v>
      </c>
      <c r="H579" s="214" t="s">
        <v>38</v>
      </c>
      <c r="I579" s="215"/>
      <c r="J579" s="145">
        <v>840</v>
      </c>
      <c r="K579" s="212" t="s">
        <v>35</v>
      </c>
      <c r="L579" s="213"/>
      <c r="M579" s="32" t="s">
        <v>40</v>
      </c>
      <c r="N579" s="32" t="s">
        <v>40</v>
      </c>
      <c r="P579" s="125">
        <f t="shared" ref="P579:P588" si="226">SUM(V579:BQ579)</f>
        <v>840</v>
      </c>
      <c r="Q579" s="54" t="s">
        <v>746</v>
      </c>
      <c r="R579" s="48"/>
      <c r="S579" s="49"/>
      <c r="T579" s="50">
        <f t="shared" si="223"/>
        <v>0</v>
      </c>
      <c r="V579" s="51">
        <v>840</v>
      </c>
      <c r="W579" s="51"/>
      <c r="X579" s="51"/>
      <c r="Y579" s="51"/>
      <c r="Z579" s="51"/>
      <c r="AA579" s="51"/>
      <c r="AB579" s="51"/>
      <c r="AC579" s="51"/>
      <c r="AD579" s="51"/>
      <c r="AE579" s="51"/>
      <c r="AF579" s="51"/>
      <c r="AG579" s="51"/>
      <c r="AH579" s="51"/>
      <c r="AI579" s="51"/>
      <c r="AJ579" s="51"/>
      <c r="AK579" s="51"/>
      <c r="AL579" s="51"/>
      <c r="AM579" s="51"/>
      <c r="AN579" s="51"/>
      <c r="AO579" s="51"/>
      <c r="AP579" s="51"/>
      <c r="AQ579" s="51"/>
      <c r="AR579" s="51"/>
      <c r="AS579" s="51"/>
      <c r="AT579" s="51"/>
      <c r="AU579" s="51"/>
      <c r="AV579" s="51"/>
      <c r="AW579" s="51"/>
      <c r="AX579" s="51"/>
      <c r="AY579" s="51"/>
      <c r="AZ579" s="51"/>
      <c r="BA579" s="51"/>
      <c r="BB579" s="51"/>
      <c r="BC579" s="51"/>
      <c r="BD579" s="51"/>
      <c r="BE579" s="51"/>
      <c r="BF579" s="51"/>
      <c r="BG579" s="51"/>
      <c r="BH579" s="51"/>
      <c r="BI579" s="51"/>
      <c r="BJ579" s="51"/>
      <c r="BK579" s="51"/>
      <c r="BL579" s="51"/>
      <c r="BM579" s="51"/>
      <c r="BN579" s="51"/>
      <c r="BO579" s="51"/>
      <c r="BP579" s="51"/>
      <c r="BQ579" s="51"/>
      <c r="BT579" s="53"/>
      <c r="BU579" s="25"/>
    </row>
    <row r="580" spans="2:73" ht="12.75" customHeight="1" x14ac:dyDescent="0.25">
      <c r="B580" s="144"/>
      <c r="C580" s="209" t="str">
        <f>HYPERLINK("https://sites.wustl.edu/meteoritesite/items/lm_nwa_16530/",Q580)</f>
        <v>Northwest Africa 16531</v>
      </c>
      <c r="D580" s="210"/>
      <c r="E580" s="210"/>
      <c r="F580" s="211"/>
      <c r="G580" s="89">
        <v>2024</v>
      </c>
      <c r="H580" s="214" t="s">
        <v>38</v>
      </c>
      <c r="I580" s="215"/>
      <c r="J580" s="145">
        <v>470</v>
      </c>
      <c r="K580" s="212" t="s">
        <v>35</v>
      </c>
      <c r="L580" s="213"/>
      <c r="M580" s="32" t="s">
        <v>40</v>
      </c>
      <c r="N580" s="32" t="s">
        <v>40</v>
      </c>
      <c r="P580" s="125">
        <f t="shared" si="226"/>
        <v>470</v>
      </c>
      <c r="Q580" s="54" t="s">
        <v>747</v>
      </c>
      <c r="R580" s="48"/>
      <c r="S580" s="49"/>
      <c r="T580" s="50">
        <f t="shared" si="223"/>
        <v>0</v>
      </c>
      <c r="V580" s="51">
        <v>470</v>
      </c>
      <c r="W580" s="51"/>
      <c r="X580" s="51"/>
      <c r="Y580" s="51"/>
      <c r="Z580" s="51"/>
      <c r="AA580" s="51"/>
      <c r="AB580" s="51"/>
      <c r="AC580" s="51"/>
      <c r="AD580" s="51"/>
      <c r="AE580" s="51"/>
      <c r="AF580" s="51"/>
      <c r="AG580" s="51"/>
      <c r="AH580" s="51"/>
      <c r="AI580" s="51"/>
      <c r="AJ580" s="51"/>
      <c r="AK580" s="51"/>
      <c r="AL580" s="51"/>
      <c r="AM580" s="51"/>
      <c r="AN580" s="51"/>
      <c r="AO580" s="51"/>
      <c r="AP580" s="51"/>
      <c r="AQ580" s="51"/>
      <c r="AR580" s="51"/>
      <c r="AS580" s="51"/>
      <c r="AT580" s="51"/>
      <c r="AU580" s="51"/>
      <c r="AV580" s="51"/>
      <c r="AW580" s="51"/>
      <c r="AX580" s="51"/>
      <c r="AY580" s="51"/>
      <c r="AZ580" s="51"/>
      <c r="BA580" s="51"/>
      <c r="BB580" s="51"/>
      <c r="BC580" s="51"/>
      <c r="BD580" s="51"/>
      <c r="BE580" s="51"/>
      <c r="BF580" s="51"/>
      <c r="BG580" s="51"/>
      <c r="BH580" s="51"/>
      <c r="BI580" s="51"/>
      <c r="BJ580" s="51"/>
      <c r="BK580" s="51"/>
      <c r="BL580" s="51"/>
      <c r="BM580" s="51"/>
      <c r="BN580" s="51"/>
      <c r="BO580" s="51"/>
      <c r="BP580" s="51"/>
      <c r="BQ580" s="51"/>
      <c r="BT580" s="53"/>
      <c r="BU580" s="25"/>
    </row>
    <row r="581" spans="2:73" ht="12.75" customHeight="1" x14ac:dyDescent="0.25">
      <c r="B581" s="144"/>
      <c r="C581" s="209" t="str">
        <f>HYPERLINK("https://sites.wustl.edu/meteoritesite/items/lm_nwa_16535/",Q581)</f>
        <v>Northwest Africa 16535</v>
      </c>
      <c r="D581" s="210"/>
      <c r="E581" s="210"/>
      <c r="F581" s="211"/>
      <c r="G581" s="89">
        <v>2022</v>
      </c>
      <c r="H581" s="214" t="s">
        <v>616</v>
      </c>
      <c r="I581" s="215"/>
      <c r="J581" s="145">
        <v>165</v>
      </c>
      <c r="K581" s="212" t="s">
        <v>39</v>
      </c>
      <c r="L581" s="213"/>
      <c r="M581" s="32" t="s">
        <v>40</v>
      </c>
      <c r="N581" s="32" t="s">
        <v>40</v>
      </c>
      <c r="P581" s="125">
        <f t="shared" si="226"/>
        <v>165</v>
      </c>
      <c r="Q581" s="54" t="s">
        <v>748</v>
      </c>
      <c r="R581" s="48"/>
      <c r="S581" s="49"/>
      <c r="T581" s="50">
        <f t="shared" si="223"/>
        <v>0</v>
      </c>
      <c r="V581" s="51">
        <v>165</v>
      </c>
      <c r="W581" s="51"/>
      <c r="X581" s="51"/>
      <c r="Y581" s="51"/>
      <c r="Z581" s="51"/>
      <c r="AA581" s="51"/>
      <c r="AB581" s="51"/>
      <c r="AC581" s="51"/>
      <c r="AD581" s="51"/>
      <c r="AE581" s="51"/>
      <c r="AF581" s="51"/>
      <c r="AG581" s="51"/>
      <c r="AH581" s="51"/>
      <c r="AI581" s="51"/>
      <c r="AJ581" s="51"/>
      <c r="AK581" s="51"/>
      <c r="AL581" s="51"/>
      <c r="AM581" s="51"/>
      <c r="AN581" s="51"/>
      <c r="AO581" s="51"/>
      <c r="AP581" s="51"/>
      <c r="AQ581" s="51"/>
      <c r="AR581" s="51"/>
      <c r="AS581" s="51"/>
      <c r="AT581" s="51"/>
      <c r="AU581" s="51"/>
      <c r="AV581" s="51"/>
      <c r="AW581" s="51"/>
      <c r="AX581" s="51"/>
      <c r="AY581" s="51"/>
      <c r="AZ581" s="51"/>
      <c r="BA581" s="51"/>
      <c r="BB581" s="51"/>
      <c r="BC581" s="51"/>
      <c r="BD581" s="51"/>
      <c r="BE581" s="51"/>
      <c r="BF581" s="51"/>
      <c r="BG581" s="51"/>
      <c r="BH581" s="51"/>
      <c r="BI581" s="51"/>
      <c r="BJ581" s="51"/>
      <c r="BK581" s="51"/>
      <c r="BL581" s="51"/>
      <c r="BM581" s="51"/>
      <c r="BN581" s="51"/>
      <c r="BO581" s="51"/>
      <c r="BP581" s="51"/>
      <c r="BQ581" s="51"/>
      <c r="BT581" s="53"/>
      <c r="BU581" s="25"/>
    </row>
    <row r="582" spans="2:73" ht="12.75" customHeight="1" x14ac:dyDescent="0.25">
      <c r="B582" s="144"/>
      <c r="C582" s="209" t="str">
        <f>HYPERLINK("https://sites.wustl.edu/meteoritesite/items/lm_nwa_12971/",Q582)</f>
        <v>Northwest Africa 16557</v>
      </c>
      <c r="D582" s="210"/>
      <c r="E582" s="210"/>
      <c r="F582" s="211"/>
      <c r="G582" s="89">
        <v>2023</v>
      </c>
      <c r="H582" s="214" t="s">
        <v>726</v>
      </c>
      <c r="I582" s="215"/>
      <c r="J582" s="145">
        <v>2643</v>
      </c>
      <c r="K582" s="212" t="s">
        <v>39</v>
      </c>
      <c r="L582" s="213"/>
      <c r="M582" s="32" t="s">
        <v>40</v>
      </c>
      <c r="N582" s="32" t="s">
        <v>40</v>
      </c>
      <c r="P582" s="125">
        <f t="shared" ref="P582" si="227">SUM(V582:BQ582)</f>
        <v>2643</v>
      </c>
      <c r="Q582" s="54" t="s">
        <v>782</v>
      </c>
      <c r="R582" s="48"/>
      <c r="S582" s="49"/>
      <c r="T582" s="50">
        <f t="shared" ref="T582" si="228">J582-P582</f>
        <v>0</v>
      </c>
      <c r="V582" s="51">
        <v>2643</v>
      </c>
      <c r="W582" s="51"/>
      <c r="X582" s="51"/>
      <c r="Y582" s="51"/>
      <c r="Z582" s="51"/>
      <c r="AA582" s="51"/>
      <c r="AB582" s="51"/>
      <c r="AC582" s="51"/>
      <c r="AD582" s="51"/>
      <c r="AE582" s="51"/>
      <c r="AF582" s="51"/>
      <c r="AG582" s="51"/>
      <c r="AH582" s="51"/>
      <c r="AI582" s="51"/>
      <c r="AJ582" s="51"/>
      <c r="AK582" s="51"/>
      <c r="AL582" s="51"/>
      <c r="AM582" s="51"/>
      <c r="AN582" s="51"/>
      <c r="AO582" s="51"/>
      <c r="AP582" s="51"/>
      <c r="AQ582" s="51"/>
      <c r="AR582" s="51"/>
      <c r="AS582" s="51"/>
      <c r="AT582" s="51"/>
      <c r="AU582" s="51"/>
      <c r="AV582" s="51"/>
      <c r="AW582" s="51"/>
      <c r="AX582" s="51"/>
      <c r="AY582" s="51"/>
      <c r="AZ582" s="51"/>
      <c r="BA582" s="51"/>
      <c r="BB582" s="51"/>
      <c r="BC582" s="51"/>
      <c r="BD582" s="51"/>
      <c r="BE582" s="51"/>
      <c r="BF582" s="51"/>
      <c r="BG582" s="51"/>
      <c r="BH582" s="51"/>
      <c r="BI582" s="51"/>
      <c r="BJ582" s="51"/>
      <c r="BK582" s="51"/>
      <c r="BL582" s="51"/>
      <c r="BM582" s="51"/>
      <c r="BN582" s="51"/>
      <c r="BO582" s="51"/>
      <c r="BP582" s="51"/>
      <c r="BQ582" s="51"/>
      <c r="BT582" s="53"/>
      <c r="BU582" s="25"/>
    </row>
    <row r="583" spans="2:73" ht="12.75" customHeight="1" x14ac:dyDescent="0.25">
      <c r="B583" s="144"/>
      <c r="C583" s="209" t="str">
        <f>HYPERLINK("https://sites.wustl.edu/meteoritesite/items/lm_nwa_16625/",Q583)</f>
        <v>Northwest Africa 16625</v>
      </c>
      <c r="D583" s="210"/>
      <c r="E583" s="210"/>
      <c r="F583" s="211"/>
      <c r="G583" s="89">
        <v>2022</v>
      </c>
      <c r="H583" s="214" t="s">
        <v>396</v>
      </c>
      <c r="I583" s="215"/>
      <c r="J583" s="145">
        <v>1603</v>
      </c>
      <c r="K583" s="212" t="s">
        <v>39</v>
      </c>
      <c r="L583" s="213"/>
      <c r="M583" s="32" t="s">
        <v>40</v>
      </c>
      <c r="N583" s="32" t="s">
        <v>40</v>
      </c>
      <c r="P583" s="125">
        <f>SUM(V583:BQ583)</f>
        <v>1603</v>
      </c>
      <c r="Q583" s="54" t="s">
        <v>757</v>
      </c>
      <c r="R583" s="48"/>
      <c r="S583" s="49"/>
      <c r="T583" s="50">
        <f>J583-P583</f>
        <v>0</v>
      </c>
      <c r="V583" s="51">
        <v>1603</v>
      </c>
      <c r="W583" s="51"/>
      <c r="X583" s="51"/>
      <c r="Y583" s="51"/>
      <c r="Z583" s="51"/>
      <c r="AA583" s="51"/>
      <c r="AB583" s="51"/>
      <c r="AC583" s="51"/>
      <c r="AD583" s="51"/>
      <c r="AE583" s="51"/>
      <c r="AF583" s="51"/>
      <c r="AG583" s="51"/>
      <c r="AH583" s="51"/>
      <c r="AI583" s="51"/>
      <c r="AJ583" s="51"/>
      <c r="AK583" s="51"/>
      <c r="AL583" s="51"/>
      <c r="AM583" s="51"/>
      <c r="AN583" s="51"/>
      <c r="AO583" s="51"/>
      <c r="AP583" s="51"/>
      <c r="AQ583" s="51"/>
      <c r="AR583" s="51"/>
      <c r="AS583" s="51"/>
      <c r="AT583" s="51"/>
      <c r="AU583" s="51"/>
      <c r="AV583" s="51"/>
      <c r="AW583" s="51"/>
      <c r="AX583" s="51"/>
      <c r="AY583" s="51"/>
      <c r="AZ583" s="51"/>
      <c r="BA583" s="51"/>
      <c r="BB583" s="51"/>
      <c r="BC583" s="51"/>
      <c r="BD583" s="51"/>
      <c r="BE583" s="51"/>
      <c r="BF583" s="51"/>
      <c r="BG583" s="51"/>
      <c r="BH583" s="51"/>
      <c r="BI583" s="51"/>
      <c r="BJ583" s="51"/>
      <c r="BK583" s="51"/>
      <c r="BL583" s="51"/>
      <c r="BM583" s="51"/>
      <c r="BN583" s="51"/>
      <c r="BO583" s="51"/>
      <c r="BP583" s="51"/>
      <c r="BQ583" s="51"/>
      <c r="BT583" s="53"/>
      <c r="BU583" s="25"/>
    </row>
    <row r="584" spans="2:73" ht="12.75" customHeight="1" x14ac:dyDescent="0.25">
      <c r="B584" s="144"/>
      <c r="C584" s="209" t="str">
        <f>HYPERLINK("https://sites.wustl.edu/meteoritesite/items/lm_nwa_16626/",Q584)</f>
        <v>Northwest Africa 16626</v>
      </c>
      <c r="D584" s="210"/>
      <c r="E584" s="210"/>
      <c r="F584" s="211"/>
      <c r="G584" s="89">
        <v>2023</v>
      </c>
      <c r="H584" s="214" t="s">
        <v>396</v>
      </c>
      <c r="I584" s="215"/>
      <c r="J584" s="145">
        <v>1465</v>
      </c>
      <c r="K584" s="212" t="s">
        <v>39</v>
      </c>
      <c r="L584" s="213"/>
      <c r="M584" s="32" t="s">
        <v>40</v>
      </c>
      <c r="N584" s="32" t="s">
        <v>40</v>
      </c>
      <c r="P584" s="125">
        <f>SUM(V584:BQ584)</f>
        <v>1465</v>
      </c>
      <c r="Q584" s="54" t="s">
        <v>758</v>
      </c>
      <c r="R584" s="48"/>
      <c r="S584" s="49"/>
      <c r="T584" s="50">
        <f>J584-P584</f>
        <v>0</v>
      </c>
      <c r="V584" s="51">
        <v>1465</v>
      </c>
      <c r="W584" s="51"/>
      <c r="X584" s="51"/>
      <c r="Y584" s="51"/>
      <c r="Z584" s="51"/>
      <c r="AA584" s="51"/>
      <c r="AB584" s="51"/>
      <c r="AC584" s="51"/>
      <c r="AD584" s="51"/>
      <c r="AE584" s="51"/>
      <c r="AF584" s="51"/>
      <c r="AG584" s="51"/>
      <c r="AH584" s="51"/>
      <c r="AI584" s="51"/>
      <c r="AJ584" s="51"/>
      <c r="AK584" s="51"/>
      <c r="AL584" s="51"/>
      <c r="AM584" s="51"/>
      <c r="AN584" s="51"/>
      <c r="AO584" s="51"/>
      <c r="AP584" s="51"/>
      <c r="AQ584" s="51"/>
      <c r="AR584" s="51"/>
      <c r="AS584" s="51"/>
      <c r="AT584" s="51"/>
      <c r="AU584" s="51"/>
      <c r="AV584" s="51"/>
      <c r="AW584" s="51"/>
      <c r="AX584" s="51"/>
      <c r="AY584" s="51"/>
      <c r="AZ584" s="51"/>
      <c r="BA584" s="51"/>
      <c r="BB584" s="51"/>
      <c r="BC584" s="51"/>
      <c r="BD584" s="51"/>
      <c r="BE584" s="51"/>
      <c r="BF584" s="51"/>
      <c r="BG584" s="51"/>
      <c r="BH584" s="51"/>
      <c r="BI584" s="51"/>
      <c r="BJ584" s="51"/>
      <c r="BK584" s="51"/>
      <c r="BL584" s="51"/>
      <c r="BM584" s="51"/>
      <c r="BN584" s="51"/>
      <c r="BO584" s="51"/>
      <c r="BP584" s="51"/>
      <c r="BQ584" s="51"/>
      <c r="BT584" s="53"/>
      <c r="BU584" s="25"/>
    </row>
    <row r="585" spans="2:73" ht="12.75" customHeight="1" x14ac:dyDescent="0.25">
      <c r="B585" s="144"/>
      <c r="C585" s="209" t="str">
        <f>HYPERLINK("https://sites.wustl.edu/meteoritesite/items/lm_nwa_16657/",Q585)</f>
        <v>Northwest Africa 16657</v>
      </c>
      <c r="D585" s="210"/>
      <c r="E585" s="210"/>
      <c r="F585" s="211"/>
      <c r="G585" s="89">
        <v>2024</v>
      </c>
      <c r="H585" s="214" t="s">
        <v>396</v>
      </c>
      <c r="I585" s="215"/>
      <c r="J585" s="145">
        <v>82</v>
      </c>
      <c r="K585" s="212" t="s">
        <v>66</v>
      </c>
      <c r="L585" s="213"/>
      <c r="M585" s="32" t="s">
        <v>40</v>
      </c>
      <c r="N585" s="32" t="s">
        <v>40</v>
      </c>
      <c r="P585" s="125">
        <f t="shared" si="226"/>
        <v>82</v>
      </c>
      <c r="Q585" s="54" t="s">
        <v>759</v>
      </c>
      <c r="R585" s="48"/>
      <c r="S585" s="49"/>
      <c r="T585" s="50">
        <f t="shared" ref="T585:T588" si="229">J585-P585</f>
        <v>0</v>
      </c>
      <c r="V585" s="51">
        <v>82</v>
      </c>
      <c r="W585" s="51"/>
      <c r="X585" s="51"/>
      <c r="Y585" s="51"/>
      <c r="Z585" s="51"/>
      <c r="AA585" s="51"/>
      <c r="AB585" s="51"/>
      <c r="AC585" s="51"/>
      <c r="AD585" s="51"/>
      <c r="AE585" s="51"/>
      <c r="AF585" s="51"/>
      <c r="AG585" s="51"/>
      <c r="AH585" s="51"/>
      <c r="AI585" s="51"/>
      <c r="AJ585" s="51"/>
      <c r="AK585" s="51"/>
      <c r="AL585" s="51"/>
      <c r="AM585" s="51"/>
      <c r="AN585" s="51"/>
      <c r="AO585" s="51"/>
      <c r="AP585" s="51"/>
      <c r="AQ585" s="51"/>
      <c r="AR585" s="51"/>
      <c r="AS585" s="51"/>
      <c r="AT585" s="51"/>
      <c r="AU585" s="51"/>
      <c r="AV585" s="51"/>
      <c r="AW585" s="51"/>
      <c r="AX585" s="51"/>
      <c r="AY585" s="51"/>
      <c r="AZ585" s="51"/>
      <c r="BA585" s="51"/>
      <c r="BB585" s="51"/>
      <c r="BC585" s="51"/>
      <c r="BD585" s="51"/>
      <c r="BE585" s="51"/>
      <c r="BF585" s="51"/>
      <c r="BG585" s="51"/>
      <c r="BH585" s="51"/>
      <c r="BI585" s="51"/>
      <c r="BJ585" s="51"/>
      <c r="BK585" s="51"/>
      <c r="BL585" s="51"/>
      <c r="BM585" s="51"/>
      <c r="BN585" s="51"/>
      <c r="BO585" s="51"/>
      <c r="BP585" s="51"/>
      <c r="BQ585" s="51"/>
      <c r="BT585" s="53"/>
      <c r="BU585" s="25"/>
    </row>
    <row r="586" spans="2:73" ht="12.75" customHeight="1" x14ac:dyDescent="0.25">
      <c r="B586" s="144"/>
      <c r="C586" s="209" t="str">
        <f>HYPERLINK("https://sites.wustl.edu/meteoritesite/items/lm_nwa_16660/",Q586)</f>
        <v>Northwest Africa 16660</v>
      </c>
      <c r="D586" s="210"/>
      <c r="E586" s="210"/>
      <c r="F586" s="211"/>
      <c r="G586" s="89">
        <v>2022</v>
      </c>
      <c r="H586" s="214" t="s">
        <v>616</v>
      </c>
      <c r="I586" s="215"/>
      <c r="J586" s="145">
        <v>226</v>
      </c>
      <c r="K586" s="212" t="s">
        <v>39</v>
      </c>
      <c r="L586" s="213"/>
      <c r="M586" s="32" t="s">
        <v>40</v>
      </c>
      <c r="N586" s="32" t="s">
        <v>40</v>
      </c>
      <c r="P586" s="125">
        <v>226</v>
      </c>
      <c r="Q586" s="54" t="s">
        <v>783</v>
      </c>
      <c r="R586" s="48"/>
      <c r="S586" s="49"/>
      <c r="T586" s="50">
        <f t="shared" si="229"/>
        <v>0</v>
      </c>
      <c r="V586" s="51">
        <v>165</v>
      </c>
      <c r="W586" s="51"/>
      <c r="X586" s="51"/>
      <c r="Y586" s="51"/>
      <c r="Z586" s="51"/>
      <c r="AA586" s="51"/>
      <c r="AB586" s="51"/>
      <c r="AC586" s="51"/>
      <c r="AD586" s="51"/>
      <c r="AE586" s="51"/>
      <c r="AF586" s="51"/>
      <c r="AG586" s="51"/>
      <c r="AH586" s="51"/>
      <c r="AI586" s="51"/>
      <c r="AJ586" s="51"/>
      <c r="AK586" s="51"/>
      <c r="AL586" s="51"/>
      <c r="AM586" s="51"/>
      <c r="AN586" s="51"/>
      <c r="AO586" s="51"/>
      <c r="AP586" s="51"/>
      <c r="AQ586" s="51"/>
      <c r="AR586" s="51"/>
      <c r="AS586" s="51"/>
      <c r="AT586" s="51"/>
      <c r="AU586" s="51"/>
      <c r="AV586" s="51"/>
      <c r="AW586" s="51"/>
      <c r="AX586" s="51"/>
      <c r="AY586" s="51"/>
      <c r="AZ586" s="51"/>
      <c r="BA586" s="51"/>
      <c r="BB586" s="51"/>
      <c r="BC586" s="51"/>
      <c r="BD586" s="51"/>
      <c r="BE586" s="51"/>
      <c r="BF586" s="51"/>
      <c r="BG586" s="51"/>
      <c r="BH586" s="51"/>
      <c r="BI586" s="51"/>
      <c r="BJ586" s="51"/>
      <c r="BK586" s="51"/>
      <c r="BL586" s="51"/>
      <c r="BM586" s="51"/>
      <c r="BN586" s="51"/>
      <c r="BO586" s="51"/>
      <c r="BP586" s="51"/>
      <c r="BQ586" s="51"/>
      <c r="BT586" s="53"/>
      <c r="BU586" s="25"/>
    </row>
    <row r="587" spans="2:73" ht="12.75" customHeight="1" x14ac:dyDescent="0.25">
      <c r="B587" s="144"/>
      <c r="C587" s="209" t="str">
        <f>HYPERLINK("https://sites.wustl.edu/meteoritesite/items/lm_nwa_14681/",Q587)</f>
        <v>Northwest Africa 16683</v>
      </c>
      <c r="D587" s="210"/>
      <c r="E587" s="210"/>
      <c r="F587" s="211"/>
      <c r="G587" s="89">
        <v>2021</v>
      </c>
      <c r="H587" s="214" t="s">
        <v>510</v>
      </c>
      <c r="I587" s="215"/>
      <c r="J587" s="145">
        <v>4000</v>
      </c>
      <c r="K587" s="212" t="s">
        <v>58</v>
      </c>
      <c r="L587" s="213"/>
      <c r="M587" s="32" t="s">
        <v>40</v>
      </c>
      <c r="N587" s="32" t="s">
        <v>40</v>
      </c>
      <c r="P587" s="125">
        <f t="shared" ref="P587" si="230">SUM(V587:BQ587)</f>
        <v>4000</v>
      </c>
      <c r="Q587" s="54" t="s">
        <v>767</v>
      </c>
      <c r="R587" s="48"/>
      <c r="S587" s="49"/>
      <c r="T587" s="50">
        <f t="shared" si="229"/>
        <v>0</v>
      </c>
      <c r="V587" s="51">
        <v>4000</v>
      </c>
      <c r="W587" s="51"/>
      <c r="X587" s="51"/>
      <c r="Y587" s="51"/>
      <c r="Z587" s="51"/>
      <c r="AA587" s="51"/>
      <c r="AB587" s="51"/>
      <c r="AC587" s="51"/>
      <c r="AD587" s="51"/>
      <c r="AE587" s="51"/>
      <c r="AF587" s="51"/>
      <c r="AG587" s="51"/>
      <c r="AH587" s="51"/>
      <c r="AI587" s="51"/>
      <c r="AJ587" s="51"/>
      <c r="AK587" s="51"/>
      <c r="AL587" s="51"/>
      <c r="AM587" s="51"/>
      <c r="AN587" s="51"/>
      <c r="AO587" s="51"/>
      <c r="AP587" s="51"/>
      <c r="AQ587" s="51"/>
      <c r="AR587" s="51"/>
      <c r="AS587" s="51"/>
      <c r="AT587" s="51"/>
      <c r="AU587" s="51"/>
      <c r="AV587" s="51"/>
      <c r="AW587" s="51"/>
      <c r="AX587" s="51"/>
      <c r="AY587" s="51"/>
      <c r="AZ587" s="51"/>
      <c r="BA587" s="51"/>
      <c r="BB587" s="51"/>
      <c r="BC587" s="51"/>
      <c r="BD587" s="51"/>
      <c r="BE587" s="51"/>
      <c r="BF587" s="51"/>
      <c r="BG587" s="51"/>
      <c r="BH587" s="51"/>
      <c r="BI587" s="51"/>
      <c r="BJ587" s="51"/>
      <c r="BK587" s="51"/>
      <c r="BL587" s="51"/>
      <c r="BM587" s="51"/>
      <c r="BN587" s="51"/>
      <c r="BO587" s="51"/>
      <c r="BP587" s="51"/>
      <c r="BQ587" s="51"/>
      <c r="BT587" s="53"/>
      <c r="BU587" s="25"/>
    </row>
    <row r="588" spans="2:73" ht="12.75" customHeight="1" x14ac:dyDescent="0.25">
      <c r="B588" s="144"/>
      <c r="C588" s="209" t="str">
        <f>HYPERLINK("https://sites.wustl.edu/meteoritesite/items/lm_nwa_14041/",Q588)</f>
        <v>Northwest Africa 16684</v>
      </c>
      <c r="D588" s="210"/>
      <c r="E588" s="210"/>
      <c r="F588" s="211"/>
      <c r="G588" s="89">
        <v>2021</v>
      </c>
      <c r="H588" s="214" t="s">
        <v>396</v>
      </c>
      <c r="I588" s="215"/>
      <c r="J588" s="145">
        <v>9200</v>
      </c>
      <c r="K588" s="212" t="s">
        <v>58</v>
      </c>
      <c r="L588" s="213"/>
      <c r="M588" s="32" t="s">
        <v>40</v>
      </c>
      <c r="N588" s="32" t="s">
        <v>40</v>
      </c>
      <c r="P588" s="125">
        <f t="shared" si="226"/>
        <v>9200</v>
      </c>
      <c r="Q588" s="54" t="s">
        <v>760</v>
      </c>
      <c r="R588" s="48"/>
      <c r="S588" s="49"/>
      <c r="T588" s="50">
        <f t="shared" si="229"/>
        <v>0</v>
      </c>
      <c r="V588" s="51">
        <v>9200</v>
      </c>
      <c r="W588" s="51"/>
      <c r="X588" s="51"/>
      <c r="Y588" s="51"/>
      <c r="Z588" s="51"/>
      <c r="AA588" s="51"/>
      <c r="AB588" s="51"/>
      <c r="AC588" s="51"/>
      <c r="AD588" s="51"/>
      <c r="AE588" s="51"/>
      <c r="AF588" s="51"/>
      <c r="AG588" s="51"/>
      <c r="AH588" s="51"/>
      <c r="AI588" s="51"/>
      <c r="AJ588" s="51"/>
      <c r="AK588" s="51"/>
      <c r="AL588" s="51"/>
      <c r="AM588" s="51"/>
      <c r="AN588" s="51"/>
      <c r="AO588" s="51"/>
      <c r="AP588" s="51"/>
      <c r="AQ588" s="51"/>
      <c r="AR588" s="51"/>
      <c r="AS588" s="51"/>
      <c r="AT588" s="51"/>
      <c r="AU588" s="51"/>
      <c r="AV588" s="51"/>
      <c r="AW588" s="51"/>
      <c r="AX588" s="51"/>
      <c r="AY588" s="51"/>
      <c r="AZ588" s="51"/>
      <c r="BA588" s="51"/>
      <c r="BB588" s="51"/>
      <c r="BC588" s="51"/>
      <c r="BD588" s="51"/>
      <c r="BE588" s="51"/>
      <c r="BF588" s="51"/>
      <c r="BG588" s="51"/>
      <c r="BH588" s="51"/>
      <c r="BI588" s="51"/>
      <c r="BJ588" s="51"/>
      <c r="BK588" s="51"/>
      <c r="BL588" s="51"/>
      <c r="BM588" s="51"/>
      <c r="BN588" s="51"/>
      <c r="BO588" s="51"/>
      <c r="BP588" s="51"/>
      <c r="BQ588" s="51"/>
      <c r="BT588" s="53"/>
      <c r="BU588" s="25"/>
    </row>
    <row r="589" spans="2:73" ht="12.75" customHeight="1" x14ac:dyDescent="0.25">
      <c r="B589" s="144"/>
      <c r="C589" s="209" t="str">
        <f>HYPERLINK("https://sites.wustl.edu/meteoritesite/items/lm_nwa_16716/",Q589)</f>
        <v>Northwest Africa 16716</v>
      </c>
      <c r="D589" s="210"/>
      <c r="E589" s="210"/>
      <c r="F589" s="211"/>
      <c r="G589" s="89">
        <v>2024</v>
      </c>
      <c r="H589" s="214" t="s">
        <v>38</v>
      </c>
      <c r="I589" s="215"/>
      <c r="J589" s="146">
        <v>391.6</v>
      </c>
      <c r="K589" s="212" t="s">
        <v>39</v>
      </c>
      <c r="L589" s="213"/>
      <c r="M589" s="32" t="s">
        <v>40</v>
      </c>
      <c r="N589" s="32" t="s">
        <v>40</v>
      </c>
      <c r="P589" s="125">
        <f t="shared" ref="P589:P596" si="231">SUM(V589:BQ589)</f>
        <v>391.6</v>
      </c>
      <c r="Q589" s="54" t="s">
        <v>765</v>
      </c>
      <c r="R589" s="48"/>
      <c r="S589" s="49"/>
      <c r="T589" s="50">
        <f t="shared" ref="T589:T604" si="232">J589-P589</f>
        <v>0</v>
      </c>
      <c r="V589" s="51">
        <v>391.6</v>
      </c>
      <c r="W589" s="51"/>
      <c r="X589" s="51"/>
      <c r="Y589" s="51"/>
      <c r="Z589" s="51"/>
      <c r="AA589" s="51"/>
      <c r="AB589" s="51"/>
      <c r="AC589" s="51"/>
      <c r="AD589" s="51"/>
      <c r="AE589" s="51"/>
      <c r="AF589" s="51"/>
      <c r="AG589" s="51"/>
      <c r="AH589" s="51"/>
      <c r="AI589" s="51"/>
      <c r="AJ589" s="51"/>
      <c r="AK589" s="51"/>
      <c r="AL589" s="51"/>
      <c r="AM589" s="51"/>
      <c r="AN589" s="51"/>
      <c r="AO589" s="51"/>
      <c r="AP589" s="51"/>
      <c r="AQ589" s="51"/>
      <c r="AR589" s="51"/>
      <c r="AS589" s="51"/>
      <c r="AT589" s="51"/>
      <c r="AU589" s="51"/>
      <c r="AV589" s="51"/>
      <c r="AW589" s="51"/>
      <c r="AX589" s="51"/>
      <c r="AY589" s="51"/>
      <c r="AZ589" s="51"/>
      <c r="BA589" s="51"/>
      <c r="BB589" s="51"/>
      <c r="BC589" s="51"/>
      <c r="BD589" s="51"/>
      <c r="BE589" s="51"/>
      <c r="BF589" s="51"/>
      <c r="BG589" s="51"/>
      <c r="BH589" s="51"/>
      <c r="BI589" s="51"/>
      <c r="BJ589" s="51"/>
      <c r="BK589" s="51"/>
      <c r="BL589" s="51"/>
      <c r="BM589" s="51"/>
      <c r="BN589" s="51"/>
      <c r="BO589" s="51"/>
      <c r="BP589" s="51"/>
      <c r="BQ589" s="51"/>
      <c r="BT589" s="53"/>
      <c r="BU589" s="25"/>
    </row>
    <row r="590" spans="2:73" ht="12.75" customHeight="1" x14ac:dyDescent="0.25">
      <c r="B590" s="144"/>
      <c r="C590" s="209" t="str">
        <f>HYPERLINK("https://sites.wustl.edu/meteoritesite/items/lm_nwa_16717/",Q590)</f>
        <v>Northwest Africa 16717</v>
      </c>
      <c r="D590" s="210"/>
      <c r="E590" s="210"/>
      <c r="F590" s="211"/>
      <c r="G590" s="89">
        <v>2022</v>
      </c>
      <c r="H590" s="214" t="s">
        <v>616</v>
      </c>
      <c r="I590" s="215"/>
      <c r="J590" s="31">
        <v>21350</v>
      </c>
      <c r="K590" s="212" t="s">
        <v>51</v>
      </c>
      <c r="L590" s="213"/>
      <c r="M590" s="32" t="s">
        <v>40</v>
      </c>
      <c r="N590" s="32" t="s">
        <v>40</v>
      </c>
      <c r="P590" s="125">
        <f t="shared" si="231"/>
        <v>21350</v>
      </c>
      <c r="Q590" s="54" t="s">
        <v>789</v>
      </c>
      <c r="R590" s="48"/>
      <c r="S590" s="49"/>
      <c r="T590" s="50">
        <f t="shared" si="232"/>
        <v>0</v>
      </c>
      <c r="V590" s="51">
        <v>21350</v>
      </c>
      <c r="W590" s="51"/>
      <c r="X590" s="51"/>
      <c r="Y590" s="51"/>
      <c r="Z590" s="51"/>
      <c r="AA590" s="51"/>
      <c r="AB590" s="51"/>
      <c r="AC590" s="51"/>
      <c r="AD590" s="51"/>
      <c r="AE590" s="51"/>
      <c r="AF590" s="51"/>
      <c r="AG590" s="51"/>
      <c r="AH590" s="51"/>
      <c r="AI590" s="51"/>
      <c r="AJ590" s="51"/>
      <c r="AK590" s="51"/>
      <c r="AL590" s="51"/>
      <c r="AM590" s="51"/>
      <c r="AN590" s="51"/>
      <c r="AO590" s="51"/>
      <c r="AP590" s="51"/>
      <c r="AQ590" s="51"/>
      <c r="AR590" s="51"/>
      <c r="AS590" s="51"/>
      <c r="AT590" s="51"/>
      <c r="AU590" s="51"/>
      <c r="AV590" s="51"/>
      <c r="AW590" s="51"/>
      <c r="AX590" s="51"/>
      <c r="AY590" s="51"/>
      <c r="AZ590" s="51"/>
      <c r="BA590" s="51"/>
      <c r="BB590" s="51"/>
      <c r="BC590" s="51"/>
      <c r="BD590" s="51"/>
      <c r="BE590" s="51"/>
      <c r="BF590" s="51"/>
      <c r="BG590" s="51"/>
      <c r="BH590" s="51"/>
      <c r="BI590" s="51"/>
      <c r="BJ590" s="51"/>
      <c r="BK590" s="51"/>
      <c r="BL590" s="51"/>
      <c r="BM590" s="51"/>
      <c r="BN590" s="51"/>
      <c r="BO590" s="51"/>
      <c r="BP590" s="51"/>
      <c r="BQ590" s="51"/>
      <c r="BT590" s="53"/>
      <c r="BU590" s="25"/>
    </row>
    <row r="591" spans="2:73" ht="12.75" customHeight="1" x14ac:dyDescent="0.25">
      <c r="B591" s="144"/>
      <c r="C591" s="209" t="str">
        <f>HYPERLINK("https://sites.wustl.edu/meteoritesite/items/lm_nwa_16718/",Q591)</f>
        <v>Northwest Africa 16718</v>
      </c>
      <c r="D591" s="210"/>
      <c r="E591" s="210"/>
      <c r="F591" s="211"/>
      <c r="G591" s="89">
        <v>2022</v>
      </c>
      <c r="H591" s="214" t="s">
        <v>616</v>
      </c>
      <c r="I591" s="215"/>
      <c r="J591" s="145">
        <v>8220</v>
      </c>
      <c r="K591" s="212" t="s">
        <v>39</v>
      </c>
      <c r="L591" s="213"/>
      <c r="M591" s="32" t="s">
        <v>40</v>
      </c>
      <c r="N591" s="32" t="s">
        <v>40</v>
      </c>
      <c r="P591" s="125">
        <f t="shared" ref="P591" si="233">SUM(V591:BQ591)</f>
        <v>8220</v>
      </c>
      <c r="Q591" s="54" t="s">
        <v>812</v>
      </c>
      <c r="R591" s="48"/>
      <c r="S591" s="49"/>
      <c r="T591" s="50">
        <f t="shared" ref="T591" si="234">J591-P591</f>
        <v>0</v>
      </c>
      <c r="V591" s="51">
        <v>8220</v>
      </c>
      <c r="W591" s="51"/>
      <c r="X591" s="51"/>
      <c r="Y591" s="51"/>
      <c r="Z591" s="51"/>
      <c r="AA591" s="51"/>
      <c r="AB591" s="51"/>
      <c r="AC591" s="51"/>
      <c r="AD591" s="51"/>
      <c r="AE591" s="51"/>
      <c r="AF591" s="51"/>
      <c r="AG591" s="51"/>
      <c r="AH591" s="51"/>
      <c r="AI591" s="51"/>
      <c r="AJ591" s="51"/>
      <c r="AK591" s="51"/>
      <c r="AL591" s="51"/>
      <c r="AM591" s="51"/>
      <c r="AN591" s="51"/>
      <c r="AO591" s="51"/>
      <c r="AP591" s="51"/>
      <c r="AQ591" s="51"/>
      <c r="AR591" s="51"/>
      <c r="AS591" s="51"/>
      <c r="AT591" s="51"/>
      <c r="AU591" s="51"/>
      <c r="AV591" s="51"/>
      <c r="AW591" s="51"/>
      <c r="AX591" s="51"/>
      <c r="AY591" s="51"/>
      <c r="AZ591" s="51"/>
      <c r="BA591" s="51"/>
      <c r="BB591" s="51"/>
      <c r="BC591" s="51"/>
      <c r="BD591" s="51"/>
      <c r="BE591" s="51"/>
      <c r="BF591" s="51"/>
      <c r="BG591" s="51"/>
      <c r="BH591" s="51"/>
      <c r="BI591" s="51"/>
      <c r="BJ591" s="51"/>
      <c r="BK591" s="51"/>
      <c r="BL591" s="51"/>
      <c r="BM591" s="51"/>
      <c r="BN591" s="51"/>
      <c r="BO591" s="51"/>
      <c r="BP591" s="51"/>
      <c r="BQ591" s="51"/>
      <c r="BT591" s="53"/>
      <c r="BU591" s="25"/>
    </row>
    <row r="592" spans="2:73" ht="12.75" customHeight="1" x14ac:dyDescent="0.25">
      <c r="B592" s="144"/>
      <c r="C592" s="209" t="str">
        <f>HYPERLINK("https://sites.wustl.edu/meteoritesite/items/lm_nwa_16720/",Q592)</f>
        <v>Northwest Africa 16720</v>
      </c>
      <c r="D592" s="210"/>
      <c r="E592" s="210"/>
      <c r="F592" s="211"/>
      <c r="G592" s="89">
        <v>2024</v>
      </c>
      <c r="H592" s="214" t="s">
        <v>726</v>
      </c>
      <c r="I592" s="215"/>
      <c r="J592" s="145">
        <v>9390</v>
      </c>
      <c r="K592" s="212" t="s">
        <v>39</v>
      </c>
      <c r="L592" s="213"/>
      <c r="M592" s="32" t="s">
        <v>40</v>
      </c>
      <c r="N592" s="32" t="s">
        <v>40</v>
      </c>
      <c r="P592" s="125">
        <f t="shared" si="231"/>
        <v>9390</v>
      </c>
      <c r="Q592" s="54" t="s">
        <v>790</v>
      </c>
      <c r="R592" s="48"/>
      <c r="S592" s="49"/>
      <c r="T592" s="50">
        <f t="shared" si="232"/>
        <v>0</v>
      </c>
      <c r="V592" s="51">
        <v>9390</v>
      </c>
      <c r="W592" s="51"/>
      <c r="X592" s="51"/>
      <c r="Y592" s="51"/>
      <c r="Z592" s="51"/>
      <c r="AA592" s="51"/>
      <c r="AB592" s="51"/>
      <c r="AC592" s="51"/>
      <c r="AD592" s="51"/>
      <c r="AE592" s="51"/>
      <c r="AF592" s="51"/>
      <c r="AG592" s="51"/>
      <c r="AH592" s="51"/>
      <c r="AI592" s="51"/>
      <c r="AJ592" s="51"/>
      <c r="AK592" s="51"/>
      <c r="AL592" s="51"/>
      <c r="AM592" s="51"/>
      <c r="AN592" s="51"/>
      <c r="AO592" s="51"/>
      <c r="AP592" s="51"/>
      <c r="AQ592" s="51"/>
      <c r="AR592" s="51"/>
      <c r="AS592" s="51"/>
      <c r="AT592" s="51"/>
      <c r="AU592" s="51"/>
      <c r="AV592" s="51"/>
      <c r="AW592" s="51"/>
      <c r="AX592" s="51"/>
      <c r="AY592" s="51"/>
      <c r="AZ592" s="51"/>
      <c r="BA592" s="51"/>
      <c r="BB592" s="51"/>
      <c r="BC592" s="51"/>
      <c r="BD592" s="51"/>
      <c r="BE592" s="51"/>
      <c r="BF592" s="51"/>
      <c r="BG592" s="51"/>
      <c r="BH592" s="51"/>
      <c r="BI592" s="51"/>
      <c r="BJ592" s="51"/>
      <c r="BK592" s="51"/>
      <c r="BL592" s="51"/>
      <c r="BM592" s="51"/>
      <c r="BN592" s="51"/>
      <c r="BO592" s="51"/>
      <c r="BP592" s="51"/>
      <c r="BQ592" s="51"/>
      <c r="BT592" s="53"/>
      <c r="BU592" s="25"/>
    </row>
    <row r="593" spans="1:73" ht="12.75" customHeight="1" x14ac:dyDescent="0.25">
      <c r="B593" s="144"/>
      <c r="C593" s="209" t="str">
        <f>HYPERLINK("https://sites.wustl.edu/meteoritesite/items/lm_nwa_16727/",Q593)</f>
        <v>Northwest Africa 16727</v>
      </c>
      <c r="D593" s="210"/>
      <c r="E593" s="210"/>
      <c r="F593" s="211"/>
      <c r="G593" s="89">
        <v>2023</v>
      </c>
      <c r="H593" s="240" t="s">
        <v>682</v>
      </c>
      <c r="I593" s="240"/>
      <c r="J593" s="145">
        <v>24</v>
      </c>
      <c r="K593" s="212" t="s">
        <v>39</v>
      </c>
      <c r="L593" s="213"/>
      <c r="M593" s="32" t="s">
        <v>342</v>
      </c>
      <c r="N593" s="32" t="s">
        <v>40</v>
      </c>
      <c r="P593" s="125">
        <f t="shared" si="231"/>
        <v>24</v>
      </c>
      <c r="Q593" s="54" t="s">
        <v>766</v>
      </c>
      <c r="R593" s="48"/>
      <c r="S593" s="49"/>
      <c r="T593" s="50">
        <f t="shared" si="232"/>
        <v>0</v>
      </c>
      <c r="V593" s="51">
        <v>24</v>
      </c>
      <c r="W593" s="51"/>
      <c r="X593" s="51"/>
      <c r="Y593" s="51"/>
      <c r="Z593" s="51"/>
      <c r="AA593" s="51"/>
      <c r="AB593" s="51"/>
      <c r="AC593" s="51"/>
      <c r="AD593" s="51"/>
      <c r="AE593" s="51"/>
      <c r="AF593" s="51"/>
      <c r="AG593" s="51"/>
      <c r="AH593" s="51"/>
      <c r="AI593" s="51"/>
      <c r="AJ593" s="51"/>
      <c r="AK593" s="51"/>
      <c r="AL593" s="51"/>
      <c r="AM593" s="51"/>
      <c r="AN593" s="51"/>
      <c r="AO593" s="51"/>
      <c r="AP593" s="51"/>
      <c r="AQ593" s="51"/>
      <c r="AR593" s="51"/>
      <c r="AS593" s="51"/>
      <c r="AT593" s="51"/>
      <c r="AU593" s="51"/>
      <c r="AV593" s="51"/>
      <c r="AW593" s="51"/>
      <c r="AX593" s="51"/>
      <c r="AY593" s="51"/>
      <c r="AZ593" s="51"/>
      <c r="BA593" s="51"/>
      <c r="BB593" s="51"/>
      <c r="BC593" s="51"/>
      <c r="BD593" s="51"/>
      <c r="BE593" s="51"/>
      <c r="BF593" s="51"/>
      <c r="BG593" s="51"/>
      <c r="BH593" s="51"/>
      <c r="BI593" s="51"/>
      <c r="BJ593" s="51"/>
      <c r="BK593" s="51"/>
      <c r="BL593" s="51"/>
      <c r="BM593" s="51"/>
      <c r="BN593" s="51"/>
      <c r="BO593" s="51"/>
      <c r="BP593" s="51"/>
      <c r="BQ593" s="51"/>
      <c r="BT593" s="53"/>
      <c r="BU593" s="25"/>
    </row>
    <row r="594" spans="1:73" ht="12.75" customHeight="1" x14ac:dyDescent="0.25">
      <c r="B594" s="144"/>
      <c r="C594" s="209" t="str">
        <f>HYPERLINK("https://sites.wustl.edu/meteoritesite/items/lm_nwa_16761/",Q594)</f>
        <v>Northwest Africa 16761</v>
      </c>
      <c r="D594" s="210"/>
      <c r="E594" s="210"/>
      <c r="F594" s="211"/>
      <c r="G594" s="89">
        <v>2016</v>
      </c>
      <c r="H594" s="214" t="s">
        <v>38</v>
      </c>
      <c r="I594" s="215"/>
      <c r="J594" s="146">
        <v>75.599999999999994</v>
      </c>
      <c r="K594" s="212" t="s">
        <v>39</v>
      </c>
      <c r="L594" s="213"/>
      <c r="M594" s="32" t="s">
        <v>40</v>
      </c>
      <c r="N594" s="32" t="s">
        <v>40</v>
      </c>
      <c r="P594" s="125">
        <f t="shared" ref="P594" si="235">SUM(V594:BQ594)</f>
        <v>75.599999999999994</v>
      </c>
      <c r="Q594" s="54" t="s">
        <v>774</v>
      </c>
      <c r="R594" s="48"/>
      <c r="S594" s="49"/>
      <c r="T594" s="50">
        <f t="shared" si="232"/>
        <v>0</v>
      </c>
      <c r="V594" s="51">
        <v>75.599999999999994</v>
      </c>
      <c r="W594" s="51"/>
      <c r="X594" s="51"/>
      <c r="Y594" s="51"/>
      <c r="Z594" s="51"/>
      <c r="AA594" s="51"/>
      <c r="AB594" s="51"/>
      <c r="AC594" s="51"/>
      <c r="AD594" s="51"/>
      <c r="AE594" s="51"/>
      <c r="AF594" s="51"/>
      <c r="AG594" s="51"/>
      <c r="AH594" s="51"/>
      <c r="AI594" s="51"/>
      <c r="AJ594" s="51"/>
      <c r="AK594" s="51"/>
      <c r="AL594" s="51"/>
      <c r="AM594" s="51"/>
      <c r="AN594" s="51"/>
      <c r="AO594" s="51"/>
      <c r="AP594" s="51"/>
      <c r="AQ594" s="51"/>
      <c r="AR594" s="51"/>
      <c r="AS594" s="51"/>
      <c r="AT594" s="51"/>
      <c r="AU594" s="51"/>
      <c r="AV594" s="51"/>
      <c r="AW594" s="51"/>
      <c r="AX594" s="51"/>
      <c r="AY594" s="51"/>
      <c r="AZ594" s="51"/>
      <c r="BA594" s="51"/>
      <c r="BB594" s="51"/>
      <c r="BC594" s="51"/>
      <c r="BD594" s="51"/>
      <c r="BE594" s="51"/>
      <c r="BF594" s="51"/>
      <c r="BG594" s="51"/>
      <c r="BH594" s="51"/>
      <c r="BI594" s="51"/>
      <c r="BJ594" s="51"/>
      <c r="BK594" s="51"/>
      <c r="BL594" s="51"/>
      <c r="BM594" s="51"/>
      <c r="BN594" s="51"/>
      <c r="BO594" s="51"/>
      <c r="BP594" s="51"/>
      <c r="BQ594" s="51"/>
      <c r="BT594" s="53"/>
      <c r="BU594" s="25"/>
    </row>
    <row r="595" spans="1:73" ht="12.75" customHeight="1" x14ac:dyDescent="0.25">
      <c r="B595" s="144"/>
      <c r="C595" s="209" t="str">
        <f>HYPERLINK("https://sites.wustl.edu/meteoritesite/items/lm_nwa_16690/",Q595)</f>
        <v>Northwest Africa 16690</v>
      </c>
      <c r="D595" s="210"/>
      <c r="E595" s="210"/>
      <c r="F595" s="211"/>
      <c r="G595" s="89">
        <v>2023</v>
      </c>
      <c r="H595" s="214" t="s">
        <v>41</v>
      </c>
      <c r="I595" s="215"/>
      <c r="J595" s="145">
        <v>66</v>
      </c>
      <c r="K595" s="212" t="s">
        <v>39</v>
      </c>
      <c r="L595" s="213"/>
      <c r="M595" s="32" t="s">
        <v>40</v>
      </c>
      <c r="N595" s="32" t="s">
        <v>40</v>
      </c>
      <c r="P595" s="125">
        <f t="shared" si="231"/>
        <v>66</v>
      </c>
      <c r="Q595" s="54" t="s">
        <v>768</v>
      </c>
      <c r="R595" s="48"/>
      <c r="S595" s="49"/>
      <c r="T595" s="50">
        <f t="shared" si="232"/>
        <v>0</v>
      </c>
      <c r="V595" s="51">
        <v>66</v>
      </c>
      <c r="W595" s="51"/>
      <c r="X595" s="51"/>
      <c r="Y595" s="51"/>
      <c r="Z595" s="51"/>
      <c r="AA595" s="51"/>
      <c r="AB595" s="51"/>
      <c r="AC595" s="51"/>
      <c r="AD595" s="51"/>
      <c r="AE595" s="51"/>
      <c r="AF595" s="51"/>
      <c r="AG595" s="51"/>
      <c r="AH595" s="51"/>
      <c r="AI595" s="51"/>
      <c r="AJ595" s="51"/>
      <c r="AK595" s="51"/>
      <c r="AL595" s="51"/>
      <c r="AM595" s="51"/>
      <c r="AN595" s="51"/>
      <c r="AO595" s="51"/>
      <c r="AP595" s="51"/>
      <c r="AQ595" s="51"/>
      <c r="AR595" s="51"/>
      <c r="AS595" s="51"/>
      <c r="AT595" s="51"/>
      <c r="AU595" s="51"/>
      <c r="AV595" s="51"/>
      <c r="AW595" s="51"/>
      <c r="AX595" s="51"/>
      <c r="AY595" s="51"/>
      <c r="AZ595" s="51"/>
      <c r="BA595" s="51"/>
      <c r="BB595" s="51"/>
      <c r="BC595" s="51"/>
      <c r="BD595" s="51"/>
      <c r="BE595" s="51"/>
      <c r="BF595" s="51"/>
      <c r="BG595" s="51"/>
      <c r="BH595" s="51"/>
      <c r="BI595" s="51"/>
      <c r="BJ595" s="51"/>
      <c r="BK595" s="51"/>
      <c r="BL595" s="51"/>
      <c r="BM595" s="51"/>
      <c r="BN595" s="51"/>
      <c r="BO595" s="51"/>
      <c r="BP595" s="51"/>
      <c r="BQ595" s="51"/>
      <c r="BT595" s="53"/>
      <c r="BU595" s="25"/>
    </row>
    <row r="596" spans="1:73" ht="12.75" customHeight="1" x14ac:dyDescent="0.25">
      <c r="B596" s="144"/>
      <c r="C596" s="209" t="str">
        <f>HYPERLINK("https://sites.wustl.edu/meteoritesite/items/lm_nwa_16760/",Q596)</f>
        <v>Northwest Africa 16760</v>
      </c>
      <c r="D596" s="210"/>
      <c r="E596" s="210"/>
      <c r="F596" s="211"/>
      <c r="G596" s="89">
        <v>2024</v>
      </c>
      <c r="H596" s="214" t="s">
        <v>616</v>
      </c>
      <c r="I596" s="215"/>
      <c r="J596" s="31">
        <v>62000</v>
      </c>
      <c r="K596" s="212" t="s">
        <v>39</v>
      </c>
      <c r="L596" s="213"/>
      <c r="M596" s="32" t="s">
        <v>40</v>
      </c>
      <c r="N596" s="32" t="s">
        <v>40</v>
      </c>
      <c r="P596" s="125">
        <f t="shared" si="231"/>
        <v>62000</v>
      </c>
      <c r="Q596" s="54" t="s">
        <v>786</v>
      </c>
      <c r="R596" s="48"/>
      <c r="S596" s="49"/>
      <c r="T596" s="50">
        <f t="shared" si="232"/>
        <v>0</v>
      </c>
      <c r="V596" s="51">
        <v>62000</v>
      </c>
      <c r="W596" s="51"/>
      <c r="X596" s="51"/>
      <c r="Y596" s="51"/>
      <c r="Z596" s="51"/>
      <c r="AA596" s="51"/>
      <c r="AB596" s="51"/>
      <c r="AC596" s="51"/>
      <c r="AD596" s="51"/>
      <c r="AE596" s="51"/>
      <c r="AF596" s="51"/>
      <c r="AG596" s="51"/>
      <c r="AH596" s="51"/>
      <c r="AI596" s="51"/>
      <c r="AJ596" s="51"/>
      <c r="AK596" s="51"/>
      <c r="AL596" s="51"/>
      <c r="AM596" s="51"/>
      <c r="AN596" s="51"/>
      <c r="AO596" s="51"/>
      <c r="AP596" s="51"/>
      <c r="AQ596" s="51"/>
      <c r="AR596" s="51"/>
      <c r="AS596" s="51"/>
      <c r="AT596" s="51"/>
      <c r="AU596" s="51"/>
      <c r="AV596" s="51"/>
      <c r="AW596" s="51"/>
      <c r="AX596" s="51"/>
      <c r="AY596" s="51"/>
      <c r="AZ596" s="51"/>
      <c r="BA596" s="51"/>
      <c r="BB596" s="51"/>
      <c r="BC596" s="51"/>
      <c r="BD596" s="51"/>
      <c r="BE596" s="51"/>
      <c r="BF596" s="51"/>
      <c r="BG596" s="51"/>
      <c r="BH596" s="51"/>
      <c r="BI596" s="51"/>
      <c r="BJ596" s="51"/>
      <c r="BK596" s="51"/>
      <c r="BL596" s="51"/>
      <c r="BM596" s="51"/>
      <c r="BN596" s="51"/>
      <c r="BO596" s="51"/>
      <c r="BP596" s="51"/>
      <c r="BQ596" s="51"/>
      <c r="BT596" s="53"/>
      <c r="BU596" s="25"/>
    </row>
    <row r="597" spans="1:73" ht="12.75" customHeight="1" x14ac:dyDescent="0.25">
      <c r="B597" s="144"/>
      <c r="C597" s="209" t="str">
        <f>HYPERLINK("https://sites.wustl.edu/meteoritesite/items/lm_nwa_16784/",Q597)</f>
        <v>Northwest Africa 16784</v>
      </c>
      <c r="D597" s="210"/>
      <c r="E597" s="210"/>
      <c r="F597" s="211"/>
      <c r="G597" s="89">
        <v>2024</v>
      </c>
      <c r="H597" s="214" t="s">
        <v>616</v>
      </c>
      <c r="I597" s="215"/>
      <c r="J597" s="145">
        <v>650</v>
      </c>
      <c r="K597" s="212" t="s">
        <v>39</v>
      </c>
      <c r="L597" s="213"/>
      <c r="M597" s="32" t="s">
        <v>40</v>
      </c>
      <c r="N597" s="32" t="s">
        <v>40</v>
      </c>
      <c r="P597" s="125">
        <f t="shared" ref="P597:P603" si="236">SUM(V597:BQ597)</f>
        <v>650</v>
      </c>
      <c r="Q597" s="54" t="s">
        <v>778</v>
      </c>
      <c r="R597" s="48"/>
      <c r="S597" s="49"/>
      <c r="T597" s="50">
        <f t="shared" si="232"/>
        <v>0</v>
      </c>
      <c r="V597" s="51">
        <v>650</v>
      </c>
      <c r="W597" s="51"/>
      <c r="X597" s="51"/>
      <c r="Y597" s="51"/>
      <c r="Z597" s="51"/>
      <c r="AA597" s="51"/>
      <c r="AB597" s="51"/>
      <c r="AC597" s="51"/>
      <c r="AD597" s="51"/>
      <c r="AE597" s="51"/>
      <c r="AF597" s="51"/>
      <c r="AG597" s="51"/>
      <c r="AH597" s="51"/>
      <c r="AI597" s="51"/>
      <c r="AJ597" s="51"/>
      <c r="AK597" s="51"/>
      <c r="AL597" s="51"/>
      <c r="AM597" s="51"/>
      <c r="AN597" s="51"/>
      <c r="AO597" s="51"/>
      <c r="AP597" s="51"/>
      <c r="AQ597" s="51"/>
      <c r="AR597" s="51"/>
      <c r="AS597" s="51"/>
      <c r="AT597" s="51"/>
      <c r="AU597" s="51"/>
      <c r="AV597" s="51"/>
      <c r="AW597" s="51"/>
      <c r="AX597" s="51"/>
      <c r="AY597" s="51"/>
      <c r="AZ597" s="51"/>
      <c r="BA597" s="51"/>
      <c r="BB597" s="51"/>
      <c r="BC597" s="51"/>
      <c r="BD597" s="51"/>
      <c r="BE597" s="51"/>
      <c r="BF597" s="51"/>
      <c r="BG597" s="51"/>
      <c r="BH597" s="51"/>
      <c r="BI597" s="51"/>
      <c r="BJ597" s="51"/>
      <c r="BK597" s="51"/>
      <c r="BL597" s="51"/>
      <c r="BM597" s="51"/>
      <c r="BN597" s="51"/>
      <c r="BO597" s="51"/>
      <c r="BP597" s="51"/>
      <c r="BQ597" s="51"/>
      <c r="BT597" s="53"/>
      <c r="BU597" s="25"/>
    </row>
    <row r="598" spans="1:73" ht="12.75" customHeight="1" x14ac:dyDescent="0.25">
      <c r="B598" s="144"/>
      <c r="C598" s="209" t="str">
        <f>HYPERLINK("https://sites.wustl.edu/meteoritesite/items/lm_nwa_16881/",Q598)</f>
        <v>Northwest Africa 16881</v>
      </c>
      <c r="D598" s="210"/>
      <c r="E598" s="210"/>
      <c r="F598" s="211"/>
      <c r="G598" s="89">
        <v>2024</v>
      </c>
      <c r="H598" s="214" t="s">
        <v>396</v>
      </c>
      <c r="I598" s="215"/>
      <c r="J598" s="145">
        <v>1072</v>
      </c>
      <c r="K598" s="212" t="s">
        <v>39</v>
      </c>
      <c r="L598" s="213"/>
      <c r="M598" s="32" t="s">
        <v>40</v>
      </c>
      <c r="N598" s="32" t="s">
        <v>40</v>
      </c>
      <c r="P598" s="125">
        <f t="shared" ref="P598" si="237">SUM(V598:BQ598)</f>
        <v>1072</v>
      </c>
      <c r="Q598" s="54" t="s">
        <v>801</v>
      </c>
      <c r="R598" s="48"/>
      <c r="S598" s="49"/>
      <c r="T598" s="50">
        <f t="shared" ref="T598" si="238">J598-P598</f>
        <v>0</v>
      </c>
      <c r="V598" s="51">
        <v>1072</v>
      </c>
      <c r="W598" s="51"/>
      <c r="X598" s="51"/>
      <c r="Y598" s="51"/>
      <c r="Z598" s="51"/>
      <c r="AA598" s="51"/>
      <c r="AB598" s="51"/>
      <c r="AC598" s="51"/>
      <c r="AD598" s="51"/>
      <c r="AE598" s="51"/>
      <c r="AF598" s="51"/>
      <c r="AG598" s="51"/>
      <c r="AH598" s="51"/>
      <c r="AI598" s="51"/>
      <c r="AJ598" s="51"/>
      <c r="AK598" s="51"/>
      <c r="AL598" s="51"/>
      <c r="AM598" s="51"/>
      <c r="AN598" s="51"/>
      <c r="AO598" s="51"/>
      <c r="AP598" s="51"/>
      <c r="AQ598" s="51"/>
      <c r="AR598" s="51"/>
      <c r="AS598" s="51"/>
      <c r="AT598" s="51"/>
      <c r="AU598" s="51"/>
      <c r="AV598" s="51"/>
      <c r="AW598" s="51"/>
      <c r="AX598" s="51"/>
      <c r="AY598" s="51"/>
      <c r="AZ598" s="51"/>
      <c r="BA598" s="51"/>
      <c r="BB598" s="51"/>
      <c r="BC598" s="51"/>
      <c r="BD598" s="51"/>
      <c r="BE598" s="51"/>
      <c r="BF598" s="51"/>
      <c r="BG598" s="51"/>
      <c r="BH598" s="51"/>
      <c r="BI598" s="51"/>
      <c r="BJ598" s="51"/>
      <c r="BK598" s="51"/>
      <c r="BL598" s="51"/>
      <c r="BM598" s="51"/>
      <c r="BN598" s="51"/>
      <c r="BO598" s="51"/>
      <c r="BP598" s="51"/>
      <c r="BQ598" s="51"/>
      <c r="BT598" s="53"/>
      <c r="BU598" s="25"/>
    </row>
    <row r="599" spans="1:73" ht="12.75" customHeight="1" x14ac:dyDescent="0.25">
      <c r="B599" s="144"/>
      <c r="C599" s="209" t="str">
        <f>HYPERLINK("https://sites.wustl.edu/meteoritesite/items/lm_nwa_16882/",Q599)</f>
        <v>Northwest Africa 16882</v>
      </c>
      <c r="D599" s="210"/>
      <c r="E599" s="210"/>
      <c r="F599" s="211"/>
      <c r="G599" s="89">
        <v>2023</v>
      </c>
      <c r="H599" s="214" t="s">
        <v>510</v>
      </c>
      <c r="I599" s="215"/>
      <c r="J599" s="145">
        <v>65</v>
      </c>
      <c r="K599" s="212" t="s">
        <v>39</v>
      </c>
      <c r="L599" s="213"/>
      <c r="M599" s="32" t="s">
        <v>40</v>
      </c>
      <c r="N599" s="32" t="s">
        <v>40</v>
      </c>
      <c r="P599" s="125">
        <f t="shared" si="236"/>
        <v>65</v>
      </c>
      <c r="Q599" s="54" t="s">
        <v>787</v>
      </c>
      <c r="R599" s="48"/>
      <c r="S599" s="49"/>
      <c r="T599" s="50">
        <f t="shared" si="232"/>
        <v>0</v>
      </c>
      <c r="V599" s="51">
        <v>65</v>
      </c>
      <c r="W599" s="51"/>
      <c r="X599" s="51"/>
      <c r="Y599" s="51"/>
      <c r="Z599" s="51"/>
      <c r="AA599" s="51"/>
      <c r="AB599" s="51"/>
      <c r="AC599" s="51"/>
      <c r="AD599" s="51"/>
      <c r="AE599" s="51"/>
      <c r="AF599" s="51"/>
      <c r="AG599" s="51"/>
      <c r="AH599" s="51"/>
      <c r="AI599" s="51"/>
      <c r="AJ599" s="51"/>
      <c r="AK599" s="51"/>
      <c r="AL599" s="51"/>
      <c r="AM599" s="51"/>
      <c r="AN599" s="51"/>
      <c r="AO599" s="51"/>
      <c r="AP599" s="51"/>
      <c r="AQ599" s="51"/>
      <c r="AR599" s="51"/>
      <c r="AS599" s="51"/>
      <c r="AT599" s="51"/>
      <c r="AU599" s="51"/>
      <c r="AV599" s="51"/>
      <c r="AW599" s="51"/>
      <c r="AX599" s="51"/>
      <c r="AY599" s="51"/>
      <c r="AZ599" s="51"/>
      <c r="BA599" s="51"/>
      <c r="BB599" s="51"/>
      <c r="BC599" s="51"/>
      <c r="BD599" s="51"/>
      <c r="BE599" s="51"/>
      <c r="BF599" s="51"/>
      <c r="BG599" s="51"/>
      <c r="BH599" s="51"/>
      <c r="BI599" s="51"/>
      <c r="BJ599" s="51"/>
      <c r="BK599" s="51"/>
      <c r="BL599" s="51"/>
      <c r="BM599" s="51"/>
      <c r="BN599" s="51"/>
      <c r="BO599" s="51"/>
      <c r="BP599" s="51"/>
      <c r="BQ599" s="51"/>
      <c r="BT599" s="53"/>
      <c r="BU599" s="25"/>
    </row>
    <row r="600" spans="1:73" ht="12.75" customHeight="1" x14ac:dyDescent="0.25">
      <c r="B600" s="144"/>
      <c r="C600" s="209" t="str">
        <f>HYPERLINK("https://sites.wustl.edu/meteoritesite/items/lm_nwa_16888/",Q600)</f>
        <v>Northwest Africa 16888</v>
      </c>
      <c r="D600" s="210"/>
      <c r="E600" s="210"/>
      <c r="F600" s="211"/>
      <c r="G600" s="89">
        <v>2024</v>
      </c>
      <c r="H600" s="214" t="s">
        <v>616</v>
      </c>
      <c r="I600" s="215"/>
      <c r="J600" s="145">
        <v>50</v>
      </c>
      <c r="K600" s="212" t="s">
        <v>39</v>
      </c>
      <c r="L600" s="213"/>
      <c r="M600" s="32" t="s">
        <v>40</v>
      </c>
      <c r="N600" s="32" t="s">
        <v>40</v>
      </c>
      <c r="P600" s="125">
        <f t="shared" ref="P600" si="239">SUM(V600:BQ600)</f>
        <v>50</v>
      </c>
      <c r="Q600" s="54" t="s">
        <v>800</v>
      </c>
      <c r="R600" s="48"/>
      <c r="S600" s="49"/>
      <c r="T600" s="50">
        <f t="shared" ref="T600" si="240">J600-P600</f>
        <v>0</v>
      </c>
      <c r="V600" s="51">
        <v>50</v>
      </c>
      <c r="W600" s="51"/>
      <c r="X600" s="51"/>
      <c r="Y600" s="51"/>
      <c r="Z600" s="51"/>
      <c r="AA600" s="51"/>
      <c r="AB600" s="51"/>
      <c r="AC600" s="51"/>
      <c r="AD600" s="51"/>
      <c r="AE600" s="51"/>
      <c r="AF600" s="51"/>
      <c r="AG600" s="51"/>
      <c r="AH600" s="51"/>
      <c r="AI600" s="51"/>
      <c r="AJ600" s="51"/>
      <c r="AK600" s="51"/>
      <c r="AL600" s="51"/>
      <c r="AM600" s="51"/>
      <c r="AN600" s="51"/>
      <c r="AO600" s="51"/>
      <c r="AP600" s="51"/>
      <c r="AQ600" s="51"/>
      <c r="AR600" s="51"/>
      <c r="AS600" s="51"/>
      <c r="AT600" s="51"/>
      <c r="AU600" s="51"/>
      <c r="AV600" s="51"/>
      <c r="AW600" s="51"/>
      <c r="AX600" s="51"/>
      <c r="AY600" s="51"/>
      <c r="AZ600" s="51"/>
      <c r="BA600" s="51"/>
      <c r="BB600" s="51"/>
      <c r="BC600" s="51"/>
      <c r="BD600" s="51"/>
      <c r="BE600" s="51"/>
      <c r="BF600" s="51"/>
      <c r="BG600" s="51"/>
      <c r="BH600" s="51"/>
      <c r="BI600" s="51"/>
      <c r="BJ600" s="51"/>
      <c r="BK600" s="51"/>
      <c r="BL600" s="51"/>
      <c r="BM600" s="51"/>
      <c r="BN600" s="51"/>
      <c r="BO600" s="51"/>
      <c r="BP600" s="51"/>
      <c r="BQ600" s="51"/>
      <c r="BT600" s="53"/>
      <c r="BU600" s="25"/>
    </row>
    <row r="601" spans="1:73" ht="12.75" customHeight="1" x14ac:dyDescent="0.25">
      <c r="B601" s="144"/>
      <c r="C601" s="209" t="str">
        <f>HYPERLINK("https://sites.wustl.edu/meteoritesite/items/lm_nwa_16894/",Q601)</f>
        <v>Northwest Africa 16894</v>
      </c>
      <c r="D601" s="210"/>
      <c r="E601" s="210"/>
      <c r="F601" s="211"/>
      <c r="G601" s="89">
        <v>2023</v>
      </c>
      <c r="H601" s="214" t="s">
        <v>38</v>
      </c>
      <c r="I601" s="215"/>
      <c r="J601" s="145">
        <v>1230</v>
      </c>
      <c r="K601" s="212" t="s">
        <v>39</v>
      </c>
      <c r="L601" s="213"/>
      <c r="M601" s="32" t="s">
        <v>40</v>
      </c>
      <c r="N601" s="32" t="s">
        <v>40</v>
      </c>
      <c r="P601" s="125">
        <f t="shared" ref="P601" si="241">SUM(V601:BQ601)</f>
        <v>1230</v>
      </c>
      <c r="Q601" s="54" t="s">
        <v>797</v>
      </c>
      <c r="R601" s="48"/>
      <c r="S601" s="49"/>
      <c r="T601" s="50">
        <f t="shared" ref="T601" si="242">J601-P601</f>
        <v>0</v>
      </c>
      <c r="V601" s="51">
        <v>1230</v>
      </c>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51"/>
      <c r="AZ601" s="51"/>
      <c r="BA601" s="51"/>
      <c r="BB601" s="51"/>
      <c r="BC601" s="51"/>
      <c r="BD601" s="51"/>
      <c r="BE601" s="51"/>
      <c r="BF601" s="51"/>
      <c r="BG601" s="51"/>
      <c r="BH601" s="51"/>
      <c r="BI601" s="51"/>
      <c r="BJ601" s="51"/>
      <c r="BK601" s="51"/>
      <c r="BL601" s="51"/>
      <c r="BM601" s="51"/>
      <c r="BN601" s="51"/>
      <c r="BO601" s="51"/>
      <c r="BP601" s="51"/>
      <c r="BQ601" s="51"/>
      <c r="BT601" s="53"/>
      <c r="BU601" s="25"/>
    </row>
    <row r="602" spans="1:73" ht="12.75" customHeight="1" x14ac:dyDescent="0.25">
      <c r="B602" s="144"/>
      <c r="C602" s="209" t="str">
        <f>HYPERLINK("https://sites.wustl.edu/meteoritesite/items/lm_nwa_16914/",Q602)</f>
        <v>Northwest Africa 16914</v>
      </c>
      <c r="D602" s="210"/>
      <c r="E602" s="210"/>
      <c r="F602" s="211"/>
      <c r="G602" s="89">
        <v>2024</v>
      </c>
      <c r="H602" s="214" t="s">
        <v>616</v>
      </c>
      <c r="I602" s="215"/>
      <c r="J602" s="145">
        <v>52</v>
      </c>
      <c r="K602" s="212" t="s">
        <v>39</v>
      </c>
      <c r="L602" s="213"/>
      <c r="M602" s="32" t="s">
        <v>40</v>
      </c>
      <c r="N602" s="32" t="s">
        <v>40</v>
      </c>
      <c r="P602" s="125">
        <f t="shared" si="236"/>
        <v>52</v>
      </c>
      <c r="Q602" s="54" t="s">
        <v>791</v>
      </c>
      <c r="R602" s="48"/>
      <c r="S602" s="49"/>
      <c r="T602" s="50">
        <f t="shared" si="232"/>
        <v>0</v>
      </c>
      <c r="V602" s="51">
        <v>52</v>
      </c>
      <c r="W602" s="51"/>
      <c r="X602" s="51"/>
      <c r="Y602" s="51"/>
      <c r="Z602" s="51"/>
      <c r="AA602" s="51"/>
      <c r="AB602" s="51"/>
      <c r="AC602" s="51"/>
      <c r="AD602" s="51"/>
      <c r="AE602" s="51"/>
      <c r="AF602" s="51"/>
      <c r="AG602" s="51"/>
      <c r="AH602" s="51"/>
      <c r="AI602" s="51"/>
      <c r="AJ602" s="51"/>
      <c r="AK602" s="51"/>
      <c r="AL602" s="51"/>
      <c r="AM602" s="51"/>
      <c r="AN602" s="51"/>
      <c r="AO602" s="51"/>
      <c r="AP602" s="51"/>
      <c r="AQ602" s="51"/>
      <c r="AR602" s="51"/>
      <c r="AS602" s="51"/>
      <c r="AT602" s="51"/>
      <c r="AU602" s="51"/>
      <c r="AV602" s="51"/>
      <c r="AW602" s="51"/>
      <c r="AX602" s="51"/>
      <c r="AY602" s="51"/>
      <c r="AZ602" s="51"/>
      <c r="BA602" s="51"/>
      <c r="BB602" s="51"/>
      <c r="BC602" s="51"/>
      <c r="BD602" s="51"/>
      <c r="BE602" s="51"/>
      <c r="BF602" s="51"/>
      <c r="BG602" s="51"/>
      <c r="BH602" s="51"/>
      <c r="BI602" s="51"/>
      <c r="BJ602" s="51"/>
      <c r="BK602" s="51"/>
      <c r="BL602" s="51"/>
      <c r="BM602" s="51"/>
      <c r="BN602" s="51"/>
      <c r="BO602" s="51"/>
      <c r="BP602" s="51"/>
      <c r="BQ602" s="51"/>
      <c r="BT602" s="53"/>
      <c r="BU602" s="25"/>
    </row>
    <row r="603" spans="1:73" ht="12.75" customHeight="1" x14ac:dyDescent="0.25">
      <c r="B603" s="144"/>
      <c r="C603" s="209" t="str">
        <f>HYPERLINK("https://sites.wustl.edu/meteoritesite/items/lm_nwa_16974/",Q603)</f>
        <v>Northwest Africa 16974</v>
      </c>
      <c r="D603" s="210"/>
      <c r="E603" s="210"/>
      <c r="F603" s="211"/>
      <c r="G603" s="89">
        <v>2024</v>
      </c>
      <c r="H603" s="214" t="s">
        <v>396</v>
      </c>
      <c r="I603" s="215"/>
      <c r="J603" s="145">
        <v>423</v>
      </c>
      <c r="K603" s="212" t="s">
        <v>39</v>
      </c>
      <c r="L603" s="213"/>
      <c r="M603" s="32" t="s">
        <v>40</v>
      </c>
      <c r="N603" s="32" t="s">
        <v>40</v>
      </c>
      <c r="P603" s="125">
        <f t="shared" si="236"/>
        <v>423</v>
      </c>
      <c r="Q603" s="54" t="s">
        <v>792</v>
      </c>
      <c r="R603" s="48"/>
      <c r="S603" s="49"/>
      <c r="T603" s="50">
        <f t="shared" si="232"/>
        <v>0</v>
      </c>
      <c r="V603" s="51">
        <v>423</v>
      </c>
      <c r="W603" s="51"/>
      <c r="X603" s="51"/>
      <c r="Y603" s="51"/>
      <c r="Z603" s="51"/>
      <c r="AA603" s="51"/>
      <c r="AB603" s="51"/>
      <c r="AC603" s="51"/>
      <c r="AD603" s="51"/>
      <c r="AE603" s="51"/>
      <c r="AF603" s="51"/>
      <c r="AG603" s="51"/>
      <c r="AH603" s="51"/>
      <c r="AI603" s="51"/>
      <c r="AJ603" s="51"/>
      <c r="AK603" s="51"/>
      <c r="AL603" s="51"/>
      <c r="AM603" s="51"/>
      <c r="AN603" s="51"/>
      <c r="AO603" s="51"/>
      <c r="AP603" s="51"/>
      <c r="AQ603" s="51"/>
      <c r="AR603" s="51"/>
      <c r="AS603" s="51"/>
      <c r="AT603" s="51"/>
      <c r="AU603" s="51"/>
      <c r="AV603" s="51"/>
      <c r="AW603" s="51"/>
      <c r="AX603" s="51"/>
      <c r="AY603" s="51"/>
      <c r="AZ603" s="51"/>
      <c r="BA603" s="51"/>
      <c r="BB603" s="51"/>
      <c r="BC603" s="51"/>
      <c r="BD603" s="51"/>
      <c r="BE603" s="51"/>
      <c r="BF603" s="51"/>
      <c r="BG603" s="51"/>
      <c r="BH603" s="51"/>
      <c r="BI603" s="51"/>
      <c r="BJ603" s="51"/>
      <c r="BK603" s="51"/>
      <c r="BL603" s="51"/>
      <c r="BM603" s="51"/>
      <c r="BN603" s="51"/>
      <c r="BO603" s="51"/>
      <c r="BP603" s="51"/>
      <c r="BQ603" s="51"/>
      <c r="BT603" s="53"/>
      <c r="BU603" s="25"/>
    </row>
    <row r="604" spans="1:73" ht="12.75" customHeight="1" x14ac:dyDescent="0.25">
      <c r="B604" s="184"/>
      <c r="C604" s="185"/>
      <c r="D604" s="186"/>
      <c r="E604" s="186"/>
      <c r="F604" s="187"/>
      <c r="G604" s="188"/>
      <c r="H604" s="189"/>
      <c r="I604" s="190"/>
      <c r="J604" s="145"/>
      <c r="K604" s="140"/>
      <c r="L604" s="141"/>
      <c r="M604" s="146"/>
      <c r="N604" s="146"/>
      <c r="P604" s="125"/>
      <c r="Q604" s="54"/>
      <c r="R604" s="48"/>
      <c r="S604" s="49"/>
      <c r="T604" s="50">
        <f t="shared" si="232"/>
        <v>0</v>
      </c>
      <c r="V604" s="51"/>
      <c r="W604" s="51"/>
      <c r="X604" s="51"/>
      <c r="Y604" s="51"/>
      <c r="Z604" s="51"/>
      <c r="AA604" s="51"/>
      <c r="AB604" s="51"/>
      <c r="AC604" s="51"/>
      <c r="AD604" s="51"/>
      <c r="AE604" s="51"/>
      <c r="AF604" s="51"/>
      <c r="AG604" s="51"/>
      <c r="AH604" s="51"/>
      <c r="AI604" s="51"/>
      <c r="AJ604" s="51"/>
      <c r="AK604" s="51"/>
      <c r="AL604" s="51"/>
      <c r="AM604" s="51"/>
      <c r="AN604" s="51"/>
      <c r="AO604" s="51"/>
      <c r="AP604" s="51"/>
      <c r="AQ604" s="51"/>
      <c r="AR604" s="51"/>
      <c r="AS604" s="51"/>
      <c r="AT604" s="51"/>
      <c r="AU604" s="51"/>
      <c r="AV604" s="51"/>
      <c r="AW604" s="51"/>
      <c r="AX604" s="51"/>
      <c r="AY604" s="51"/>
      <c r="AZ604" s="51"/>
      <c r="BA604" s="51"/>
      <c r="BB604" s="51"/>
      <c r="BC604" s="51"/>
      <c r="BD604" s="51"/>
      <c r="BE604" s="51"/>
      <c r="BF604" s="51"/>
      <c r="BG604" s="51"/>
      <c r="BH604" s="51"/>
      <c r="BI604" s="51"/>
      <c r="BJ604" s="51"/>
      <c r="BK604" s="51"/>
      <c r="BL604" s="51"/>
      <c r="BM604" s="51"/>
      <c r="BN604" s="51"/>
      <c r="BO604" s="51"/>
      <c r="BP604" s="51"/>
      <c r="BQ604" s="51"/>
      <c r="BT604" s="53"/>
      <c r="BU604" s="25"/>
    </row>
    <row r="605" spans="1:73" s="1" customFormat="1" ht="12.75" customHeight="1" x14ac:dyDescent="0.25">
      <c r="A605"/>
      <c r="B605" s="243" t="s">
        <v>28</v>
      </c>
      <c r="C605" s="244" t="s">
        <v>29</v>
      </c>
      <c r="D605" s="245"/>
      <c r="E605" s="245"/>
      <c r="F605" s="246"/>
      <c r="G605" s="241" t="s">
        <v>282</v>
      </c>
      <c r="H605" s="219" t="s">
        <v>249</v>
      </c>
      <c r="I605" s="220"/>
      <c r="J605" s="241" t="s">
        <v>30</v>
      </c>
      <c r="K605" s="219" t="s">
        <v>31</v>
      </c>
      <c r="L605" s="220"/>
      <c r="M605" s="223" t="s">
        <v>245</v>
      </c>
      <c r="N605" s="225" t="s">
        <v>32</v>
      </c>
      <c r="O605" s="15"/>
      <c r="P605" s="127"/>
      <c r="Q605" s="15"/>
      <c r="R605" s="15"/>
      <c r="S605" s="15"/>
      <c r="T605" s="50"/>
      <c r="U605" s="9"/>
      <c r="V605" s="42"/>
      <c r="W605" s="42"/>
      <c r="X605" s="42"/>
      <c r="Y605" s="42"/>
      <c r="Z605" s="42"/>
      <c r="AA605" s="42"/>
      <c r="AB605" s="42"/>
      <c r="AC605" s="42"/>
      <c r="AD605" s="42"/>
      <c r="AE605" s="42"/>
      <c r="AF605" s="42"/>
      <c r="AG605" s="42"/>
      <c r="AH605" s="42"/>
      <c r="AI605" s="42"/>
      <c r="AJ605" s="42"/>
      <c r="AK605" s="42"/>
      <c r="AL605" s="42"/>
      <c r="AM605" s="42"/>
      <c r="AN605" s="42"/>
      <c r="AO605" s="42"/>
      <c r="AP605" s="42"/>
      <c r="AQ605" s="42"/>
      <c r="AR605" s="42"/>
      <c r="AS605" s="42"/>
      <c r="AT605" s="42"/>
      <c r="AU605" s="42"/>
      <c r="AV605" s="42"/>
      <c r="AW605" s="42"/>
      <c r="AX605" s="42"/>
      <c r="AY605" s="42"/>
      <c r="AZ605" s="42"/>
      <c r="BA605" s="42"/>
      <c r="BB605" s="42"/>
      <c r="BC605" s="42"/>
      <c r="BD605" s="42"/>
      <c r="BE605" s="42"/>
      <c r="BF605" s="42"/>
      <c r="BG605" s="42"/>
      <c r="BH605" s="42"/>
      <c r="BI605" s="42"/>
      <c r="BJ605" s="42"/>
      <c r="BK605" s="42"/>
      <c r="BL605" s="42"/>
      <c r="BM605" s="42"/>
      <c r="BN605" s="42"/>
      <c r="BO605" s="42"/>
      <c r="BP605" s="42"/>
      <c r="BQ605" s="42"/>
      <c r="BR605" s="9"/>
      <c r="BS605" s="42"/>
      <c r="BT605" s="53"/>
      <c r="BU605" s="25"/>
    </row>
    <row r="606" spans="1:73" s="1" customFormat="1" ht="12.75" customHeight="1" x14ac:dyDescent="0.25">
      <c r="A606"/>
      <c r="B606" s="229"/>
      <c r="C606" s="233"/>
      <c r="D606" s="234"/>
      <c r="E606" s="234"/>
      <c r="F606" s="235"/>
      <c r="G606" s="242"/>
      <c r="H606" s="221"/>
      <c r="I606" s="222"/>
      <c r="J606" s="242"/>
      <c r="K606" s="221"/>
      <c r="L606" s="222"/>
      <c r="M606" s="224"/>
      <c r="N606" s="226"/>
      <c r="O606" s="15"/>
      <c r="P606" s="127"/>
      <c r="Q606" s="15"/>
      <c r="R606" s="15"/>
      <c r="S606" s="15"/>
      <c r="T606" s="50"/>
      <c r="U606" s="9"/>
      <c r="V606" s="42"/>
      <c r="W606" s="42"/>
      <c r="X606" s="42"/>
      <c r="Y606" s="42"/>
      <c r="Z606" s="42"/>
      <c r="AA606" s="42"/>
      <c r="AB606" s="42"/>
      <c r="AC606" s="42"/>
      <c r="AD606" s="42"/>
      <c r="AE606" s="42"/>
      <c r="AF606" s="42"/>
      <c r="AG606" s="42"/>
      <c r="AH606" s="42"/>
      <c r="AI606" s="42"/>
      <c r="AJ606" s="42"/>
      <c r="AK606" s="42"/>
      <c r="AL606" s="42"/>
      <c r="AM606" s="42"/>
      <c r="AN606" s="42"/>
      <c r="AO606" s="42"/>
      <c r="AP606" s="42"/>
      <c r="AQ606" s="42"/>
      <c r="AR606" s="42"/>
      <c r="AS606" s="42"/>
      <c r="AT606" s="42"/>
      <c r="AU606" s="42"/>
      <c r="AV606" s="42"/>
      <c r="AW606" s="42"/>
      <c r="AX606" s="42"/>
      <c r="AY606" s="42"/>
      <c r="AZ606" s="42"/>
      <c r="BA606" s="42"/>
      <c r="BB606" s="42"/>
      <c r="BC606" s="42"/>
      <c r="BD606" s="42"/>
      <c r="BE606" s="42"/>
      <c r="BF606" s="42"/>
      <c r="BG606" s="42"/>
      <c r="BH606" s="42"/>
      <c r="BI606" s="42"/>
      <c r="BJ606" s="42"/>
      <c r="BK606" s="42"/>
      <c r="BL606" s="42"/>
      <c r="BM606" s="42"/>
      <c r="BN606" s="42"/>
      <c r="BO606" s="42"/>
      <c r="BP606" s="42"/>
      <c r="BQ606" s="42"/>
      <c r="BR606" s="9"/>
      <c r="BS606" s="42"/>
      <c r="BT606" s="53"/>
      <c r="BU606" s="25"/>
    </row>
    <row r="607" spans="1:73" ht="12.75" customHeight="1" x14ac:dyDescent="0.25">
      <c r="B607" s="144"/>
      <c r="C607" s="209" t="str">
        <f>HYPERLINK("https://sites.wustl.edu/meteoritesite/items/lm_nwa_17060/",Q607)</f>
        <v>Northwest Africa 17060</v>
      </c>
      <c r="D607" s="210"/>
      <c r="E607" s="210"/>
      <c r="F607" s="211"/>
      <c r="G607" s="89">
        <v>2023</v>
      </c>
      <c r="H607" s="214" t="s">
        <v>616</v>
      </c>
      <c r="I607" s="215"/>
      <c r="J607" s="145">
        <v>137</v>
      </c>
      <c r="K607" s="212" t="s">
        <v>51</v>
      </c>
      <c r="L607" s="213"/>
      <c r="M607" s="32" t="s">
        <v>40</v>
      </c>
      <c r="N607" s="32" t="s">
        <v>40</v>
      </c>
      <c r="P607" s="125">
        <f t="shared" ref="P607:P610" si="243">SUM(V607:BQ607)</f>
        <v>137</v>
      </c>
      <c r="Q607" s="54" t="s">
        <v>802</v>
      </c>
      <c r="R607" s="48"/>
      <c r="S607" s="49"/>
      <c r="T607" s="50">
        <f t="shared" ref="T607:T610" si="244">J607-P607</f>
        <v>0</v>
      </c>
      <c r="V607" s="51">
        <v>137</v>
      </c>
      <c r="W607" s="51"/>
      <c r="X607" s="51"/>
      <c r="Y607" s="51"/>
      <c r="Z607" s="51"/>
      <c r="AA607" s="51"/>
      <c r="AB607" s="51"/>
      <c r="AC607" s="51"/>
      <c r="AD607" s="51"/>
      <c r="AE607" s="51"/>
      <c r="AF607" s="51"/>
      <c r="AG607" s="51"/>
      <c r="AH607" s="51"/>
      <c r="AI607" s="51"/>
      <c r="AJ607" s="51"/>
      <c r="AK607" s="51"/>
      <c r="AL607" s="51"/>
      <c r="AM607" s="51"/>
      <c r="AN607" s="51"/>
      <c r="AO607" s="51"/>
      <c r="AP607" s="51"/>
      <c r="AQ607" s="51"/>
      <c r="AR607" s="51"/>
      <c r="AS607" s="51"/>
      <c r="AT607" s="51"/>
      <c r="AU607" s="51"/>
      <c r="AV607" s="51"/>
      <c r="AW607" s="51"/>
      <c r="AX607" s="51"/>
      <c r="AY607" s="51"/>
      <c r="AZ607" s="51"/>
      <c r="BA607" s="51"/>
      <c r="BB607" s="51"/>
      <c r="BC607" s="51"/>
      <c r="BD607" s="51"/>
      <c r="BE607" s="51"/>
      <c r="BF607" s="51"/>
      <c r="BG607" s="51"/>
      <c r="BH607" s="51"/>
      <c r="BI607" s="51"/>
      <c r="BJ607" s="51"/>
      <c r="BK607" s="51"/>
      <c r="BL607" s="51"/>
      <c r="BM607" s="51"/>
      <c r="BN607" s="51"/>
      <c r="BO607" s="51"/>
      <c r="BP607" s="51"/>
      <c r="BQ607" s="51"/>
      <c r="BT607" s="53"/>
      <c r="BU607" s="25"/>
    </row>
    <row r="608" spans="1:73" ht="12.75" customHeight="1" x14ac:dyDescent="0.25">
      <c r="B608" s="144"/>
      <c r="C608" s="209" t="str">
        <f>HYPERLINK("https://sites.wustl.edu/meteoritesite/items/lm_nwa_17061/",Q608)</f>
        <v>Northwest Africa 17061</v>
      </c>
      <c r="D608" s="210"/>
      <c r="E608" s="210"/>
      <c r="F608" s="211"/>
      <c r="G608" s="89">
        <v>2023</v>
      </c>
      <c r="H608" s="214" t="s">
        <v>616</v>
      </c>
      <c r="I608" s="215"/>
      <c r="J608" s="145">
        <v>2900</v>
      </c>
      <c r="K608" s="212" t="s">
        <v>44</v>
      </c>
      <c r="L608" s="213"/>
      <c r="M608" s="32" t="s">
        <v>40</v>
      </c>
      <c r="N608" s="32" t="s">
        <v>40</v>
      </c>
      <c r="P608" s="125">
        <f t="shared" si="243"/>
        <v>2900</v>
      </c>
      <c r="Q608" s="54" t="s">
        <v>803</v>
      </c>
      <c r="R608" s="48"/>
      <c r="S608" s="49"/>
      <c r="T608" s="50">
        <f t="shared" si="244"/>
        <v>0</v>
      </c>
      <c r="V608" s="51">
        <v>2900</v>
      </c>
      <c r="W608" s="51"/>
      <c r="X608" s="51"/>
      <c r="Y608" s="51"/>
      <c r="Z608" s="51"/>
      <c r="AA608" s="51"/>
      <c r="AB608" s="51"/>
      <c r="AC608" s="51"/>
      <c r="AD608" s="51"/>
      <c r="AE608" s="51"/>
      <c r="AF608" s="51"/>
      <c r="AG608" s="51"/>
      <c r="AH608" s="51"/>
      <c r="AI608" s="51"/>
      <c r="AJ608" s="51"/>
      <c r="AK608" s="51"/>
      <c r="AL608" s="51"/>
      <c r="AM608" s="51"/>
      <c r="AN608" s="51"/>
      <c r="AO608" s="51"/>
      <c r="AP608" s="51"/>
      <c r="AQ608" s="51"/>
      <c r="AR608" s="51"/>
      <c r="AS608" s="51"/>
      <c r="AT608" s="51"/>
      <c r="AU608" s="51"/>
      <c r="AV608" s="51"/>
      <c r="AW608" s="51"/>
      <c r="AX608" s="51"/>
      <c r="AY608" s="51"/>
      <c r="AZ608" s="51"/>
      <c r="BA608" s="51"/>
      <c r="BB608" s="51"/>
      <c r="BC608" s="51"/>
      <c r="BD608" s="51"/>
      <c r="BE608" s="51"/>
      <c r="BF608" s="51"/>
      <c r="BG608" s="51"/>
      <c r="BH608" s="51"/>
      <c r="BI608" s="51"/>
      <c r="BJ608" s="51"/>
      <c r="BK608" s="51"/>
      <c r="BL608" s="51"/>
      <c r="BM608" s="51"/>
      <c r="BN608" s="51"/>
      <c r="BO608" s="51"/>
      <c r="BP608" s="51"/>
      <c r="BQ608" s="51"/>
      <c r="BT608" s="53"/>
      <c r="BU608" s="25"/>
    </row>
    <row r="609" spans="2:73" ht="12.75" customHeight="1" x14ac:dyDescent="0.25">
      <c r="B609" s="144"/>
      <c r="C609" s="209" t="str">
        <f>HYPERLINK("https://sites.wustl.edu/meteoritesite/items/lm_nwa_17209/",Q609)</f>
        <v>Northwest Africa 17209</v>
      </c>
      <c r="D609" s="210"/>
      <c r="E609" s="210"/>
      <c r="F609" s="211"/>
      <c r="G609" s="89">
        <v>2024</v>
      </c>
      <c r="H609" s="214" t="s">
        <v>616</v>
      </c>
      <c r="I609" s="215"/>
      <c r="J609" s="145">
        <v>1040</v>
      </c>
      <c r="K609" s="212" t="s">
        <v>39</v>
      </c>
      <c r="L609" s="213"/>
      <c r="M609" s="32" t="s">
        <v>40</v>
      </c>
      <c r="N609" s="32" t="s">
        <v>40</v>
      </c>
      <c r="P609" s="125">
        <f t="shared" si="243"/>
        <v>1040</v>
      </c>
      <c r="Q609" s="54" t="s">
        <v>804</v>
      </c>
      <c r="R609" s="48"/>
      <c r="S609" s="49"/>
      <c r="T609" s="50">
        <f t="shared" si="244"/>
        <v>0</v>
      </c>
      <c r="V609" s="51">
        <v>1040</v>
      </c>
      <c r="W609" s="51"/>
      <c r="X609" s="51"/>
      <c r="Y609" s="51"/>
      <c r="Z609" s="51"/>
      <c r="AA609" s="51"/>
      <c r="AB609" s="51"/>
      <c r="AC609" s="51"/>
      <c r="AD609" s="51"/>
      <c r="AE609" s="51"/>
      <c r="AF609" s="51"/>
      <c r="AG609" s="51"/>
      <c r="AH609" s="51"/>
      <c r="AI609" s="51"/>
      <c r="AJ609" s="51"/>
      <c r="AK609" s="51"/>
      <c r="AL609" s="51"/>
      <c r="AM609" s="51"/>
      <c r="AN609" s="51"/>
      <c r="AO609" s="51"/>
      <c r="AP609" s="51"/>
      <c r="AQ609" s="51"/>
      <c r="AR609" s="51"/>
      <c r="AS609" s="51"/>
      <c r="AT609" s="51"/>
      <c r="AU609" s="51"/>
      <c r="AV609" s="51"/>
      <c r="AW609" s="51"/>
      <c r="AX609" s="51"/>
      <c r="AY609" s="51"/>
      <c r="AZ609" s="51"/>
      <c r="BA609" s="51"/>
      <c r="BB609" s="51"/>
      <c r="BC609" s="51"/>
      <c r="BD609" s="51"/>
      <c r="BE609" s="51"/>
      <c r="BF609" s="51"/>
      <c r="BG609" s="51"/>
      <c r="BH609" s="51"/>
      <c r="BI609" s="51"/>
      <c r="BJ609" s="51"/>
      <c r="BK609" s="51"/>
      <c r="BL609" s="51"/>
      <c r="BM609" s="51"/>
      <c r="BN609" s="51"/>
      <c r="BO609" s="51"/>
      <c r="BP609" s="51"/>
      <c r="BQ609" s="51"/>
      <c r="BT609" s="53"/>
      <c r="BU609" s="25"/>
    </row>
    <row r="610" spans="2:73" ht="12.75" customHeight="1" x14ac:dyDescent="0.25">
      <c r="B610" s="144"/>
      <c r="C610" s="209" t="str">
        <f>HYPERLINK("https://sites.wustl.edu/meteoritesite/items/lm_nwa_17217/",Q610)</f>
        <v>Northwest Africa 17217</v>
      </c>
      <c r="D610" s="210"/>
      <c r="E610" s="210"/>
      <c r="F610" s="211"/>
      <c r="G610" s="89">
        <v>2023</v>
      </c>
      <c r="H610" s="214" t="s">
        <v>396</v>
      </c>
      <c r="I610" s="215"/>
      <c r="J610" s="145">
        <v>300</v>
      </c>
      <c r="K610" s="212" t="s">
        <v>39</v>
      </c>
      <c r="L610" s="213"/>
      <c r="M610" s="32" t="s">
        <v>40</v>
      </c>
      <c r="N610" s="32" t="s">
        <v>40</v>
      </c>
      <c r="P610" s="125">
        <f t="shared" si="243"/>
        <v>300</v>
      </c>
      <c r="Q610" s="54" t="s">
        <v>805</v>
      </c>
      <c r="R610" s="48"/>
      <c r="S610" s="49"/>
      <c r="T610" s="50">
        <f t="shared" si="244"/>
        <v>0</v>
      </c>
      <c r="V610" s="51">
        <v>300</v>
      </c>
      <c r="W610" s="51"/>
      <c r="X610" s="51"/>
      <c r="Y610" s="51"/>
      <c r="Z610" s="51"/>
      <c r="AA610" s="51"/>
      <c r="AB610" s="51"/>
      <c r="AC610" s="51"/>
      <c r="AD610" s="51"/>
      <c r="AE610" s="51"/>
      <c r="AF610" s="51"/>
      <c r="AG610" s="51"/>
      <c r="AH610" s="51"/>
      <c r="AI610" s="51"/>
      <c r="AJ610" s="51"/>
      <c r="AK610" s="51"/>
      <c r="AL610" s="51"/>
      <c r="AM610" s="51"/>
      <c r="AN610" s="51"/>
      <c r="AO610" s="51"/>
      <c r="AP610" s="51"/>
      <c r="AQ610" s="51"/>
      <c r="AR610" s="51"/>
      <c r="AS610" s="51"/>
      <c r="AT610" s="51"/>
      <c r="AU610" s="51"/>
      <c r="AV610" s="51"/>
      <c r="AW610" s="51"/>
      <c r="AX610" s="51"/>
      <c r="AY610" s="51"/>
      <c r="AZ610" s="51"/>
      <c r="BA610" s="51"/>
      <c r="BB610" s="51"/>
      <c r="BC610" s="51"/>
      <c r="BD610" s="51"/>
      <c r="BE610" s="51"/>
      <c r="BF610" s="51"/>
      <c r="BG610" s="51"/>
      <c r="BH610" s="51"/>
      <c r="BI610" s="51"/>
      <c r="BJ610" s="51"/>
      <c r="BK610" s="51"/>
      <c r="BL610" s="51"/>
      <c r="BM610" s="51"/>
      <c r="BN610" s="51"/>
      <c r="BO610" s="51"/>
      <c r="BP610" s="51"/>
      <c r="BQ610" s="51"/>
      <c r="BT610" s="53"/>
      <c r="BU610" s="25"/>
    </row>
    <row r="611" spans="2:73" ht="12.75" customHeight="1" x14ac:dyDescent="0.25">
      <c r="B611" s="144"/>
      <c r="C611" s="209" t="str">
        <f>HYPERLINK("https://sites.wustl.edu/meteoritesite/items/lm_nwa_17241/",Q611)</f>
        <v>Northwest Africa 17241</v>
      </c>
      <c r="D611" s="210"/>
      <c r="E611" s="210"/>
      <c r="F611" s="211"/>
      <c r="G611" s="89">
        <v>2024</v>
      </c>
      <c r="H611" s="214" t="s">
        <v>38</v>
      </c>
      <c r="I611" s="215"/>
      <c r="J611" s="145">
        <v>215</v>
      </c>
      <c r="K611" s="212" t="s">
        <v>66</v>
      </c>
      <c r="L611" s="213"/>
      <c r="M611" s="32" t="s">
        <v>40</v>
      </c>
      <c r="N611" s="32" t="s">
        <v>40</v>
      </c>
      <c r="P611" s="125">
        <f t="shared" ref="P611:P614" si="245">SUM(V611:BQ611)</f>
        <v>215</v>
      </c>
      <c r="Q611" s="54" t="s">
        <v>810</v>
      </c>
      <c r="R611" s="48"/>
      <c r="S611" s="49"/>
      <c r="T611" s="50">
        <f t="shared" ref="T611:T614" si="246">J611-P611</f>
        <v>0</v>
      </c>
      <c r="V611" s="51">
        <v>215</v>
      </c>
      <c r="W611" s="51"/>
      <c r="X611" s="51"/>
      <c r="Y611" s="51"/>
      <c r="Z611" s="51"/>
      <c r="AA611" s="51"/>
      <c r="AB611" s="51"/>
      <c r="AC611" s="51"/>
      <c r="AD611" s="51"/>
      <c r="AE611" s="51"/>
      <c r="AF611" s="51"/>
      <c r="AG611" s="51"/>
      <c r="AH611" s="51"/>
      <c r="AI611" s="51"/>
      <c r="AJ611" s="51"/>
      <c r="AK611" s="51"/>
      <c r="AL611" s="51"/>
      <c r="AM611" s="51"/>
      <c r="AN611" s="51"/>
      <c r="AO611" s="51"/>
      <c r="AP611" s="51"/>
      <c r="AQ611" s="51"/>
      <c r="AR611" s="51"/>
      <c r="AS611" s="51"/>
      <c r="AT611" s="51"/>
      <c r="AU611" s="51"/>
      <c r="AV611" s="51"/>
      <c r="AW611" s="51"/>
      <c r="AX611" s="51"/>
      <c r="AY611" s="51"/>
      <c r="AZ611" s="51"/>
      <c r="BA611" s="51"/>
      <c r="BB611" s="51"/>
      <c r="BC611" s="51"/>
      <c r="BD611" s="51"/>
      <c r="BE611" s="51"/>
      <c r="BF611" s="51"/>
      <c r="BG611" s="51"/>
      <c r="BH611" s="51"/>
      <c r="BI611" s="51"/>
      <c r="BJ611" s="51"/>
      <c r="BK611" s="51"/>
      <c r="BL611" s="51"/>
      <c r="BM611" s="51"/>
      <c r="BN611" s="51"/>
      <c r="BO611" s="51"/>
      <c r="BP611" s="51"/>
      <c r="BQ611" s="51"/>
      <c r="BT611" s="53"/>
      <c r="BU611" s="25"/>
    </row>
    <row r="612" spans="2:73" ht="12.75" customHeight="1" x14ac:dyDescent="0.25">
      <c r="B612" s="144"/>
      <c r="C612" s="209" t="str">
        <f>HYPERLINK("https://sites.wustl.edu/meteoritesite/items/lm_nwa_17270/",Q612)</f>
        <v>Northwest Africa 17270</v>
      </c>
      <c r="D612" s="210"/>
      <c r="E612" s="210"/>
      <c r="F612" s="211"/>
      <c r="G612" s="89">
        <v>2024</v>
      </c>
      <c r="H612" s="214" t="s">
        <v>616</v>
      </c>
      <c r="I612" s="215"/>
      <c r="J612" s="146">
        <v>39.6</v>
      </c>
      <c r="K612" s="212" t="s">
        <v>66</v>
      </c>
      <c r="L612" s="213"/>
      <c r="M612" s="32" t="s">
        <v>40</v>
      </c>
      <c r="N612" s="32" t="s">
        <v>40</v>
      </c>
      <c r="P612" s="125">
        <f t="shared" si="245"/>
        <v>39.6</v>
      </c>
      <c r="Q612" s="54" t="s">
        <v>827</v>
      </c>
      <c r="R612" s="48"/>
      <c r="S612" s="49"/>
      <c r="T612" s="50">
        <f t="shared" si="246"/>
        <v>0</v>
      </c>
      <c r="V612" s="51">
        <v>39.6</v>
      </c>
      <c r="W612" s="51"/>
      <c r="X612" s="51"/>
      <c r="Y612" s="51"/>
      <c r="Z612" s="51"/>
      <c r="AA612" s="51"/>
      <c r="AB612" s="51"/>
      <c r="AC612" s="51"/>
      <c r="AD612" s="51"/>
      <c r="AE612" s="51"/>
      <c r="AF612" s="51"/>
      <c r="AG612" s="51"/>
      <c r="AH612" s="51"/>
      <c r="AI612" s="51"/>
      <c r="AJ612" s="51"/>
      <c r="AK612" s="51"/>
      <c r="AL612" s="51"/>
      <c r="AM612" s="51"/>
      <c r="AN612" s="51"/>
      <c r="AO612" s="51"/>
      <c r="AP612" s="51"/>
      <c r="AQ612" s="51"/>
      <c r="AR612" s="51"/>
      <c r="AS612" s="51"/>
      <c r="AT612" s="51"/>
      <c r="AU612" s="51"/>
      <c r="AV612" s="51"/>
      <c r="AW612" s="51"/>
      <c r="AX612" s="51"/>
      <c r="AY612" s="51"/>
      <c r="AZ612" s="51"/>
      <c r="BA612" s="51"/>
      <c r="BB612" s="51"/>
      <c r="BC612" s="51"/>
      <c r="BD612" s="51"/>
      <c r="BE612" s="51"/>
      <c r="BF612" s="51"/>
      <c r="BG612" s="51"/>
      <c r="BH612" s="51"/>
      <c r="BI612" s="51"/>
      <c r="BJ612" s="51"/>
      <c r="BK612" s="51"/>
      <c r="BL612" s="51"/>
      <c r="BM612" s="51"/>
      <c r="BN612" s="51"/>
      <c r="BO612" s="51"/>
      <c r="BP612" s="51"/>
      <c r="BQ612" s="51"/>
      <c r="BT612" s="53"/>
      <c r="BU612" s="25"/>
    </row>
    <row r="613" spans="2:73" ht="12.75" customHeight="1" x14ac:dyDescent="0.25">
      <c r="B613" s="144"/>
      <c r="C613" s="209" t="str">
        <f>HYPERLINK("https://sites.wustl.edu/meteoritesite/items/lm_nwa_17271/",Q613)</f>
        <v>Northwest Africa 17271</v>
      </c>
      <c r="D613" s="210"/>
      <c r="E613" s="210"/>
      <c r="F613" s="211"/>
      <c r="G613" s="89">
        <v>2024</v>
      </c>
      <c r="H613" s="214" t="s">
        <v>396</v>
      </c>
      <c r="I613" s="215"/>
      <c r="J613" s="145">
        <v>103</v>
      </c>
      <c r="K613" s="212" t="s">
        <v>66</v>
      </c>
      <c r="L613" s="213"/>
      <c r="M613" s="32" t="s">
        <v>40</v>
      </c>
      <c r="N613" s="32" t="s">
        <v>40</v>
      </c>
      <c r="P613" s="125">
        <f t="shared" si="245"/>
        <v>103</v>
      </c>
      <c r="Q613" s="54" t="s">
        <v>828</v>
      </c>
      <c r="R613" s="48"/>
      <c r="S613" s="49"/>
      <c r="T613" s="50">
        <f t="shared" si="246"/>
        <v>0</v>
      </c>
      <c r="V613" s="51">
        <v>103</v>
      </c>
      <c r="W613" s="51"/>
      <c r="X613" s="51"/>
      <c r="Y613" s="51"/>
      <c r="Z613" s="51"/>
      <c r="AA613" s="51"/>
      <c r="AB613" s="51"/>
      <c r="AC613" s="51"/>
      <c r="AD613" s="51"/>
      <c r="AE613" s="51"/>
      <c r="AF613" s="51"/>
      <c r="AG613" s="51"/>
      <c r="AH613" s="51"/>
      <c r="AI613" s="51"/>
      <c r="AJ613" s="51"/>
      <c r="AK613" s="51"/>
      <c r="AL613" s="51"/>
      <c r="AM613" s="51"/>
      <c r="AN613" s="51"/>
      <c r="AO613" s="51"/>
      <c r="AP613" s="51"/>
      <c r="AQ613" s="51"/>
      <c r="AR613" s="51"/>
      <c r="AS613" s="51"/>
      <c r="AT613" s="51"/>
      <c r="AU613" s="51"/>
      <c r="AV613" s="51"/>
      <c r="AW613" s="51"/>
      <c r="AX613" s="51"/>
      <c r="AY613" s="51"/>
      <c r="AZ613" s="51"/>
      <c r="BA613" s="51"/>
      <c r="BB613" s="51"/>
      <c r="BC613" s="51"/>
      <c r="BD613" s="51"/>
      <c r="BE613" s="51"/>
      <c r="BF613" s="51"/>
      <c r="BG613" s="51"/>
      <c r="BH613" s="51"/>
      <c r="BI613" s="51"/>
      <c r="BJ613" s="51"/>
      <c r="BK613" s="51"/>
      <c r="BL613" s="51"/>
      <c r="BM613" s="51"/>
      <c r="BN613" s="51"/>
      <c r="BO613" s="51"/>
      <c r="BP613" s="51"/>
      <c r="BQ613" s="51"/>
      <c r="BT613" s="53"/>
      <c r="BU613" s="25"/>
    </row>
    <row r="614" spans="2:73" ht="12.75" customHeight="1" x14ac:dyDescent="0.25">
      <c r="B614" s="144"/>
      <c r="C614" s="209" t="str">
        <f>HYPERLINK("https://sites.wustl.edu/meteoritesite/items/lm_nwa_17276/",Q614)</f>
        <v>Northwest Africa 17276</v>
      </c>
      <c r="D614" s="210"/>
      <c r="E614" s="210"/>
      <c r="F614" s="211"/>
      <c r="G614" s="89">
        <v>2024</v>
      </c>
      <c r="H614" s="214" t="s">
        <v>616</v>
      </c>
      <c r="I614" s="215"/>
      <c r="J614" s="145">
        <v>420</v>
      </c>
      <c r="K614" s="212" t="s">
        <v>58</v>
      </c>
      <c r="L614" s="213"/>
      <c r="M614" s="32" t="s">
        <v>40</v>
      </c>
      <c r="N614" s="32" t="s">
        <v>40</v>
      </c>
      <c r="P614" s="125">
        <f t="shared" si="245"/>
        <v>420</v>
      </c>
      <c r="Q614" s="54" t="s">
        <v>829</v>
      </c>
      <c r="R614" s="48"/>
      <c r="S614" s="49"/>
      <c r="T614" s="50">
        <f t="shared" si="246"/>
        <v>0</v>
      </c>
      <c r="V614" s="51">
        <v>420</v>
      </c>
      <c r="W614" s="51"/>
      <c r="X614" s="51"/>
      <c r="Y614" s="51"/>
      <c r="Z614" s="51"/>
      <c r="AA614" s="51"/>
      <c r="AB614" s="51"/>
      <c r="AC614" s="51"/>
      <c r="AD614" s="51"/>
      <c r="AE614" s="51"/>
      <c r="AF614" s="51"/>
      <c r="AG614" s="51"/>
      <c r="AH614" s="51"/>
      <c r="AI614" s="51"/>
      <c r="AJ614" s="51"/>
      <c r="AK614" s="51"/>
      <c r="AL614" s="51"/>
      <c r="AM614" s="51"/>
      <c r="AN614" s="51"/>
      <c r="AO614" s="51"/>
      <c r="AP614" s="51"/>
      <c r="AQ614" s="51"/>
      <c r="AR614" s="51"/>
      <c r="AS614" s="51"/>
      <c r="AT614" s="51"/>
      <c r="AU614" s="51"/>
      <c r="AV614" s="51"/>
      <c r="AW614" s="51"/>
      <c r="AX614" s="51"/>
      <c r="AY614" s="51"/>
      <c r="AZ614" s="51"/>
      <c r="BA614" s="51"/>
      <c r="BB614" s="51"/>
      <c r="BC614" s="51"/>
      <c r="BD614" s="51"/>
      <c r="BE614" s="51"/>
      <c r="BF614" s="51"/>
      <c r="BG614" s="51"/>
      <c r="BH614" s="51"/>
      <c r="BI614" s="51"/>
      <c r="BJ614" s="51"/>
      <c r="BK614" s="51"/>
      <c r="BL614" s="51"/>
      <c r="BM614" s="51"/>
      <c r="BN614" s="51"/>
      <c r="BO614" s="51"/>
      <c r="BP614" s="51"/>
      <c r="BQ614" s="51"/>
      <c r="BT614" s="53"/>
      <c r="BU614" s="25"/>
    </row>
    <row r="615" spans="2:73" ht="12.75" customHeight="1" x14ac:dyDescent="0.25">
      <c r="B615" s="144"/>
      <c r="C615" s="209" t="str">
        <f>HYPERLINK("https://sites.wustl.edu/meteoritesite/items/lm_nwa_17294/",Q615)</f>
        <v>Northwest Africa 17294</v>
      </c>
      <c r="D615" s="210"/>
      <c r="E615" s="210"/>
      <c r="F615" s="211"/>
      <c r="G615" s="89">
        <v>2024</v>
      </c>
      <c r="H615" s="214" t="s">
        <v>762</v>
      </c>
      <c r="I615" s="215"/>
      <c r="J615" s="31">
        <v>14700</v>
      </c>
      <c r="K615" s="212" t="s">
        <v>39</v>
      </c>
      <c r="L615" s="213"/>
      <c r="M615" s="32" t="s">
        <v>40</v>
      </c>
      <c r="N615" s="32" t="s">
        <v>40</v>
      </c>
      <c r="P615" s="125">
        <f t="shared" ref="P615" si="247">SUM(V615:BQ615)</f>
        <v>14700</v>
      </c>
      <c r="Q615" s="54" t="s">
        <v>811</v>
      </c>
      <c r="R615" s="48"/>
      <c r="S615" s="49"/>
      <c r="T615" s="50">
        <f t="shared" ref="T615" si="248">J615-P615</f>
        <v>0</v>
      </c>
      <c r="V615" s="51">
        <v>14700</v>
      </c>
      <c r="W615" s="51"/>
      <c r="X615" s="51"/>
      <c r="Y615" s="51"/>
      <c r="Z615" s="51"/>
      <c r="AA615" s="51"/>
      <c r="AB615" s="51"/>
      <c r="AC615" s="51"/>
      <c r="AD615" s="51"/>
      <c r="AE615" s="51"/>
      <c r="AF615" s="51"/>
      <c r="AG615" s="51"/>
      <c r="AH615" s="51"/>
      <c r="AI615" s="51"/>
      <c r="AJ615" s="51"/>
      <c r="AK615" s="51"/>
      <c r="AL615" s="51"/>
      <c r="AM615" s="51"/>
      <c r="AN615" s="51"/>
      <c r="AO615" s="51"/>
      <c r="AP615" s="51"/>
      <c r="AQ615" s="51"/>
      <c r="AR615" s="51"/>
      <c r="AS615" s="51"/>
      <c r="AT615" s="51"/>
      <c r="AU615" s="51"/>
      <c r="AV615" s="51"/>
      <c r="AW615" s="51"/>
      <c r="AX615" s="51"/>
      <c r="AY615" s="51"/>
      <c r="AZ615" s="51"/>
      <c r="BA615" s="51"/>
      <c r="BB615" s="51"/>
      <c r="BC615" s="51"/>
      <c r="BD615" s="51"/>
      <c r="BE615" s="51"/>
      <c r="BF615" s="51"/>
      <c r="BG615" s="51"/>
      <c r="BH615" s="51"/>
      <c r="BI615" s="51"/>
      <c r="BJ615" s="51"/>
      <c r="BK615" s="51"/>
      <c r="BL615" s="51"/>
      <c r="BM615" s="51"/>
      <c r="BN615" s="51"/>
      <c r="BO615" s="51"/>
      <c r="BP615" s="51"/>
      <c r="BQ615" s="51"/>
      <c r="BT615" s="53"/>
      <c r="BU615" s="25"/>
    </row>
    <row r="616" spans="2:73" ht="12.75" customHeight="1" x14ac:dyDescent="0.25">
      <c r="B616" s="144"/>
      <c r="C616" s="209" t="str">
        <f>HYPERLINK("https://sites.wustl.edu/meteoritesite/items/lm_nwa_17295/",Q616)</f>
        <v>Northwest Africa 17295</v>
      </c>
      <c r="D616" s="210"/>
      <c r="E616" s="210"/>
      <c r="F616" s="211"/>
      <c r="G616" s="89">
        <v>2024</v>
      </c>
      <c r="H616" s="214" t="s">
        <v>616</v>
      </c>
      <c r="I616" s="215"/>
      <c r="J616" s="31">
        <v>11765</v>
      </c>
      <c r="K616" s="212" t="s">
        <v>39</v>
      </c>
      <c r="L616" s="213"/>
      <c r="M616" s="32" t="s">
        <v>40</v>
      </c>
      <c r="N616" s="32" t="s">
        <v>40</v>
      </c>
      <c r="P616" s="125">
        <f t="shared" ref="P616:P628" si="249">SUM(V616:BQ616)</f>
        <v>11765</v>
      </c>
      <c r="Q616" s="54" t="s">
        <v>813</v>
      </c>
      <c r="R616" s="48"/>
      <c r="S616" s="49"/>
      <c r="T616" s="50">
        <f t="shared" ref="T616:T645" si="250">J616-P616</f>
        <v>0</v>
      </c>
      <c r="V616" s="51">
        <v>11765</v>
      </c>
      <c r="W616" s="51"/>
      <c r="X616" s="51"/>
      <c r="Y616" s="51"/>
      <c r="Z616" s="51"/>
      <c r="AA616" s="51"/>
      <c r="AB616" s="51"/>
      <c r="AC616" s="51"/>
      <c r="AD616" s="51"/>
      <c r="AE616" s="51"/>
      <c r="AF616" s="51"/>
      <c r="AG616" s="51"/>
      <c r="AH616" s="51"/>
      <c r="AI616" s="51"/>
      <c r="AJ616" s="51"/>
      <c r="AK616" s="51"/>
      <c r="AL616" s="51"/>
      <c r="AM616" s="51"/>
      <c r="AN616" s="51"/>
      <c r="AO616" s="51"/>
      <c r="AP616" s="51"/>
      <c r="AQ616" s="51"/>
      <c r="AR616" s="51"/>
      <c r="AS616" s="51"/>
      <c r="AT616" s="51"/>
      <c r="AU616" s="51"/>
      <c r="AV616" s="51"/>
      <c r="AW616" s="51"/>
      <c r="AX616" s="51"/>
      <c r="AY616" s="51"/>
      <c r="AZ616" s="51"/>
      <c r="BA616" s="51"/>
      <c r="BB616" s="51"/>
      <c r="BC616" s="51"/>
      <c r="BD616" s="51"/>
      <c r="BE616" s="51"/>
      <c r="BF616" s="51"/>
      <c r="BG616" s="51"/>
      <c r="BH616" s="51"/>
      <c r="BI616" s="51"/>
      <c r="BJ616" s="51"/>
      <c r="BK616" s="51"/>
      <c r="BL616" s="51"/>
      <c r="BM616" s="51"/>
      <c r="BN616" s="51"/>
      <c r="BO616" s="51"/>
      <c r="BP616" s="51"/>
      <c r="BQ616" s="51"/>
      <c r="BT616" s="53"/>
      <c r="BU616" s="25"/>
    </row>
    <row r="617" spans="2:73" ht="12.75" customHeight="1" x14ac:dyDescent="0.25">
      <c r="B617" s="144"/>
      <c r="C617" s="209" t="str">
        <f>HYPERLINK("https://sites.wustl.edu/meteoritesite/items/lm_nwa_17302/",Q617)</f>
        <v>Northwest Africa 17302</v>
      </c>
      <c r="D617" s="210"/>
      <c r="E617" s="210"/>
      <c r="F617" s="211"/>
      <c r="G617" s="89">
        <v>2018</v>
      </c>
      <c r="H617" s="214" t="s">
        <v>616</v>
      </c>
      <c r="I617" s="215"/>
      <c r="J617" s="139">
        <v>150.44999999999999</v>
      </c>
      <c r="K617" s="212" t="s">
        <v>35</v>
      </c>
      <c r="L617" s="213"/>
      <c r="M617" s="32" t="s">
        <v>40</v>
      </c>
      <c r="N617" s="32" t="s">
        <v>40</v>
      </c>
      <c r="P617" s="125">
        <f t="shared" si="249"/>
        <v>150.44999999999999</v>
      </c>
      <c r="Q617" s="54" t="s">
        <v>865</v>
      </c>
      <c r="R617" s="48"/>
      <c r="S617" s="49"/>
      <c r="T617" s="50">
        <f t="shared" si="250"/>
        <v>0</v>
      </c>
      <c r="V617" s="51">
        <v>150.44999999999999</v>
      </c>
      <c r="W617" s="51"/>
      <c r="X617" s="51"/>
      <c r="Y617" s="51"/>
      <c r="Z617" s="51"/>
      <c r="AA617" s="51"/>
      <c r="AB617" s="51"/>
      <c r="AC617" s="51"/>
      <c r="AD617" s="51"/>
      <c r="AE617" s="51"/>
      <c r="AF617" s="51"/>
      <c r="AG617" s="51"/>
      <c r="AH617" s="51"/>
      <c r="AI617" s="51"/>
      <c r="AJ617" s="51"/>
      <c r="AK617" s="51"/>
      <c r="AL617" s="51"/>
      <c r="AM617" s="51"/>
      <c r="AN617" s="51"/>
      <c r="AO617" s="51"/>
      <c r="AP617" s="51"/>
      <c r="AQ617" s="51"/>
      <c r="AR617" s="51"/>
      <c r="AS617" s="51"/>
      <c r="AT617" s="51"/>
      <c r="AU617" s="51"/>
      <c r="AV617" s="51"/>
      <c r="AW617" s="51"/>
      <c r="AX617" s="51"/>
      <c r="AY617" s="51"/>
      <c r="AZ617" s="51"/>
      <c r="BA617" s="51"/>
      <c r="BB617" s="51"/>
      <c r="BC617" s="51"/>
      <c r="BD617" s="51"/>
      <c r="BE617" s="51"/>
      <c r="BF617" s="51"/>
      <c r="BG617" s="51"/>
      <c r="BH617" s="51"/>
      <c r="BI617" s="51"/>
      <c r="BJ617" s="51"/>
      <c r="BK617" s="51"/>
      <c r="BL617" s="51"/>
      <c r="BM617" s="51"/>
      <c r="BN617" s="51"/>
      <c r="BO617" s="51"/>
      <c r="BP617" s="51"/>
      <c r="BQ617" s="51"/>
      <c r="BT617" s="53"/>
      <c r="BU617" s="25"/>
    </row>
    <row r="618" spans="2:73" ht="12.75" customHeight="1" x14ac:dyDescent="0.25">
      <c r="B618" s="144"/>
      <c r="C618" s="209" t="str">
        <f>HYPERLINK("https://sites.wustl.edu/meteoritesite/items/lm_nwa_17313/",Q618)</f>
        <v>Northwest Africa 17313</v>
      </c>
      <c r="D618" s="210"/>
      <c r="E618" s="210"/>
      <c r="F618" s="211"/>
      <c r="G618" s="89">
        <v>2024</v>
      </c>
      <c r="H618" s="214" t="s">
        <v>616</v>
      </c>
      <c r="I618" s="215"/>
      <c r="J618" s="145">
        <v>1278</v>
      </c>
      <c r="K618" s="212" t="s">
        <v>51</v>
      </c>
      <c r="L618" s="213"/>
      <c r="M618" s="32" t="s">
        <v>40</v>
      </c>
      <c r="N618" s="32" t="s">
        <v>40</v>
      </c>
      <c r="P618" s="125">
        <f t="shared" si="249"/>
        <v>1278</v>
      </c>
      <c r="Q618" s="54" t="s">
        <v>866</v>
      </c>
      <c r="R618" s="48"/>
      <c r="S618" s="49"/>
      <c r="T618" s="50">
        <f t="shared" si="250"/>
        <v>0</v>
      </c>
      <c r="V618" s="51">
        <v>1278</v>
      </c>
      <c r="W618" s="51"/>
      <c r="X618" s="51"/>
      <c r="Y618" s="51"/>
      <c r="Z618" s="51"/>
      <c r="AA618" s="51"/>
      <c r="AB618" s="51"/>
      <c r="AC618" s="51"/>
      <c r="AD618" s="51"/>
      <c r="AE618" s="51"/>
      <c r="AF618" s="51"/>
      <c r="AG618" s="51"/>
      <c r="AH618" s="51"/>
      <c r="AI618" s="51"/>
      <c r="AJ618" s="51"/>
      <c r="AK618" s="51"/>
      <c r="AL618" s="51"/>
      <c r="AM618" s="51"/>
      <c r="AN618" s="51"/>
      <c r="AO618" s="51"/>
      <c r="AP618" s="51"/>
      <c r="AQ618" s="51"/>
      <c r="AR618" s="51"/>
      <c r="AS618" s="51"/>
      <c r="AT618" s="51"/>
      <c r="AU618" s="51"/>
      <c r="AV618" s="51"/>
      <c r="AW618" s="51"/>
      <c r="AX618" s="51"/>
      <c r="AY618" s="51"/>
      <c r="AZ618" s="51"/>
      <c r="BA618" s="51"/>
      <c r="BB618" s="51"/>
      <c r="BC618" s="51"/>
      <c r="BD618" s="51"/>
      <c r="BE618" s="51"/>
      <c r="BF618" s="51"/>
      <c r="BG618" s="51"/>
      <c r="BH618" s="51"/>
      <c r="BI618" s="51"/>
      <c r="BJ618" s="51"/>
      <c r="BK618" s="51"/>
      <c r="BL618" s="51"/>
      <c r="BM618" s="51"/>
      <c r="BN618" s="51"/>
      <c r="BO618" s="51"/>
      <c r="BP618" s="51"/>
      <c r="BQ618" s="51"/>
      <c r="BT618" s="53"/>
      <c r="BU618" s="25"/>
    </row>
    <row r="619" spans="2:73" ht="12.75" customHeight="1" x14ac:dyDescent="0.25">
      <c r="B619" s="144"/>
      <c r="C619" s="209" t="str">
        <f>HYPERLINK("https://sites.wustl.edu/meteoritesite/items/lm_nwa_17307/",Q619)</f>
        <v>Northwest Africa 17307</v>
      </c>
      <c r="D619" s="210"/>
      <c r="E619" s="210"/>
      <c r="F619" s="211"/>
      <c r="G619" s="89">
        <v>2024</v>
      </c>
      <c r="H619" s="214" t="s">
        <v>396</v>
      </c>
      <c r="I619" s="215"/>
      <c r="J619" s="145">
        <v>1911</v>
      </c>
      <c r="K619" s="212" t="s">
        <v>35</v>
      </c>
      <c r="L619" s="213"/>
      <c r="M619" s="32" t="s">
        <v>40</v>
      </c>
      <c r="N619" s="32" t="s">
        <v>40</v>
      </c>
      <c r="P619" s="125">
        <f t="shared" si="249"/>
        <v>1911</v>
      </c>
      <c r="Q619" s="54" t="s">
        <v>818</v>
      </c>
      <c r="R619" s="48"/>
      <c r="S619" s="49"/>
      <c r="T619" s="50">
        <f t="shared" si="250"/>
        <v>0</v>
      </c>
      <c r="V619" s="51">
        <v>1911</v>
      </c>
      <c r="W619" s="51"/>
      <c r="X619" s="51"/>
      <c r="Y619" s="51"/>
      <c r="Z619" s="51"/>
      <c r="AA619" s="51"/>
      <c r="AB619" s="51"/>
      <c r="AC619" s="51"/>
      <c r="AD619" s="51"/>
      <c r="AE619" s="51"/>
      <c r="AF619" s="51"/>
      <c r="AG619" s="51"/>
      <c r="AH619" s="51"/>
      <c r="AI619" s="51"/>
      <c r="AJ619" s="51"/>
      <c r="AK619" s="51"/>
      <c r="AL619" s="51"/>
      <c r="AM619" s="51"/>
      <c r="AN619" s="51"/>
      <c r="AO619" s="51"/>
      <c r="AP619" s="51"/>
      <c r="AQ619" s="51"/>
      <c r="AR619" s="51"/>
      <c r="AS619" s="51"/>
      <c r="AT619" s="51"/>
      <c r="AU619" s="51"/>
      <c r="AV619" s="51"/>
      <c r="AW619" s="51"/>
      <c r="AX619" s="51"/>
      <c r="AY619" s="51"/>
      <c r="AZ619" s="51"/>
      <c r="BA619" s="51"/>
      <c r="BB619" s="51"/>
      <c r="BC619" s="51"/>
      <c r="BD619" s="51"/>
      <c r="BE619" s="51"/>
      <c r="BF619" s="51"/>
      <c r="BG619" s="51"/>
      <c r="BH619" s="51"/>
      <c r="BI619" s="51"/>
      <c r="BJ619" s="51"/>
      <c r="BK619" s="51"/>
      <c r="BL619" s="51"/>
      <c r="BM619" s="51"/>
      <c r="BN619" s="51"/>
      <c r="BO619" s="51"/>
      <c r="BP619" s="51"/>
      <c r="BQ619" s="51"/>
      <c r="BT619" s="53"/>
      <c r="BU619" s="25"/>
    </row>
    <row r="620" spans="2:73" ht="12.75" customHeight="1" x14ac:dyDescent="0.25">
      <c r="B620" s="144"/>
      <c r="C620" s="209" t="str">
        <f>HYPERLINK("https://sites.wustl.edu/meteoritesite/items/lm_nwa_17351/",Q620)</f>
        <v>Northwest Africa 17351</v>
      </c>
      <c r="D620" s="210"/>
      <c r="E620" s="210"/>
      <c r="F620" s="211"/>
      <c r="G620" s="89">
        <v>2024</v>
      </c>
      <c r="H620" s="236" t="s">
        <v>34</v>
      </c>
      <c r="I620" s="237"/>
      <c r="J620" s="31">
        <v>6</v>
      </c>
      <c r="K620" s="212" t="s">
        <v>39</v>
      </c>
      <c r="L620" s="213"/>
      <c r="M620" s="32" t="s">
        <v>40</v>
      </c>
      <c r="N620" s="32" t="s">
        <v>40</v>
      </c>
      <c r="P620" s="125">
        <f t="shared" si="249"/>
        <v>6</v>
      </c>
      <c r="Q620" s="54" t="s">
        <v>814</v>
      </c>
      <c r="R620" s="48"/>
      <c r="S620" s="49"/>
      <c r="T620" s="50">
        <f t="shared" si="250"/>
        <v>0</v>
      </c>
      <c r="V620" s="51">
        <v>6</v>
      </c>
      <c r="W620" s="51"/>
      <c r="X620" s="51"/>
      <c r="Y620" s="51"/>
      <c r="Z620" s="51"/>
      <c r="AA620" s="51"/>
      <c r="AB620" s="51"/>
      <c r="AC620" s="51"/>
      <c r="AD620" s="51"/>
      <c r="AE620" s="51"/>
      <c r="AF620" s="51"/>
      <c r="AG620" s="51"/>
      <c r="AH620" s="51"/>
      <c r="AI620" s="51"/>
      <c r="AJ620" s="51"/>
      <c r="AK620" s="51"/>
      <c r="AL620" s="51"/>
      <c r="AM620" s="51"/>
      <c r="AN620" s="51"/>
      <c r="AO620" s="51"/>
      <c r="AP620" s="51"/>
      <c r="AQ620" s="51"/>
      <c r="AR620" s="51"/>
      <c r="AS620" s="51"/>
      <c r="AT620" s="51"/>
      <c r="AU620" s="51"/>
      <c r="AV620" s="51"/>
      <c r="AW620" s="51"/>
      <c r="AX620" s="51"/>
      <c r="AY620" s="51"/>
      <c r="AZ620" s="51"/>
      <c r="BA620" s="51"/>
      <c r="BB620" s="51"/>
      <c r="BC620" s="51"/>
      <c r="BD620" s="51"/>
      <c r="BE620" s="51"/>
      <c r="BF620" s="51"/>
      <c r="BG620" s="51"/>
      <c r="BH620" s="51"/>
      <c r="BI620" s="51"/>
      <c r="BJ620" s="51"/>
      <c r="BK620" s="51"/>
      <c r="BL620" s="51"/>
      <c r="BM620" s="51"/>
      <c r="BN620" s="51"/>
      <c r="BO620" s="51"/>
      <c r="BP620" s="51"/>
      <c r="BQ620" s="51"/>
      <c r="BT620" s="53"/>
      <c r="BU620" s="25"/>
    </row>
    <row r="621" spans="2:73" ht="12.75" customHeight="1" x14ac:dyDescent="0.25">
      <c r="B621" s="144"/>
      <c r="C621" s="209" t="str">
        <f>HYPERLINK("https://sites.wustl.edu/meteoritesite/items/lm_nwa_17355/",Q621)</f>
        <v>Northwest Africa 17355</v>
      </c>
      <c r="D621" s="210"/>
      <c r="E621" s="210"/>
      <c r="F621" s="211"/>
      <c r="G621" s="89">
        <v>2022</v>
      </c>
      <c r="H621" s="214" t="s">
        <v>396</v>
      </c>
      <c r="I621" s="215"/>
      <c r="J621" s="31">
        <v>20</v>
      </c>
      <c r="K621" s="212" t="s">
        <v>39</v>
      </c>
      <c r="L621" s="213"/>
      <c r="M621" s="32" t="s">
        <v>40</v>
      </c>
      <c r="N621" s="32" t="s">
        <v>40</v>
      </c>
      <c r="P621" s="125">
        <f t="shared" ref="P621" si="251">SUM(V621:BQ621)</f>
        <v>20</v>
      </c>
      <c r="Q621" s="54" t="s">
        <v>834</v>
      </c>
      <c r="R621" s="48"/>
      <c r="S621" s="49"/>
      <c r="T621" s="50">
        <f t="shared" si="250"/>
        <v>0</v>
      </c>
      <c r="V621" s="51">
        <v>20</v>
      </c>
      <c r="W621" s="51"/>
      <c r="X621" s="51"/>
      <c r="Y621" s="51"/>
      <c r="Z621" s="51"/>
      <c r="AA621" s="51"/>
      <c r="AB621" s="51"/>
      <c r="AC621" s="51"/>
      <c r="AD621" s="51"/>
      <c r="AE621" s="51"/>
      <c r="AF621" s="51"/>
      <c r="AG621" s="51"/>
      <c r="AH621" s="51"/>
      <c r="AI621" s="51"/>
      <c r="AJ621" s="51"/>
      <c r="AK621" s="51"/>
      <c r="AL621" s="51"/>
      <c r="AM621" s="51"/>
      <c r="AN621" s="51"/>
      <c r="AO621" s="51"/>
      <c r="AP621" s="51"/>
      <c r="AQ621" s="51"/>
      <c r="AR621" s="51"/>
      <c r="AS621" s="51"/>
      <c r="AT621" s="51"/>
      <c r="AU621" s="51"/>
      <c r="AV621" s="51"/>
      <c r="AW621" s="51"/>
      <c r="AX621" s="51"/>
      <c r="AY621" s="51"/>
      <c r="AZ621" s="51"/>
      <c r="BA621" s="51"/>
      <c r="BB621" s="51"/>
      <c r="BC621" s="51"/>
      <c r="BD621" s="51"/>
      <c r="BE621" s="51"/>
      <c r="BF621" s="51"/>
      <c r="BG621" s="51"/>
      <c r="BH621" s="51"/>
      <c r="BI621" s="51"/>
      <c r="BJ621" s="51"/>
      <c r="BK621" s="51"/>
      <c r="BL621" s="51"/>
      <c r="BM621" s="51"/>
      <c r="BN621" s="51"/>
      <c r="BO621" s="51"/>
      <c r="BP621" s="51"/>
      <c r="BQ621" s="51"/>
      <c r="BT621" s="53"/>
      <c r="BU621" s="25"/>
    </row>
    <row r="622" spans="2:73" ht="12.75" customHeight="1" x14ac:dyDescent="0.25">
      <c r="B622" s="144"/>
      <c r="C622" s="209" t="str">
        <f>HYPERLINK("https://sites.wustl.edu/meteoritesite/items/lm_nwa_17405/",Q622)</f>
        <v>Northwest Africa 17405</v>
      </c>
      <c r="D622" s="210"/>
      <c r="E622" s="210"/>
      <c r="F622" s="211"/>
      <c r="G622" s="89">
        <v>2024</v>
      </c>
      <c r="H622" s="214" t="s">
        <v>38</v>
      </c>
      <c r="I622" s="215"/>
      <c r="J622" s="31">
        <v>799</v>
      </c>
      <c r="K622" s="212" t="s">
        <v>66</v>
      </c>
      <c r="L622" s="213"/>
      <c r="M622" s="32" t="s">
        <v>40</v>
      </c>
      <c r="N622" s="32" t="s">
        <v>40</v>
      </c>
      <c r="P622" s="125">
        <f t="shared" ref="P622" si="252">SUM(V622:BQ622)</f>
        <v>799</v>
      </c>
      <c r="Q622" s="54" t="s">
        <v>831</v>
      </c>
      <c r="R622" s="48"/>
      <c r="S622" s="49"/>
      <c r="T622" s="50">
        <f t="shared" si="250"/>
        <v>0</v>
      </c>
      <c r="V622" s="51">
        <v>799</v>
      </c>
      <c r="W622" s="51"/>
      <c r="X622" s="51"/>
      <c r="Y622" s="51"/>
      <c r="Z622" s="51"/>
      <c r="AA622" s="51"/>
      <c r="AB622" s="51"/>
      <c r="AC622" s="51"/>
      <c r="AD622" s="51"/>
      <c r="AE622" s="51"/>
      <c r="AF622" s="51"/>
      <c r="AG622" s="51"/>
      <c r="AH622" s="51"/>
      <c r="AI622" s="51"/>
      <c r="AJ622" s="51"/>
      <c r="AK622" s="51"/>
      <c r="AL622" s="51"/>
      <c r="AM622" s="51"/>
      <c r="AN622" s="51"/>
      <c r="AO622" s="51"/>
      <c r="AP622" s="51"/>
      <c r="AQ622" s="51"/>
      <c r="AR622" s="51"/>
      <c r="AS622" s="51"/>
      <c r="AT622" s="51"/>
      <c r="AU622" s="51"/>
      <c r="AV622" s="51"/>
      <c r="AW622" s="51"/>
      <c r="AX622" s="51"/>
      <c r="AY622" s="51"/>
      <c r="AZ622" s="51"/>
      <c r="BA622" s="51"/>
      <c r="BB622" s="51"/>
      <c r="BC622" s="51"/>
      <c r="BD622" s="51"/>
      <c r="BE622" s="51"/>
      <c r="BF622" s="51"/>
      <c r="BG622" s="51"/>
      <c r="BH622" s="51"/>
      <c r="BI622" s="51"/>
      <c r="BJ622" s="51"/>
      <c r="BK622" s="51"/>
      <c r="BL622" s="51"/>
      <c r="BM622" s="51"/>
      <c r="BN622" s="51"/>
      <c r="BO622" s="51"/>
      <c r="BP622" s="51"/>
      <c r="BQ622" s="51"/>
      <c r="BT622" s="53"/>
      <c r="BU622" s="25"/>
    </row>
    <row r="623" spans="2:73" ht="12.75" customHeight="1" x14ac:dyDescent="0.25">
      <c r="B623" s="144"/>
      <c r="C623" s="209" t="str">
        <f>HYPERLINK("https://sites.wustl.edu/meteoritesite/items/lm_nwa_17353/",Q623)</f>
        <v>Northwest Africa 17352/ 17353/ 17502</v>
      </c>
      <c r="D623" s="210"/>
      <c r="E623" s="210"/>
      <c r="F623" s="211"/>
      <c r="G623" s="89">
        <v>2024</v>
      </c>
      <c r="H623" s="214" t="s">
        <v>38</v>
      </c>
      <c r="I623" s="215"/>
      <c r="J623" s="201">
        <v>15000</v>
      </c>
      <c r="K623" s="212" t="s">
        <v>39</v>
      </c>
      <c r="L623" s="213"/>
      <c r="M623" s="32" t="s">
        <v>40</v>
      </c>
      <c r="N623" s="32" t="s">
        <v>40</v>
      </c>
      <c r="P623" s="125">
        <f t="shared" si="249"/>
        <v>15000</v>
      </c>
      <c r="Q623" s="54" t="s">
        <v>823</v>
      </c>
      <c r="R623" s="48"/>
      <c r="S623" s="49"/>
      <c r="T623" s="50">
        <f t="shared" si="250"/>
        <v>0</v>
      </c>
      <c r="V623" s="51">
        <v>10000</v>
      </c>
      <c r="W623" s="51">
        <v>1700</v>
      </c>
      <c r="X623" s="51">
        <v>3300</v>
      </c>
      <c r="Y623" s="51"/>
      <c r="Z623" s="51"/>
      <c r="AA623" s="51"/>
      <c r="AB623" s="51"/>
      <c r="AC623" s="51"/>
      <c r="AD623" s="51"/>
      <c r="AE623" s="51"/>
      <c r="AF623" s="51"/>
      <c r="AG623" s="51"/>
      <c r="AH623" s="51"/>
      <c r="AI623" s="51"/>
      <c r="AJ623" s="51"/>
      <c r="AK623" s="51"/>
      <c r="AL623" s="51"/>
      <c r="AM623" s="51"/>
      <c r="AN623" s="51"/>
      <c r="AO623" s="51"/>
      <c r="AP623" s="51"/>
      <c r="AQ623" s="51"/>
      <c r="AR623" s="51"/>
      <c r="AS623" s="51"/>
      <c r="AT623" s="51"/>
      <c r="AU623" s="51"/>
      <c r="AV623" s="51"/>
      <c r="AW623" s="51"/>
      <c r="AX623" s="51"/>
      <c r="AY623" s="51"/>
      <c r="AZ623" s="51"/>
      <c r="BA623" s="51"/>
      <c r="BB623" s="51"/>
      <c r="BC623" s="51"/>
      <c r="BD623" s="51"/>
      <c r="BE623" s="51"/>
      <c r="BF623" s="51"/>
      <c r="BG623" s="51"/>
      <c r="BH623" s="51"/>
      <c r="BI623" s="51"/>
      <c r="BJ623" s="51"/>
      <c r="BK623" s="51"/>
      <c r="BL623" s="51"/>
      <c r="BM623" s="51"/>
      <c r="BN623" s="51"/>
      <c r="BO623" s="51"/>
      <c r="BP623" s="51"/>
      <c r="BQ623" s="51"/>
      <c r="BT623" s="53"/>
      <c r="BU623" s="25"/>
    </row>
    <row r="624" spans="2:73" ht="12.75" customHeight="1" x14ac:dyDescent="0.25">
      <c r="B624" s="144"/>
      <c r="C624" s="209" t="str">
        <f>HYPERLINK("https://sites.wustl.edu/meteoritesite/items/lm_nwa_17471/",Q624)</f>
        <v>Northwest Africa 17471</v>
      </c>
      <c r="D624" s="210"/>
      <c r="E624" s="210"/>
      <c r="F624" s="211"/>
      <c r="G624" s="89">
        <v>2024</v>
      </c>
      <c r="H624" s="214" t="s">
        <v>616</v>
      </c>
      <c r="I624" s="215"/>
      <c r="J624" s="32">
        <v>69.900000000000006</v>
      </c>
      <c r="K624" s="212" t="s">
        <v>39</v>
      </c>
      <c r="L624" s="213"/>
      <c r="M624" s="32" t="s">
        <v>40</v>
      </c>
      <c r="N624" s="32" t="s">
        <v>40</v>
      </c>
      <c r="P624" s="125">
        <f t="shared" si="249"/>
        <v>69.900000000000006</v>
      </c>
      <c r="Q624" s="54" t="s">
        <v>841</v>
      </c>
      <c r="R624" s="48"/>
      <c r="S624" s="49"/>
      <c r="T624" s="50">
        <f t="shared" si="250"/>
        <v>0</v>
      </c>
      <c r="V624" s="51">
        <v>69.900000000000006</v>
      </c>
      <c r="W624" s="51"/>
      <c r="X624" s="51"/>
      <c r="Y624" s="51"/>
      <c r="Z624" s="51"/>
      <c r="AA624" s="51"/>
      <c r="AB624" s="51"/>
      <c r="AC624" s="51"/>
      <c r="AD624" s="51"/>
      <c r="AE624" s="51"/>
      <c r="AF624" s="51"/>
      <c r="AG624" s="51"/>
      <c r="AH624" s="51"/>
      <c r="AI624" s="51"/>
      <c r="AJ624" s="51"/>
      <c r="AK624" s="51"/>
      <c r="AL624" s="51"/>
      <c r="AM624" s="51"/>
      <c r="AN624" s="51"/>
      <c r="AO624" s="51"/>
      <c r="AP624" s="51"/>
      <c r="AQ624" s="51"/>
      <c r="AR624" s="51"/>
      <c r="AS624" s="51"/>
      <c r="AT624" s="51"/>
      <c r="AU624" s="51"/>
      <c r="AV624" s="51"/>
      <c r="AW624" s="51"/>
      <c r="AX624" s="51"/>
      <c r="AY624" s="51"/>
      <c r="AZ624" s="51"/>
      <c r="BA624" s="51"/>
      <c r="BB624" s="51"/>
      <c r="BC624" s="51"/>
      <c r="BD624" s="51"/>
      <c r="BE624" s="51"/>
      <c r="BF624" s="51"/>
      <c r="BG624" s="51"/>
      <c r="BH624" s="51"/>
      <c r="BI624" s="51"/>
      <c r="BJ624" s="51"/>
      <c r="BK624" s="51"/>
      <c r="BL624" s="51"/>
      <c r="BM624" s="51"/>
      <c r="BN624" s="51"/>
      <c r="BO624" s="51"/>
      <c r="BP624" s="51"/>
      <c r="BQ624" s="51"/>
      <c r="BT624" s="53"/>
      <c r="BU624" s="25"/>
    </row>
    <row r="625" spans="2:73" ht="12.75" customHeight="1" x14ac:dyDescent="0.25">
      <c r="B625" s="144"/>
      <c r="C625" s="209" t="str">
        <f>HYPERLINK("https://sites.wustl.edu/meteoritesite/items/lm_nwa_17497/",Q625)</f>
        <v>Northwest Africa 17497</v>
      </c>
      <c r="D625" s="210"/>
      <c r="E625" s="210"/>
      <c r="F625" s="211"/>
      <c r="G625" s="89">
        <v>2024</v>
      </c>
      <c r="H625" s="214" t="s">
        <v>396</v>
      </c>
      <c r="I625" s="215"/>
      <c r="J625" s="33">
        <v>976</v>
      </c>
      <c r="K625" s="212" t="s">
        <v>44</v>
      </c>
      <c r="L625" s="213"/>
      <c r="M625" s="32" t="s">
        <v>40</v>
      </c>
      <c r="N625" s="32" t="s">
        <v>40</v>
      </c>
      <c r="P625" s="125">
        <f t="shared" si="249"/>
        <v>976</v>
      </c>
      <c r="Q625" s="54" t="s">
        <v>867</v>
      </c>
      <c r="R625" s="48"/>
      <c r="S625" s="49"/>
      <c r="T625" s="50">
        <f t="shared" si="250"/>
        <v>0</v>
      </c>
      <c r="V625" s="51">
        <v>976</v>
      </c>
      <c r="W625" s="51"/>
      <c r="X625" s="51"/>
      <c r="Y625" s="51"/>
      <c r="Z625" s="51"/>
      <c r="AA625" s="51"/>
      <c r="AB625" s="51"/>
      <c r="AC625" s="51"/>
      <c r="AD625" s="51"/>
      <c r="AE625" s="51"/>
      <c r="AF625" s="51"/>
      <c r="AG625" s="51"/>
      <c r="AH625" s="51"/>
      <c r="AI625" s="51"/>
      <c r="AJ625" s="51"/>
      <c r="AK625" s="51"/>
      <c r="AL625" s="51"/>
      <c r="AM625" s="51"/>
      <c r="AN625" s="51"/>
      <c r="AO625" s="51"/>
      <c r="AP625" s="51"/>
      <c r="AQ625" s="51"/>
      <c r="AR625" s="51"/>
      <c r="AS625" s="51"/>
      <c r="AT625" s="51"/>
      <c r="AU625" s="51"/>
      <c r="AV625" s="51"/>
      <c r="AW625" s="51"/>
      <c r="AX625" s="51"/>
      <c r="AY625" s="51"/>
      <c r="AZ625" s="51"/>
      <c r="BA625" s="51"/>
      <c r="BB625" s="51"/>
      <c r="BC625" s="51"/>
      <c r="BD625" s="51"/>
      <c r="BE625" s="51"/>
      <c r="BF625" s="51"/>
      <c r="BG625" s="51"/>
      <c r="BH625" s="51"/>
      <c r="BI625" s="51"/>
      <c r="BJ625" s="51"/>
      <c r="BK625" s="51"/>
      <c r="BL625" s="51"/>
      <c r="BM625" s="51"/>
      <c r="BN625" s="51"/>
      <c r="BO625" s="51"/>
      <c r="BP625" s="51"/>
      <c r="BQ625" s="51"/>
      <c r="BT625" s="53"/>
      <c r="BU625" s="25"/>
    </row>
    <row r="626" spans="2:73" ht="12.75" customHeight="1" x14ac:dyDescent="0.25">
      <c r="B626" s="144"/>
      <c r="C626" s="209" t="str">
        <f>HYPERLINK("https://sites.wustl.edu/meteoritesite/items/lm_nwa_17581/",Q626)</f>
        <v>Northwest Africa 17581</v>
      </c>
      <c r="D626" s="210"/>
      <c r="E626" s="210"/>
      <c r="F626" s="211"/>
      <c r="G626" s="89">
        <v>2024</v>
      </c>
      <c r="H626" s="214" t="s">
        <v>38</v>
      </c>
      <c r="I626" s="215"/>
      <c r="J626" s="31">
        <v>455</v>
      </c>
      <c r="K626" s="212" t="s">
        <v>66</v>
      </c>
      <c r="L626" s="213"/>
      <c r="M626" s="32" t="s">
        <v>40</v>
      </c>
      <c r="N626" s="32" t="s">
        <v>40</v>
      </c>
      <c r="P626" s="125">
        <f t="shared" si="249"/>
        <v>455</v>
      </c>
      <c r="Q626" s="54" t="s">
        <v>842</v>
      </c>
      <c r="R626" s="48"/>
      <c r="S626" s="49"/>
      <c r="T626" s="50">
        <f t="shared" si="250"/>
        <v>0</v>
      </c>
      <c r="V626" s="51">
        <v>455</v>
      </c>
      <c r="W626" s="51"/>
      <c r="X626" s="51"/>
      <c r="Y626" s="51"/>
      <c r="Z626" s="51"/>
      <c r="AA626" s="51"/>
      <c r="AB626" s="51"/>
      <c r="AC626" s="51"/>
      <c r="AD626" s="51"/>
      <c r="AE626" s="51"/>
      <c r="AF626" s="51"/>
      <c r="AG626" s="51"/>
      <c r="AH626" s="51"/>
      <c r="AI626" s="51"/>
      <c r="AJ626" s="51"/>
      <c r="AK626" s="51"/>
      <c r="AL626" s="51"/>
      <c r="AM626" s="51"/>
      <c r="AN626" s="51"/>
      <c r="AO626" s="51"/>
      <c r="AP626" s="51"/>
      <c r="AQ626" s="51"/>
      <c r="AR626" s="51"/>
      <c r="AS626" s="51"/>
      <c r="AT626" s="51"/>
      <c r="AU626" s="51"/>
      <c r="AV626" s="51"/>
      <c r="AW626" s="51"/>
      <c r="AX626" s="51"/>
      <c r="AY626" s="51"/>
      <c r="AZ626" s="51"/>
      <c r="BA626" s="51"/>
      <c r="BB626" s="51"/>
      <c r="BC626" s="51"/>
      <c r="BD626" s="51"/>
      <c r="BE626" s="51"/>
      <c r="BF626" s="51"/>
      <c r="BG626" s="51"/>
      <c r="BH626" s="51"/>
      <c r="BI626" s="51"/>
      <c r="BJ626" s="51"/>
      <c r="BK626" s="51"/>
      <c r="BL626" s="51"/>
      <c r="BM626" s="51"/>
      <c r="BN626" s="51"/>
      <c r="BO626" s="51"/>
      <c r="BP626" s="51"/>
      <c r="BQ626" s="51"/>
      <c r="BT626" s="53"/>
      <c r="BU626" s="25"/>
    </row>
    <row r="627" spans="2:73" ht="12.75" customHeight="1" x14ac:dyDescent="0.25">
      <c r="B627" s="144"/>
      <c r="C627" s="209" t="str">
        <f>HYPERLINK("https://sites.wustl.edu/meteoritesite/items/lm_nwa_17586/",Q627)</f>
        <v>Northwest Africa 17586</v>
      </c>
      <c r="D627" s="210"/>
      <c r="E627" s="210"/>
      <c r="F627" s="211"/>
      <c r="G627" s="89">
        <v>2024</v>
      </c>
      <c r="H627" s="214" t="s">
        <v>616</v>
      </c>
      <c r="I627" s="215"/>
      <c r="J627" s="31">
        <v>112</v>
      </c>
      <c r="K627" s="212" t="s">
        <v>39</v>
      </c>
      <c r="L627" s="213"/>
      <c r="M627" s="32" t="s">
        <v>40</v>
      </c>
      <c r="N627" s="32" t="s">
        <v>40</v>
      </c>
      <c r="P627" s="125">
        <f t="shared" si="249"/>
        <v>112</v>
      </c>
      <c r="Q627" s="54" t="s">
        <v>836</v>
      </c>
      <c r="R627" s="48"/>
      <c r="S627" s="49"/>
      <c r="T627" s="50">
        <f t="shared" si="250"/>
        <v>0</v>
      </c>
      <c r="V627" s="51">
        <v>112</v>
      </c>
      <c r="W627" s="51"/>
      <c r="X627" s="51"/>
      <c r="Y627" s="51"/>
      <c r="Z627" s="51"/>
      <c r="AA627" s="51"/>
      <c r="AB627" s="51"/>
      <c r="AC627" s="51"/>
      <c r="AD627" s="51"/>
      <c r="AE627" s="51"/>
      <c r="AF627" s="51"/>
      <c r="AG627" s="51"/>
      <c r="AH627" s="51"/>
      <c r="AI627" s="51"/>
      <c r="AJ627" s="51"/>
      <c r="AK627" s="51"/>
      <c r="AL627" s="51"/>
      <c r="AM627" s="51"/>
      <c r="AN627" s="51"/>
      <c r="AO627" s="51"/>
      <c r="AP627" s="51"/>
      <c r="AQ627" s="51"/>
      <c r="AR627" s="51"/>
      <c r="AS627" s="51"/>
      <c r="AT627" s="51"/>
      <c r="AU627" s="51"/>
      <c r="AV627" s="51"/>
      <c r="AW627" s="51"/>
      <c r="AX627" s="51"/>
      <c r="AY627" s="51"/>
      <c r="AZ627" s="51"/>
      <c r="BA627" s="51"/>
      <c r="BB627" s="51"/>
      <c r="BC627" s="51"/>
      <c r="BD627" s="51"/>
      <c r="BE627" s="51"/>
      <c r="BF627" s="51"/>
      <c r="BG627" s="51"/>
      <c r="BH627" s="51"/>
      <c r="BI627" s="51"/>
      <c r="BJ627" s="51"/>
      <c r="BK627" s="51"/>
      <c r="BL627" s="51"/>
      <c r="BM627" s="51"/>
      <c r="BN627" s="51"/>
      <c r="BO627" s="51"/>
      <c r="BP627" s="51"/>
      <c r="BQ627" s="51"/>
      <c r="BT627" s="53"/>
      <c r="BU627" s="25"/>
    </row>
    <row r="628" spans="2:73" ht="12.75" customHeight="1" x14ac:dyDescent="0.25">
      <c r="B628" s="144"/>
      <c r="C628" s="209" t="str">
        <f>HYPERLINK("https://sites.wustl.edu/meteoritesite/items/lm_nwa_17586/",Q628)</f>
        <v>Northwest Africa 17587</v>
      </c>
      <c r="D628" s="210"/>
      <c r="E628" s="210"/>
      <c r="F628" s="211"/>
      <c r="G628" s="89">
        <v>2024</v>
      </c>
      <c r="H628" s="214" t="s">
        <v>616</v>
      </c>
      <c r="I628" s="215"/>
      <c r="J628" s="31">
        <v>146</v>
      </c>
      <c r="K628" s="212" t="s">
        <v>39</v>
      </c>
      <c r="L628" s="213"/>
      <c r="M628" s="32" t="s">
        <v>40</v>
      </c>
      <c r="N628" s="32" t="s">
        <v>40</v>
      </c>
      <c r="P628" s="125">
        <f t="shared" si="249"/>
        <v>146</v>
      </c>
      <c r="Q628" s="54" t="s">
        <v>837</v>
      </c>
      <c r="R628" s="48"/>
      <c r="S628" s="49"/>
      <c r="T628" s="50">
        <f t="shared" si="250"/>
        <v>0</v>
      </c>
      <c r="V628" s="51">
        <v>146</v>
      </c>
      <c r="W628" s="51"/>
      <c r="X628" s="51"/>
      <c r="Y628" s="51"/>
      <c r="Z628" s="51"/>
      <c r="AA628" s="51"/>
      <c r="AB628" s="51"/>
      <c r="AC628" s="51"/>
      <c r="AD628" s="51"/>
      <c r="AE628" s="51"/>
      <c r="AF628" s="51"/>
      <c r="AG628" s="51"/>
      <c r="AH628" s="51"/>
      <c r="AI628" s="51"/>
      <c r="AJ628" s="51"/>
      <c r="AK628" s="51"/>
      <c r="AL628" s="51"/>
      <c r="AM628" s="51"/>
      <c r="AN628" s="51"/>
      <c r="AO628" s="51"/>
      <c r="AP628" s="51"/>
      <c r="AQ628" s="51"/>
      <c r="AR628" s="51"/>
      <c r="AS628" s="51"/>
      <c r="AT628" s="51"/>
      <c r="AU628" s="51"/>
      <c r="AV628" s="51"/>
      <c r="AW628" s="51"/>
      <c r="AX628" s="51"/>
      <c r="AY628" s="51"/>
      <c r="AZ628" s="51"/>
      <c r="BA628" s="51"/>
      <c r="BB628" s="51"/>
      <c r="BC628" s="51"/>
      <c r="BD628" s="51"/>
      <c r="BE628" s="51"/>
      <c r="BF628" s="51"/>
      <c r="BG628" s="51"/>
      <c r="BH628" s="51"/>
      <c r="BI628" s="51"/>
      <c r="BJ628" s="51"/>
      <c r="BK628" s="51"/>
      <c r="BL628" s="51"/>
      <c r="BM628" s="51"/>
      <c r="BN628" s="51"/>
      <c r="BO628" s="51"/>
      <c r="BP628" s="51"/>
      <c r="BQ628" s="51"/>
      <c r="BT628" s="53"/>
      <c r="BU628" s="25"/>
    </row>
    <row r="629" spans="2:73" ht="12.75" customHeight="1" x14ac:dyDescent="0.25">
      <c r="B629" s="144"/>
      <c r="C629" s="209" t="str">
        <f>HYPERLINK("https://sites.wustl.edu/meteoritesite/items/lm_nwa_17651/",Q629)</f>
        <v>Northwest Africa 17651</v>
      </c>
      <c r="D629" s="210"/>
      <c r="E629" s="210"/>
      <c r="F629" s="211"/>
      <c r="G629" s="89">
        <v>2024</v>
      </c>
      <c r="H629" s="214" t="s">
        <v>616</v>
      </c>
      <c r="I629" s="215"/>
      <c r="J629" s="32">
        <v>45.7</v>
      </c>
      <c r="K629" s="212" t="s">
        <v>39</v>
      </c>
      <c r="L629" s="213"/>
      <c r="M629" s="32" t="s">
        <v>40</v>
      </c>
      <c r="N629" s="32" t="s">
        <v>40</v>
      </c>
      <c r="P629" s="125">
        <f t="shared" ref="P629" si="253">SUM(V629:BQ629)</f>
        <v>45.7</v>
      </c>
      <c r="Q629" s="54" t="s">
        <v>872</v>
      </c>
      <c r="R629" s="48"/>
      <c r="S629" s="49"/>
      <c r="T629" s="50">
        <f t="shared" ref="T629" si="254">J629-P629</f>
        <v>0</v>
      </c>
      <c r="V629" s="51">
        <v>45.7</v>
      </c>
      <c r="W629" s="51"/>
      <c r="X629" s="51"/>
      <c r="Y629" s="51"/>
      <c r="Z629" s="51"/>
      <c r="AA629" s="51"/>
      <c r="AB629" s="51"/>
      <c r="AC629" s="51"/>
      <c r="AD629" s="51"/>
      <c r="AE629" s="51"/>
      <c r="AF629" s="51"/>
      <c r="AG629" s="51"/>
      <c r="AH629" s="51"/>
      <c r="AI629" s="51"/>
      <c r="AJ629" s="51"/>
      <c r="AK629" s="51"/>
      <c r="AL629" s="51"/>
      <c r="AM629" s="51"/>
      <c r="AN629" s="51"/>
      <c r="AO629" s="51"/>
      <c r="AP629" s="51"/>
      <c r="AQ629" s="51"/>
      <c r="AR629" s="51"/>
      <c r="AS629" s="51"/>
      <c r="AT629" s="51"/>
      <c r="AU629" s="51"/>
      <c r="AV629" s="51"/>
      <c r="AW629" s="51"/>
      <c r="AX629" s="51"/>
      <c r="AY629" s="51"/>
      <c r="AZ629" s="51"/>
      <c r="BA629" s="51"/>
      <c r="BB629" s="51"/>
      <c r="BC629" s="51"/>
      <c r="BD629" s="51"/>
      <c r="BE629" s="51"/>
      <c r="BF629" s="51"/>
      <c r="BG629" s="51"/>
      <c r="BH629" s="51"/>
      <c r="BI629" s="51"/>
      <c r="BJ629" s="51"/>
      <c r="BK629" s="51"/>
      <c r="BL629" s="51"/>
      <c r="BM629" s="51"/>
      <c r="BN629" s="51"/>
      <c r="BO629" s="51"/>
      <c r="BP629" s="51"/>
      <c r="BQ629" s="51"/>
      <c r="BT629" s="53"/>
      <c r="BU629" s="25"/>
    </row>
    <row r="630" spans="2:73" ht="12.75" customHeight="1" x14ac:dyDescent="0.25">
      <c r="B630" s="144"/>
      <c r="C630" s="209" t="str">
        <f>HYPERLINK("https://sites.wustl.edu/meteoritesite/items/lm_nwa_17679/",Q630)</f>
        <v>Northwest Africa 17679</v>
      </c>
      <c r="D630" s="210"/>
      <c r="E630" s="210"/>
      <c r="F630" s="211"/>
      <c r="G630" s="89">
        <v>2025</v>
      </c>
      <c r="H630" s="214" t="s">
        <v>38</v>
      </c>
      <c r="I630" s="215"/>
      <c r="J630" s="145">
        <v>1040</v>
      </c>
      <c r="K630" s="212" t="s">
        <v>39</v>
      </c>
      <c r="L630" s="213"/>
      <c r="M630" s="32" t="s">
        <v>40</v>
      </c>
      <c r="N630" s="32" t="s">
        <v>40</v>
      </c>
      <c r="P630" s="125">
        <f t="shared" ref="P630:P636" si="255">SUM(V630:BQ630)</f>
        <v>1040</v>
      </c>
      <c r="Q630" s="54" t="s">
        <v>846</v>
      </c>
      <c r="R630" s="48"/>
      <c r="S630" s="49"/>
      <c r="T630" s="50">
        <f t="shared" ref="T630:T636" si="256">J630-P630</f>
        <v>0</v>
      </c>
      <c r="V630" s="51">
        <v>1040</v>
      </c>
      <c r="W630" s="51"/>
      <c r="X630" s="51"/>
      <c r="Y630" s="51"/>
      <c r="Z630" s="51"/>
      <c r="AA630" s="51"/>
      <c r="AB630" s="51"/>
      <c r="AC630" s="51"/>
      <c r="AD630" s="51"/>
      <c r="AE630" s="51"/>
      <c r="AF630" s="51"/>
      <c r="AG630" s="51"/>
      <c r="AH630" s="51"/>
      <c r="AI630" s="51"/>
      <c r="AJ630" s="51"/>
      <c r="AK630" s="51"/>
      <c r="AL630" s="51"/>
      <c r="AM630" s="51"/>
      <c r="AN630" s="51"/>
      <c r="AO630" s="51"/>
      <c r="AP630" s="51"/>
      <c r="AQ630" s="51"/>
      <c r="AR630" s="51"/>
      <c r="AS630" s="51"/>
      <c r="AT630" s="51"/>
      <c r="AU630" s="51"/>
      <c r="AV630" s="51"/>
      <c r="AW630" s="51"/>
      <c r="AX630" s="51"/>
      <c r="AY630" s="51"/>
      <c r="AZ630" s="51"/>
      <c r="BA630" s="51"/>
      <c r="BB630" s="51"/>
      <c r="BC630" s="51"/>
      <c r="BD630" s="51"/>
      <c r="BE630" s="51"/>
      <c r="BF630" s="51"/>
      <c r="BG630" s="51"/>
      <c r="BH630" s="51"/>
      <c r="BI630" s="51"/>
      <c r="BJ630" s="51"/>
      <c r="BK630" s="51"/>
      <c r="BL630" s="51"/>
      <c r="BM630" s="51"/>
      <c r="BN630" s="51"/>
      <c r="BO630" s="51"/>
      <c r="BP630" s="51"/>
      <c r="BQ630" s="51"/>
      <c r="BT630" s="53"/>
      <c r="BU630" s="25"/>
    </row>
    <row r="631" spans="2:73" ht="12.75" customHeight="1" x14ac:dyDescent="0.25">
      <c r="B631" s="144"/>
      <c r="C631" s="209" t="str">
        <f>HYPERLINK("https://sites.wustl.edu/meteoritesite/items/lm_nwa_17680/",Q631)</f>
        <v>Northwest Africa 17680</v>
      </c>
      <c r="D631" s="210"/>
      <c r="E631" s="210"/>
      <c r="F631" s="211"/>
      <c r="G631" s="89">
        <v>2025</v>
      </c>
      <c r="H631" s="214" t="s">
        <v>616</v>
      </c>
      <c r="I631" s="215"/>
      <c r="J631" s="31">
        <v>580</v>
      </c>
      <c r="K631" s="212" t="s">
        <v>39</v>
      </c>
      <c r="L631" s="213"/>
      <c r="M631" s="32" t="s">
        <v>40</v>
      </c>
      <c r="N631" s="32" t="s">
        <v>40</v>
      </c>
      <c r="P631" s="125">
        <f t="shared" si="255"/>
        <v>580</v>
      </c>
      <c r="Q631" s="54" t="s">
        <v>873</v>
      </c>
      <c r="R631" s="48"/>
      <c r="S631" s="49"/>
      <c r="T631" s="50">
        <f t="shared" si="256"/>
        <v>0</v>
      </c>
      <c r="V631" s="51">
        <v>580</v>
      </c>
      <c r="W631" s="51"/>
      <c r="X631" s="51"/>
      <c r="Y631" s="51"/>
      <c r="Z631" s="51"/>
      <c r="AA631" s="51"/>
      <c r="AB631" s="51"/>
      <c r="AC631" s="51"/>
      <c r="AD631" s="51"/>
      <c r="AE631" s="51"/>
      <c r="AF631" s="51"/>
      <c r="AG631" s="51"/>
      <c r="AH631" s="51"/>
      <c r="AI631" s="51"/>
      <c r="AJ631" s="51"/>
      <c r="AK631" s="51"/>
      <c r="AL631" s="51"/>
      <c r="AM631" s="51"/>
      <c r="AN631" s="51"/>
      <c r="AO631" s="51"/>
      <c r="AP631" s="51"/>
      <c r="AQ631" s="51"/>
      <c r="AR631" s="51"/>
      <c r="AS631" s="51"/>
      <c r="AT631" s="51"/>
      <c r="AU631" s="51"/>
      <c r="AV631" s="51"/>
      <c r="AW631" s="51"/>
      <c r="AX631" s="51"/>
      <c r="AY631" s="51"/>
      <c r="AZ631" s="51"/>
      <c r="BA631" s="51"/>
      <c r="BB631" s="51"/>
      <c r="BC631" s="51"/>
      <c r="BD631" s="51"/>
      <c r="BE631" s="51"/>
      <c r="BF631" s="51"/>
      <c r="BG631" s="51"/>
      <c r="BH631" s="51"/>
      <c r="BI631" s="51"/>
      <c r="BJ631" s="51"/>
      <c r="BK631" s="51"/>
      <c r="BL631" s="51"/>
      <c r="BM631" s="51"/>
      <c r="BN631" s="51"/>
      <c r="BO631" s="51"/>
      <c r="BP631" s="51"/>
      <c r="BQ631" s="51"/>
      <c r="BT631" s="53"/>
      <c r="BU631" s="25"/>
    </row>
    <row r="632" spans="2:73" ht="12.75" customHeight="1" x14ac:dyDescent="0.25">
      <c r="B632" s="144"/>
      <c r="C632" s="209" t="str">
        <f>HYPERLINK("https://sites.wustl.edu/meteoritesite/items/lm_nwa_17687/",Q632)</f>
        <v>Northwest Africa 17687</v>
      </c>
      <c r="D632" s="210"/>
      <c r="E632" s="210"/>
      <c r="F632" s="211"/>
      <c r="G632" s="89">
        <v>2024</v>
      </c>
      <c r="H632" s="214" t="s">
        <v>41</v>
      </c>
      <c r="I632" s="215"/>
      <c r="J632" s="145">
        <v>1700</v>
      </c>
      <c r="K632" s="212" t="s">
        <v>66</v>
      </c>
      <c r="L632" s="213"/>
      <c r="M632" s="32" t="s">
        <v>536</v>
      </c>
      <c r="N632" s="32" t="s">
        <v>40</v>
      </c>
      <c r="P632" s="125">
        <f t="shared" si="255"/>
        <v>1700</v>
      </c>
      <c r="Q632" s="54" t="s">
        <v>862</v>
      </c>
      <c r="R632" s="48"/>
      <c r="S632" s="49"/>
      <c r="T632" s="50">
        <f t="shared" si="256"/>
        <v>0</v>
      </c>
      <c r="V632" s="51">
        <v>1700</v>
      </c>
      <c r="W632" s="51"/>
      <c r="X632" s="51"/>
      <c r="Y632" s="51"/>
      <c r="Z632" s="51"/>
      <c r="AA632" s="51"/>
      <c r="AB632" s="51"/>
      <c r="AC632" s="51"/>
      <c r="AD632" s="51"/>
      <c r="AE632" s="51"/>
      <c r="AF632" s="51"/>
      <c r="AG632" s="51"/>
      <c r="AH632" s="51"/>
      <c r="AI632" s="51"/>
      <c r="AJ632" s="51"/>
      <c r="AK632" s="51"/>
      <c r="AL632" s="51"/>
      <c r="AM632" s="51"/>
      <c r="AN632" s="51"/>
      <c r="AO632" s="51"/>
      <c r="AP632" s="51"/>
      <c r="AQ632" s="51"/>
      <c r="AR632" s="51"/>
      <c r="AS632" s="51"/>
      <c r="AT632" s="51"/>
      <c r="AU632" s="51"/>
      <c r="AV632" s="51"/>
      <c r="AW632" s="51"/>
      <c r="AX632" s="51"/>
      <c r="AY632" s="51"/>
      <c r="AZ632" s="51"/>
      <c r="BA632" s="51"/>
      <c r="BB632" s="51"/>
      <c r="BC632" s="51"/>
      <c r="BD632" s="51"/>
      <c r="BE632" s="51"/>
      <c r="BF632" s="51"/>
      <c r="BG632" s="51"/>
      <c r="BH632" s="51"/>
      <c r="BI632" s="51"/>
      <c r="BJ632" s="51"/>
      <c r="BK632" s="51"/>
      <c r="BL632" s="51"/>
      <c r="BM632" s="51"/>
      <c r="BN632" s="51"/>
      <c r="BO632" s="51"/>
      <c r="BP632" s="51"/>
      <c r="BQ632" s="51"/>
      <c r="BT632" s="53"/>
      <c r="BU632" s="25"/>
    </row>
    <row r="633" spans="2:73" ht="12.75" customHeight="1" x14ac:dyDescent="0.25">
      <c r="B633" s="144"/>
      <c r="C633" s="209" t="str">
        <f>HYPERLINK("https://sites.wustl.edu/meteoritesite/items/lm_nwa_17688/",Q633)</f>
        <v>Northwest Africa 17688</v>
      </c>
      <c r="D633" s="210"/>
      <c r="E633" s="210"/>
      <c r="F633" s="211"/>
      <c r="G633" s="89">
        <v>2024</v>
      </c>
      <c r="H633" s="214" t="s">
        <v>616</v>
      </c>
      <c r="I633" s="215"/>
      <c r="J633" s="145">
        <v>1200</v>
      </c>
      <c r="K633" s="212" t="s">
        <v>66</v>
      </c>
      <c r="L633" s="213"/>
      <c r="M633" s="32" t="s">
        <v>40</v>
      </c>
      <c r="N633" s="32" t="s">
        <v>40</v>
      </c>
      <c r="P633" s="125">
        <f t="shared" si="255"/>
        <v>1200</v>
      </c>
      <c r="Q633" s="54" t="s">
        <v>863</v>
      </c>
      <c r="R633" s="48"/>
      <c r="S633" s="49"/>
      <c r="T633" s="50">
        <f t="shared" si="256"/>
        <v>0</v>
      </c>
      <c r="V633" s="51">
        <v>1200</v>
      </c>
      <c r="W633" s="51"/>
      <c r="X633" s="51"/>
      <c r="Y633" s="51"/>
      <c r="Z633" s="51"/>
      <c r="AA633" s="51"/>
      <c r="AB633" s="51"/>
      <c r="AC633" s="51"/>
      <c r="AD633" s="51"/>
      <c r="AE633" s="51"/>
      <c r="AF633" s="51"/>
      <c r="AG633" s="51"/>
      <c r="AH633" s="51"/>
      <c r="AI633" s="51"/>
      <c r="AJ633" s="51"/>
      <c r="AK633" s="51"/>
      <c r="AL633" s="51"/>
      <c r="AM633" s="51"/>
      <c r="AN633" s="51"/>
      <c r="AO633" s="51"/>
      <c r="AP633" s="51"/>
      <c r="AQ633" s="51"/>
      <c r="AR633" s="51"/>
      <c r="AS633" s="51"/>
      <c r="AT633" s="51"/>
      <c r="AU633" s="51"/>
      <c r="AV633" s="51"/>
      <c r="AW633" s="51"/>
      <c r="AX633" s="51"/>
      <c r="AY633" s="51"/>
      <c r="AZ633" s="51"/>
      <c r="BA633" s="51"/>
      <c r="BB633" s="51"/>
      <c r="BC633" s="51"/>
      <c r="BD633" s="51"/>
      <c r="BE633" s="51"/>
      <c r="BF633" s="51"/>
      <c r="BG633" s="51"/>
      <c r="BH633" s="51"/>
      <c r="BI633" s="51"/>
      <c r="BJ633" s="51"/>
      <c r="BK633" s="51"/>
      <c r="BL633" s="51"/>
      <c r="BM633" s="51"/>
      <c r="BN633" s="51"/>
      <c r="BO633" s="51"/>
      <c r="BP633" s="51"/>
      <c r="BQ633" s="51"/>
      <c r="BT633" s="53"/>
      <c r="BU633" s="25"/>
    </row>
    <row r="634" spans="2:73" ht="12.75" customHeight="1" x14ac:dyDescent="0.25">
      <c r="B634" s="144"/>
      <c r="C634" s="209" t="str">
        <f>HYPERLINK("https://sites.wustl.edu/meteoritesite/items/lm_nwa_17689/",Q634)</f>
        <v>Northwest Africa 17689</v>
      </c>
      <c r="D634" s="210"/>
      <c r="E634" s="210"/>
      <c r="F634" s="211"/>
      <c r="G634" s="89">
        <v>2024</v>
      </c>
      <c r="H634" s="214" t="s">
        <v>41</v>
      </c>
      <c r="I634" s="215"/>
      <c r="J634" s="145">
        <v>1300</v>
      </c>
      <c r="K634" s="212" t="s">
        <v>66</v>
      </c>
      <c r="L634" s="213"/>
      <c r="M634" s="32" t="s">
        <v>40</v>
      </c>
      <c r="N634" s="32" t="s">
        <v>40</v>
      </c>
      <c r="P634" s="125">
        <f t="shared" si="255"/>
        <v>1300</v>
      </c>
      <c r="Q634" s="54" t="s">
        <v>864</v>
      </c>
      <c r="R634" s="48"/>
      <c r="S634" s="49"/>
      <c r="T634" s="50">
        <f t="shared" si="256"/>
        <v>0</v>
      </c>
      <c r="V634" s="51">
        <v>1300</v>
      </c>
      <c r="W634" s="51"/>
      <c r="X634" s="51"/>
      <c r="Y634" s="51"/>
      <c r="Z634" s="51"/>
      <c r="AA634" s="51"/>
      <c r="AB634" s="51"/>
      <c r="AC634" s="51"/>
      <c r="AD634" s="51"/>
      <c r="AE634" s="51"/>
      <c r="AF634" s="51"/>
      <c r="AG634" s="51"/>
      <c r="AH634" s="51"/>
      <c r="AI634" s="51"/>
      <c r="AJ634" s="51"/>
      <c r="AK634" s="51"/>
      <c r="AL634" s="51"/>
      <c r="AM634" s="51"/>
      <c r="AN634" s="51"/>
      <c r="AO634" s="51"/>
      <c r="AP634" s="51"/>
      <c r="AQ634" s="51"/>
      <c r="AR634" s="51"/>
      <c r="AS634" s="51"/>
      <c r="AT634" s="51"/>
      <c r="AU634" s="51"/>
      <c r="AV634" s="51"/>
      <c r="AW634" s="51"/>
      <c r="AX634" s="51"/>
      <c r="AY634" s="51"/>
      <c r="AZ634" s="51"/>
      <c r="BA634" s="51"/>
      <c r="BB634" s="51"/>
      <c r="BC634" s="51"/>
      <c r="BD634" s="51"/>
      <c r="BE634" s="51"/>
      <c r="BF634" s="51"/>
      <c r="BG634" s="51"/>
      <c r="BH634" s="51"/>
      <c r="BI634" s="51"/>
      <c r="BJ634" s="51"/>
      <c r="BK634" s="51"/>
      <c r="BL634" s="51"/>
      <c r="BM634" s="51"/>
      <c r="BN634" s="51"/>
      <c r="BO634" s="51"/>
      <c r="BP634" s="51"/>
      <c r="BQ634" s="51"/>
      <c r="BT634" s="53"/>
      <c r="BU634" s="25"/>
    </row>
    <row r="635" spans="2:73" ht="12.75" customHeight="1" x14ac:dyDescent="0.25">
      <c r="B635" s="144"/>
      <c r="C635" s="209" t="str">
        <f>HYPERLINK("https://sites.wustl.edu/meteoritesite/items/lm_nwa_17700/",Q635)</f>
        <v>Northwest Africa 17700</v>
      </c>
      <c r="D635" s="210"/>
      <c r="E635" s="210"/>
      <c r="F635" s="211"/>
      <c r="G635" s="89">
        <v>2025</v>
      </c>
      <c r="H635" s="214" t="s">
        <v>616</v>
      </c>
      <c r="I635" s="215"/>
      <c r="J635" s="145">
        <v>2116</v>
      </c>
      <c r="K635" s="212" t="s">
        <v>39</v>
      </c>
      <c r="L635" s="213"/>
      <c r="M635" s="32" t="s">
        <v>40</v>
      </c>
      <c r="N635" s="32" t="s">
        <v>40</v>
      </c>
      <c r="P635" s="125">
        <f t="shared" si="255"/>
        <v>2116</v>
      </c>
      <c r="Q635" s="54" t="s">
        <v>874</v>
      </c>
      <c r="R635" s="48"/>
      <c r="S635" s="49"/>
      <c r="T635" s="50">
        <f t="shared" si="256"/>
        <v>0</v>
      </c>
      <c r="V635" s="51">
        <v>2116</v>
      </c>
      <c r="W635" s="51"/>
      <c r="X635" s="51"/>
      <c r="Y635" s="51"/>
      <c r="Z635" s="51"/>
      <c r="AA635" s="51"/>
      <c r="AB635" s="51"/>
      <c r="AC635" s="51"/>
      <c r="AD635" s="51"/>
      <c r="AE635" s="51"/>
      <c r="AF635" s="51"/>
      <c r="AG635" s="51"/>
      <c r="AH635" s="51"/>
      <c r="AI635" s="51"/>
      <c r="AJ635" s="51"/>
      <c r="AK635" s="51"/>
      <c r="AL635" s="51"/>
      <c r="AM635" s="51"/>
      <c r="AN635" s="51"/>
      <c r="AO635" s="51"/>
      <c r="AP635" s="51"/>
      <c r="AQ635" s="51"/>
      <c r="AR635" s="51"/>
      <c r="AS635" s="51"/>
      <c r="AT635" s="51"/>
      <c r="AU635" s="51"/>
      <c r="AV635" s="51"/>
      <c r="AW635" s="51"/>
      <c r="AX635" s="51"/>
      <c r="AY635" s="51"/>
      <c r="AZ635" s="51"/>
      <c r="BA635" s="51"/>
      <c r="BB635" s="51"/>
      <c r="BC635" s="51"/>
      <c r="BD635" s="51"/>
      <c r="BE635" s="51"/>
      <c r="BF635" s="51"/>
      <c r="BG635" s="51"/>
      <c r="BH635" s="51"/>
      <c r="BI635" s="51"/>
      <c r="BJ635" s="51"/>
      <c r="BK635" s="51"/>
      <c r="BL635" s="51"/>
      <c r="BM635" s="51"/>
      <c r="BN635" s="51"/>
      <c r="BO635" s="51"/>
      <c r="BP635" s="51"/>
      <c r="BQ635" s="51"/>
      <c r="BT635" s="53"/>
      <c r="BU635" s="25"/>
    </row>
    <row r="636" spans="2:73" ht="12.75" customHeight="1" x14ac:dyDescent="0.25">
      <c r="B636" s="144"/>
      <c r="C636" s="209" t="str">
        <f>HYPERLINK("https://sites.wustl.edu/meteoritesite/items/lm_nwa_17706/",Q636)</f>
        <v>Northwest Africa 17706</v>
      </c>
      <c r="D636" s="210"/>
      <c r="E636" s="210"/>
      <c r="F636" s="211"/>
      <c r="G636" s="89">
        <v>2024</v>
      </c>
      <c r="H636" s="214" t="s">
        <v>616</v>
      </c>
      <c r="I636" s="215"/>
      <c r="J636" s="32">
        <v>327.9</v>
      </c>
      <c r="K636" s="212" t="s">
        <v>66</v>
      </c>
      <c r="L636" s="213"/>
      <c r="M636" s="32" t="s">
        <v>40</v>
      </c>
      <c r="N636" s="32" t="s">
        <v>40</v>
      </c>
      <c r="P636" s="125">
        <f t="shared" si="255"/>
        <v>327.9</v>
      </c>
      <c r="Q636" s="54" t="s">
        <v>875</v>
      </c>
      <c r="R636" s="48"/>
      <c r="S636" s="49"/>
      <c r="T636" s="50">
        <f t="shared" si="256"/>
        <v>0</v>
      </c>
      <c r="V636" s="51">
        <v>327.9</v>
      </c>
      <c r="W636" s="51"/>
      <c r="X636" s="51"/>
      <c r="Y636" s="51"/>
      <c r="Z636" s="51"/>
      <c r="AA636" s="51"/>
      <c r="AB636" s="51"/>
      <c r="AC636" s="51"/>
      <c r="AD636" s="51"/>
      <c r="AE636" s="51"/>
      <c r="AF636" s="51"/>
      <c r="AG636" s="51"/>
      <c r="AH636" s="51"/>
      <c r="AI636" s="51"/>
      <c r="AJ636" s="51"/>
      <c r="AK636" s="51"/>
      <c r="AL636" s="51"/>
      <c r="AM636" s="51"/>
      <c r="AN636" s="51"/>
      <c r="AO636" s="51"/>
      <c r="AP636" s="51"/>
      <c r="AQ636" s="51"/>
      <c r="AR636" s="51"/>
      <c r="AS636" s="51"/>
      <c r="AT636" s="51"/>
      <c r="AU636" s="51"/>
      <c r="AV636" s="51"/>
      <c r="AW636" s="51"/>
      <c r="AX636" s="51"/>
      <c r="AY636" s="51"/>
      <c r="AZ636" s="51"/>
      <c r="BA636" s="51"/>
      <c r="BB636" s="51"/>
      <c r="BC636" s="51"/>
      <c r="BD636" s="51"/>
      <c r="BE636" s="51"/>
      <c r="BF636" s="51"/>
      <c r="BG636" s="51"/>
      <c r="BH636" s="51"/>
      <c r="BI636" s="51"/>
      <c r="BJ636" s="51"/>
      <c r="BK636" s="51"/>
      <c r="BL636" s="51"/>
      <c r="BM636" s="51"/>
      <c r="BN636" s="51"/>
      <c r="BO636" s="51"/>
      <c r="BP636" s="51"/>
      <c r="BQ636" s="51"/>
      <c r="BT636" s="53"/>
      <c r="BU636" s="25"/>
    </row>
    <row r="637" spans="2:73" ht="12.75" customHeight="1" x14ac:dyDescent="0.25">
      <c r="B637" s="144"/>
      <c r="C637" s="209" t="str">
        <f>HYPERLINK("https://sites.wustl.edu/meteoritesite/items/lm_nwa_17716/",Q637)</f>
        <v>Northwest Africa 17716</v>
      </c>
      <c r="D637" s="210"/>
      <c r="E637" s="210"/>
      <c r="F637" s="211"/>
      <c r="G637" s="89">
        <v>2025</v>
      </c>
      <c r="H637" s="214" t="s">
        <v>38</v>
      </c>
      <c r="I637" s="215"/>
      <c r="J637" s="145">
        <v>130</v>
      </c>
      <c r="K637" s="212" t="s">
        <v>39</v>
      </c>
      <c r="L637" s="213"/>
      <c r="M637" s="32" t="s">
        <v>40</v>
      </c>
      <c r="N637" s="32" t="s">
        <v>40</v>
      </c>
      <c r="P637" s="125">
        <f t="shared" ref="P637:P640" si="257">SUM(V637:BQ637)</f>
        <v>130</v>
      </c>
      <c r="Q637" s="54" t="s">
        <v>851</v>
      </c>
      <c r="R637" s="48"/>
      <c r="S637" s="49"/>
      <c r="T637" s="50">
        <f t="shared" ref="T637:T640" si="258">J637-P637</f>
        <v>0</v>
      </c>
      <c r="V637" s="51">
        <v>130</v>
      </c>
      <c r="W637" s="51"/>
      <c r="X637" s="51"/>
      <c r="Y637" s="51"/>
      <c r="Z637" s="51"/>
      <c r="AA637" s="51"/>
      <c r="AB637" s="51"/>
      <c r="AC637" s="51"/>
      <c r="AD637" s="51"/>
      <c r="AE637" s="51"/>
      <c r="AF637" s="51"/>
      <c r="AG637" s="51"/>
      <c r="AH637" s="51"/>
      <c r="AI637" s="51"/>
      <c r="AJ637" s="51"/>
      <c r="AK637" s="51"/>
      <c r="AL637" s="51"/>
      <c r="AM637" s="51"/>
      <c r="AN637" s="51"/>
      <c r="AO637" s="51"/>
      <c r="AP637" s="51"/>
      <c r="AQ637" s="51"/>
      <c r="AR637" s="51"/>
      <c r="AS637" s="51"/>
      <c r="AT637" s="51"/>
      <c r="AU637" s="51"/>
      <c r="AV637" s="51"/>
      <c r="AW637" s="51"/>
      <c r="AX637" s="51"/>
      <c r="AY637" s="51"/>
      <c r="AZ637" s="51"/>
      <c r="BA637" s="51"/>
      <c r="BB637" s="51"/>
      <c r="BC637" s="51"/>
      <c r="BD637" s="51"/>
      <c r="BE637" s="51"/>
      <c r="BF637" s="51"/>
      <c r="BG637" s="51"/>
      <c r="BH637" s="51"/>
      <c r="BI637" s="51"/>
      <c r="BJ637" s="51"/>
      <c r="BK637" s="51"/>
      <c r="BL637" s="51"/>
      <c r="BM637" s="51"/>
      <c r="BN637" s="51"/>
      <c r="BO637" s="51"/>
      <c r="BP637" s="51"/>
      <c r="BQ637" s="51"/>
      <c r="BT637" s="53"/>
      <c r="BU637" s="25"/>
    </row>
    <row r="638" spans="2:73" ht="12.75" customHeight="1" x14ac:dyDescent="0.25">
      <c r="B638" s="144"/>
      <c r="C638" s="209" t="str">
        <f>HYPERLINK("https://sites.wustl.edu/meteoritesite/items/lm_nwa_17721/",Q638)</f>
        <v>Northwest Africa 17721</v>
      </c>
      <c r="D638" s="210"/>
      <c r="E638" s="210"/>
      <c r="F638" s="211"/>
      <c r="G638" s="89">
        <v>2024</v>
      </c>
      <c r="H638" s="214" t="s">
        <v>38</v>
      </c>
      <c r="I638" s="215"/>
      <c r="J638" s="145">
        <v>650</v>
      </c>
      <c r="K638" s="212" t="s">
        <v>39</v>
      </c>
      <c r="L638" s="213"/>
      <c r="M638" s="32" t="s">
        <v>40</v>
      </c>
      <c r="N638" s="32" t="s">
        <v>40</v>
      </c>
      <c r="P638" s="125">
        <f t="shared" si="257"/>
        <v>650</v>
      </c>
      <c r="Q638" s="54" t="s">
        <v>852</v>
      </c>
      <c r="R638" s="48"/>
      <c r="S638" s="49"/>
      <c r="T638" s="50">
        <f t="shared" si="258"/>
        <v>0</v>
      </c>
      <c r="V638" s="51">
        <v>650</v>
      </c>
      <c r="W638" s="51"/>
      <c r="X638" s="51"/>
      <c r="Y638" s="51"/>
      <c r="Z638" s="51"/>
      <c r="AA638" s="51"/>
      <c r="AB638" s="51"/>
      <c r="AC638" s="51"/>
      <c r="AD638" s="51"/>
      <c r="AE638" s="51"/>
      <c r="AF638" s="51"/>
      <c r="AG638" s="51"/>
      <c r="AH638" s="51"/>
      <c r="AI638" s="51"/>
      <c r="AJ638" s="51"/>
      <c r="AK638" s="51"/>
      <c r="AL638" s="51"/>
      <c r="AM638" s="51"/>
      <c r="AN638" s="51"/>
      <c r="AO638" s="51"/>
      <c r="AP638" s="51"/>
      <c r="AQ638" s="51"/>
      <c r="AR638" s="51"/>
      <c r="AS638" s="51"/>
      <c r="AT638" s="51"/>
      <c r="AU638" s="51"/>
      <c r="AV638" s="51"/>
      <c r="AW638" s="51"/>
      <c r="AX638" s="51"/>
      <c r="AY638" s="51"/>
      <c r="AZ638" s="51"/>
      <c r="BA638" s="51"/>
      <c r="BB638" s="51"/>
      <c r="BC638" s="51"/>
      <c r="BD638" s="51"/>
      <c r="BE638" s="51"/>
      <c r="BF638" s="51"/>
      <c r="BG638" s="51"/>
      <c r="BH638" s="51"/>
      <c r="BI638" s="51"/>
      <c r="BJ638" s="51"/>
      <c r="BK638" s="51"/>
      <c r="BL638" s="51"/>
      <c r="BM638" s="51"/>
      <c r="BN638" s="51"/>
      <c r="BO638" s="51"/>
      <c r="BP638" s="51"/>
      <c r="BQ638" s="51"/>
      <c r="BT638" s="53"/>
      <c r="BU638" s="25"/>
    </row>
    <row r="639" spans="2:73" ht="12.75" customHeight="1" x14ac:dyDescent="0.25">
      <c r="B639" s="144"/>
      <c r="C639" s="209" t="str">
        <f>HYPERLINK("https://sites.wustl.edu/meteoritesite/items/lm_nwa_17747/",Q639)</f>
        <v>Northwest Africa 17747</v>
      </c>
      <c r="D639" s="210"/>
      <c r="E639" s="210"/>
      <c r="F639" s="211"/>
      <c r="G639" s="89">
        <v>2024</v>
      </c>
      <c r="H639" s="214" t="s">
        <v>396</v>
      </c>
      <c r="I639" s="215"/>
      <c r="J639" s="145">
        <v>2428</v>
      </c>
      <c r="K639" s="212" t="s">
        <v>51</v>
      </c>
      <c r="L639" s="213"/>
      <c r="M639" s="32" t="s">
        <v>40</v>
      </c>
      <c r="N639" s="32" t="s">
        <v>40</v>
      </c>
      <c r="P639" s="125">
        <f t="shared" si="257"/>
        <v>2428</v>
      </c>
      <c r="Q639" s="54" t="s">
        <v>853</v>
      </c>
      <c r="R639" s="48"/>
      <c r="S639" s="49"/>
      <c r="T639" s="50">
        <f t="shared" si="258"/>
        <v>0</v>
      </c>
      <c r="V639" s="51">
        <v>2428</v>
      </c>
      <c r="W639" s="51"/>
      <c r="X639" s="51"/>
      <c r="Y639" s="51"/>
      <c r="Z639" s="51"/>
      <c r="AA639" s="51"/>
      <c r="AB639" s="51"/>
      <c r="AC639" s="51"/>
      <c r="AD639" s="51"/>
      <c r="AE639" s="51"/>
      <c r="AF639" s="51"/>
      <c r="AG639" s="51"/>
      <c r="AH639" s="51"/>
      <c r="AI639" s="51"/>
      <c r="AJ639" s="51"/>
      <c r="AK639" s="51"/>
      <c r="AL639" s="51"/>
      <c r="AM639" s="51"/>
      <c r="AN639" s="51"/>
      <c r="AO639" s="51"/>
      <c r="AP639" s="51"/>
      <c r="AQ639" s="51"/>
      <c r="AR639" s="51"/>
      <c r="AS639" s="51"/>
      <c r="AT639" s="51"/>
      <c r="AU639" s="51"/>
      <c r="AV639" s="51"/>
      <c r="AW639" s="51"/>
      <c r="AX639" s="51"/>
      <c r="AY639" s="51"/>
      <c r="AZ639" s="51"/>
      <c r="BA639" s="51"/>
      <c r="BB639" s="51"/>
      <c r="BC639" s="51"/>
      <c r="BD639" s="51"/>
      <c r="BE639" s="51"/>
      <c r="BF639" s="51"/>
      <c r="BG639" s="51"/>
      <c r="BH639" s="51"/>
      <c r="BI639" s="51"/>
      <c r="BJ639" s="51"/>
      <c r="BK639" s="51"/>
      <c r="BL639" s="51"/>
      <c r="BM639" s="51"/>
      <c r="BN639" s="51"/>
      <c r="BO639" s="51"/>
      <c r="BP639" s="51"/>
      <c r="BQ639" s="51"/>
      <c r="BT639" s="53"/>
      <c r="BU639" s="25"/>
    </row>
    <row r="640" spans="2:73" ht="12.75" customHeight="1" x14ac:dyDescent="0.25">
      <c r="B640" s="144"/>
      <c r="C640" s="209" t="str">
        <f>HYPERLINK("https://sites.wustl.edu/meteoritesite/items/lm_nwa_17826/",Q640)</f>
        <v>Northwest Africa 17826</v>
      </c>
      <c r="D640" s="210"/>
      <c r="E640" s="210"/>
      <c r="F640" s="211"/>
      <c r="G640" s="89">
        <v>2025</v>
      </c>
      <c r="H640" s="214" t="s">
        <v>616</v>
      </c>
      <c r="I640" s="215"/>
      <c r="J640" s="31">
        <v>435</v>
      </c>
      <c r="K640" s="212" t="s">
        <v>66</v>
      </c>
      <c r="L640" s="213"/>
      <c r="M640" s="32" t="s">
        <v>40</v>
      </c>
      <c r="N640" s="32" t="s">
        <v>40</v>
      </c>
      <c r="P640" s="125">
        <f t="shared" si="257"/>
        <v>435</v>
      </c>
      <c r="Q640" s="54" t="s">
        <v>876</v>
      </c>
      <c r="R640" s="48"/>
      <c r="S640" s="49"/>
      <c r="T640" s="50">
        <f t="shared" si="258"/>
        <v>0</v>
      </c>
      <c r="V640" s="51">
        <v>435</v>
      </c>
      <c r="W640" s="51"/>
      <c r="X640" s="51"/>
      <c r="Y640" s="51"/>
      <c r="Z640" s="51"/>
      <c r="AA640" s="51"/>
      <c r="AB640" s="51"/>
      <c r="AC640" s="51"/>
      <c r="AD640" s="51"/>
      <c r="AE640" s="51"/>
      <c r="AF640" s="51"/>
      <c r="AG640" s="51"/>
      <c r="AH640" s="51"/>
      <c r="AI640" s="51"/>
      <c r="AJ640" s="51"/>
      <c r="AK640" s="51"/>
      <c r="AL640" s="51"/>
      <c r="AM640" s="51"/>
      <c r="AN640" s="51"/>
      <c r="AO640" s="51"/>
      <c r="AP640" s="51"/>
      <c r="AQ640" s="51"/>
      <c r="AR640" s="51"/>
      <c r="AS640" s="51"/>
      <c r="AT640" s="51"/>
      <c r="AU640" s="51"/>
      <c r="AV640" s="51"/>
      <c r="AW640" s="51"/>
      <c r="AX640" s="51"/>
      <c r="AY640" s="51"/>
      <c r="AZ640" s="51"/>
      <c r="BA640" s="51"/>
      <c r="BB640" s="51"/>
      <c r="BC640" s="51"/>
      <c r="BD640" s="51"/>
      <c r="BE640" s="51"/>
      <c r="BF640" s="51"/>
      <c r="BG640" s="51"/>
      <c r="BH640" s="51"/>
      <c r="BI640" s="51"/>
      <c r="BJ640" s="51"/>
      <c r="BK640" s="51"/>
      <c r="BL640" s="51"/>
      <c r="BM640" s="51"/>
      <c r="BN640" s="51"/>
      <c r="BO640" s="51"/>
      <c r="BP640" s="51"/>
      <c r="BQ640" s="51"/>
      <c r="BT640" s="53"/>
      <c r="BU640" s="25"/>
    </row>
    <row r="641" spans="1:73" ht="12.75" customHeight="1" x14ac:dyDescent="0.25">
      <c r="B641" s="144"/>
      <c r="C641" s="209" t="str">
        <f>HYPERLINK("https://sites.wustl.edu/meteoritesite/items/lm_nwa_17859/",Q641)</f>
        <v>Northwest Africa 17859</v>
      </c>
      <c r="D641" s="210"/>
      <c r="E641" s="210"/>
      <c r="F641" s="211"/>
      <c r="G641" s="89">
        <v>2025</v>
      </c>
      <c r="H641" s="214" t="s">
        <v>38</v>
      </c>
      <c r="I641" s="215"/>
      <c r="J641" s="146">
        <v>52.7</v>
      </c>
      <c r="K641" s="212" t="s">
        <v>39</v>
      </c>
      <c r="L641" s="213"/>
      <c r="M641" s="32" t="s">
        <v>40</v>
      </c>
      <c r="N641" s="32" t="s">
        <v>40</v>
      </c>
      <c r="P641" s="125">
        <f t="shared" ref="P641:P644" si="259">SUM(V641:BQ641)</f>
        <v>52.7</v>
      </c>
      <c r="Q641" s="54" t="s">
        <v>857</v>
      </c>
      <c r="R641" s="48"/>
      <c r="S641" s="49"/>
      <c r="T641" s="50">
        <f t="shared" ref="T641:T644" si="260">J641-P641</f>
        <v>0</v>
      </c>
      <c r="V641" s="51">
        <v>52.7</v>
      </c>
      <c r="W641" s="51"/>
      <c r="X641" s="51"/>
      <c r="Y641" s="51"/>
      <c r="Z641" s="51"/>
      <c r="AA641" s="51"/>
      <c r="AB641" s="51"/>
      <c r="AC641" s="51"/>
      <c r="AD641" s="51"/>
      <c r="AE641" s="51"/>
      <c r="AF641" s="51"/>
      <c r="AG641" s="51"/>
      <c r="AH641" s="51"/>
      <c r="AI641" s="51"/>
      <c r="AJ641" s="51"/>
      <c r="AK641" s="51"/>
      <c r="AL641" s="51"/>
      <c r="AM641" s="51"/>
      <c r="AN641" s="51"/>
      <c r="AO641" s="51"/>
      <c r="AP641" s="51"/>
      <c r="AQ641" s="51"/>
      <c r="AR641" s="51"/>
      <c r="AS641" s="51"/>
      <c r="AT641" s="51"/>
      <c r="AU641" s="51"/>
      <c r="AV641" s="51"/>
      <c r="AW641" s="51"/>
      <c r="AX641" s="51"/>
      <c r="AY641" s="51"/>
      <c r="AZ641" s="51"/>
      <c r="BA641" s="51"/>
      <c r="BB641" s="51"/>
      <c r="BC641" s="51"/>
      <c r="BD641" s="51"/>
      <c r="BE641" s="51"/>
      <c r="BF641" s="51"/>
      <c r="BG641" s="51"/>
      <c r="BH641" s="51"/>
      <c r="BI641" s="51"/>
      <c r="BJ641" s="51"/>
      <c r="BK641" s="51"/>
      <c r="BL641" s="51"/>
      <c r="BM641" s="51"/>
      <c r="BN641" s="51"/>
      <c r="BO641" s="51"/>
      <c r="BP641" s="51"/>
      <c r="BQ641" s="51"/>
      <c r="BT641" s="53"/>
      <c r="BU641" s="25"/>
    </row>
    <row r="642" spans="1:73" ht="12.75" customHeight="1" x14ac:dyDescent="0.25">
      <c r="B642" s="144"/>
      <c r="C642" s="209" t="str">
        <f>HYPERLINK("https://sites.wustl.edu/meteoritesite/items/lm_nwa_17861/",Q642)</f>
        <v>Northwest Africa 17861</v>
      </c>
      <c r="D642" s="210"/>
      <c r="E642" s="210"/>
      <c r="F642" s="211"/>
      <c r="G642" s="89">
        <v>2025</v>
      </c>
      <c r="H642" s="214" t="s">
        <v>616</v>
      </c>
      <c r="I642" s="215"/>
      <c r="J642" s="31">
        <v>170</v>
      </c>
      <c r="K642" s="212" t="s">
        <v>39</v>
      </c>
      <c r="L642" s="213"/>
      <c r="M642" s="32" t="s">
        <v>40</v>
      </c>
      <c r="N642" s="32" t="s">
        <v>40</v>
      </c>
      <c r="P642" s="125">
        <f t="shared" si="259"/>
        <v>170</v>
      </c>
      <c r="Q642" s="54" t="s">
        <v>877</v>
      </c>
      <c r="R642" s="48"/>
      <c r="S642" s="49"/>
      <c r="T642" s="50">
        <f t="shared" si="260"/>
        <v>0</v>
      </c>
      <c r="V642" s="51">
        <v>170</v>
      </c>
      <c r="W642" s="51"/>
      <c r="X642" s="51"/>
      <c r="Y642" s="51"/>
      <c r="Z642" s="51"/>
      <c r="AA642" s="51"/>
      <c r="AB642" s="51"/>
      <c r="AC642" s="51"/>
      <c r="AD642" s="51"/>
      <c r="AE642" s="51"/>
      <c r="AF642" s="51"/>
      <c r="AG642" s="51"/>
      <c r="AH642" s="51"/>
      <c r="AI642" s="51"/>
      <c r="AJ642" s="51"/>
      <c r="AK642" s="51"/>
      <c r="AL642" s="51"/>
      <c r="AM642" s="51"/>
      <c r="AN642" s="51"/>
      <c r="AO642" s="51"/>
      <c r="AP642" s="51"/>
      <c r="AQ642" s="51"/>
      <c r="AR642" s="51"/>
      <c r="AS642" s="51"/>
      <c r="AT642" s="51"/>
      <c r="AU642" s="51"/>
      <c r="AV642" s="51"/>
      <c r="AW642" s="51"/>
      <c r="AX642" s="51"/>
      <c r="AY642" s="51"/>
      <c r="AZ642" s="51"/>
      <c r="BA642" s="51"/>
      <c r="BB642" s="51"/>
      <c r="BC642" s="51"/>
      <c r="BD642" s="51"/>
      <c r="BE642" s="51"/>
      <c r="BF642" s="51"/>
      <c r="BG642" s="51"/>
      <c r="BH642" s="51"/>
      <c r="BI642" s="51"/>
      <c r="BJ642" s="51"/>
      <c r="BK642" s="51"/>
      <c r="BL642" s="51"/>
      <c r="BM642" s="51"/>
      <c r="BN642" s="51"/>
      <c r="BO642" s="51"/>
      <c r="BP642" s="51"/>
      <c r="BQ642" s="51"/>
      <c r="BT642" s="53"/>
      <c r="BU642" s="25"/>
    </row>
    <row r="643" spans="1:73" ht="12.75" customHeight="1" x14ac:dyDescent="0.25">
      <c r="B643" s="144"/>
      <c r="C643" s="209" t="str">
        <f>HYPERLINK("https://sites.wustl.edu/meteoritesite/items/lm_nwa_17865/",Q643)</f>
        <v>Northwest Africa 17865</v>
      </c>
      <c r="D643" s="210"/>
      <c r="E643" s="210"/>
      <c r="F643" s="211"/>
      <c r="G643" s="89">
        <v>2025</v>
      </c>
      <c r="H643" s="214" t="s">
        <v>616</v>
      </c>
      <c r="I643" s="215"/>
      <c r="J643" s="31">
        <v>10200</v>
      </c>
      <c r="K643" s="212" t="s">
        <v>66</v>
      </c>
      <c r="L643" s="213"/>
      <c r="M643" s="32" t="s">
        <v>40</v>
      </c>
      <c r="N643" s="32" t="s">
        <v>40</v>
      </c>
      <c r="P643" s="125">
        <f t="shared" si="259"/>
        <v>10200</v>
      </c>
      <c r="Q643" s="54" t="s">
        <v>878</v>
      </c>
      <c r="R643" s="48"/>
      <c r="S643" s="49"/>
      <c r="T643" s="50">
        <f t="shared" si="260"/>
        <v>0</v>
      </c>
      <c r="V643" s="51">
        <v>10200</v>
      </c>
      <c r="W643" s="51"/>
      <c r="X643" s="51"/>
      <c r="Y643" s="51"/>
      <c r="Z643" s="51"/>
      <c r="AA643" s="51"/>
      <c r="AB643" s="51"/>
      <c r="AC643" s="51"/>
      <c r="AD643" s="51"/>
      <c r="AE643" s="51"/>
      <c r="AF643" s="51"/>
      <c r="AG643" s="51"/>
      <c r="AH643" s="51"/>
      <c r="AI643" s="51"/>
      <c r="AJ643" s="51"/>
      <c r="AK643" s="51"/>
      <c r="AL643" s="51"/>
      <c r="AM643" s="51"/>
      <c r="AN643" s="51"/>
      <c r="AO643" s="51"/>
      <c r="AP643" s="51"/>
      <c r="AQ643" s="51"/>
      <c r="AR643" s="51"/>
      <c r="AS643" s="51"/>
      <c r="AT643" s="51"/>
      <c r="AU643" s="51"/>
      <c r="AV643" s="51"/>
      <c r="AW643" s="51"/>
      <c r="AX643" s="51"/>
      <c r="AY643" s="51"/>
      <c r="AZ643" s="51"/>
      <c r="BA643" s="51"/>
      <c r="BB643" s="51"/>
      <c r="BC643" s="51"/>
      <c r="BD643" s="51"/>
      <c r="BE643" s="51"/>
      <c r="BF643" s="51"/>
      <c r="BG643" s="51"/>
      <c r="BH643" s="51"/>
      <c r="BI643" s="51"/>
      <c r="BJ643" s="51"/>
      <c r="BK643" s="51"/>
      <c r="BL643" s="51"/>
      <c r="BM643" s="51"/>
      <c r="BN643" s="51"/>
      <c r="BO643" s="51"/>
      <c r="BP643" s="51"/>
      <c r="BQ643" s="51"/>
      <c r="BT643" s="53"/>
      <c r="BU643" s="25"/>
    </row>
    <row r="644" spans="1:73" ht="12.75" customHeight="1" x14ac:dyDescent="0.25">
      <c r="B644" s="144"/>
      <c r="C644" s="209" t="str">
        <f>HYPERLINK("https://sites.wustl.edu/meteoritesite/items/lm_nwa_17869/",Q644)</f>
        <v>Northwest Africa 17869</v>
      </c>
      <c r="D644" s="210"/>
      <c r="E644" s="210"/>
      <c r="F644" s="211"/>
      <c r="G644" s="89">
        <v>2025</v>
      </c>
      <c r="H644" s="214" t="s">
        <v>396</v>
      </c>
      <c r="I644" s="215"/>
      <c r="J644" s="146">
        <v>179.9</v>
      </c>
      <c r="K644" s="212" t="s">
        <v>51</v>
      </c>
      <c r="L644" s="213"/>
      <c r="M644" s="32" t="s">
        <v>40</v>
      </c>
      <c r="N644" s="32" t="s">
        <v>40</v>
      </c>
      <c r="P644" s="125">
        <f t="shared" si="259"/>
        <v>179.9</v>
      </c>
      <c r="Q644" s="54" t="s">
        <v>858</v>
      </c>
      <c r="R644" s="48"/>
      <c r="S644" s="49"/>
      <c r="T644" s="50">
        <f t="shared" si="260"/>
        <v>0</v>
      </c>
      <c r="V644" s="51">
        <v>179.9</v>
      </c>
      <c r="W644" s="51"/>
      <c r="X644" s="51"/>
      <c r="Y644" s="51"/>
      <c r="Z644" s="51"/>
      <c r="AA644" s="51"/>
      <c r="AB644" s="51"/>
      <c r="AC644" s="51"/>
      <c r="AD644" s="51"/>
      <c r="AE644" s="51"/>
      <c r="AF644" s="51"/>
      <c r="AG644" s="51"/>
      <c r="AH644" s="51"/>
      <c r="AI644" s="51"/>
      <c r="AJ644" s="51"/>
      <c r="AK644" s="51"/>
      <c r="AL644" s="51"/>
      <c r="AM644" s="51"/>
      <c r="AN644" s="51"/>
      <c r="AO644" s="51"/>
      <c r="AP644" s="51"/>
      <c r="AQ644" s="51"/>
      <c r="AR644" s="51"/>
      <c r="AS644" s="51"/>
      <c r="AT644" s="51"/>
      <c r="AU644" s="51"/>
      <c r="AV644" s="51"/>
      <c r="AW644" s="51"/>
      <c r="AX644" s="51"/>
      <c r="AY644" s="51"/>
      <c r="AZ644" s="51"/>
      <c r="BA644" s="51"/>
      <c r="BB644" s="51"/>
      <c r="BC644" s="51"/>
      <c r="BD644" s="51"/>
      <c r="BE644" s="51"/>
      <c r="BF644" s="51"/>
      <c r="BG644" s="51"/>
      <c r="BH644" s="51"/>
      <c r="BI644" s="51"/>
      <c r="BJ644" s="51"/>
      <c r="BK644" s="51"/>
      <c r="BL644" s="51"/>
      <c r="BM644" s="51"/>
      <c r="BN644" s="51"/>
      <c r="BO644" s="51"/>
      <c r="BP644" s="51"/>
      <c r="BQ644" s="51"/>
      <c r="BT644" s="53"/>
      <c r="BU644" s="25"/>
    </row>
    <row r="645" spans="1:73" ht="12.75" customHeight="1" x14ac:dyDescent="0.25">
      <c r="B645" s="144"/>
      <c r="C645" s="209"/>
      <c r="D645" s="210"/>
      <c r="E645" s="210"/>
      <c r="F645" s="211"/>
      <c r="G645" s="89"/>
      <c r="H645" s="236"/>
      <c r="I645" s="237"/>
      <c r="J645" s="139"/>
      <c r="K645" s="140"/>
      <c r="L645" s="141"/>
      <c r="M645" s="142"/>
      <c r="N645" s="143"/>
      <c r="P645" s="125"/>
      <c r="Q645" s="54"/>
      <c r="R645" s="48"/>
      <c r="S645" s="49"/>
      <c r="T645" s="50">
        <f t="shared" si="250"/>
        <v>0</v>
      </c>
      <c r="V645" s="51"/>
      <c r="W645" s="51"/>
      <c r="X645" s="51"/>
      <c r="Y645" s="51"/>
      <c r="Z645" s="51"/>
      <c r="AA645" s="51"/>
      <c r="AB645" s="51"/>
      <c r="AC645" s="51"/>
      <c r="AD645" s="51"/>
      <c r="AE645" s="51"/>
      <c r="AF645" s="51"/>
      <c r="AG645" s="51"/>
      <c r="AH645" s="51"/>
      <c r="AI645" s="51"/>
      <c r="AJ645" s="51"/>
      <c r="AK645" s="51"/>
      <c r="AL645" s="51"/>
      <c r="AM645" s="51"/>
      <c r="AN645" s="51"/>
      <c r="AO645" s="51"/>
      <c r="AP645" s="51"/>
      <c r="AQ645" s="51"/>
      <c r="AR645" s="51"/>
      <c r="AS645" s="51"/>
      <c r="AT645" s="51"/>
      <c r="AU645" s="51"/>
      <c r="AV645" s="51"/>
      <c r="AW645" s="51"/>
      <c r="AX645" s="51"/>
      <c r="AY645" s="51"/>
      <c r="AZ645" s="51"/>
      <c r="BA645" s="51"/>
      <c r="BB645" s="51"/>
      <c r="BC645" s="51"/>
      <c r="BD645" s="51"/>
      <c r="BE645" s="51"/>
      <c r="BF645" s="51"/>
      <c r="BG645" s="51"/>
      <c r="BH645" s="51"/>
      <c r="BI645" s="51"/>
      <c r="BJ645" s="51"/>
      <c r="BK645" s="51"/>
      <c r="BL645" s="51"/>
      <c r="BM645" s="51"/>
      <c r="BN645" s="51"/>
      <c r="BO645" s="51"/>
      <c r="BP645" s="51"/>
      <c r="BQ645" s="51"/>
      <c r="BR645" s="9">
        <f t="shared" si="187"/>
        <v>0</v>
      </c>
      <c r="BT645" s="53"/>
      <c r="BU645" s="25"/>
    </row>
    <row r="646" spans="1:73" s="1" customFormat="1" ht="12.75" customHeight="1" x14ac:dyDescent="0.25">
      <c r="A646"/>
      <c r="B646" s="228" t="s">
        <v>28</v>
      </c>
      <c r="C646" s="230" t="s">
        <v>29</v>
      </c>
      <c r="D646" s="231"/>
      <c r="E646" s="231"/>
      <c r="F646" s="232"/>
      <c r="G646" s="247" t="s">
        <v>282</v>
      </c>
      <c r="H646" s="219" t="s">
        <v>249</v>
      </c>
      <c r="I646" s="220"/>
      <c r="J646" s="241" t="s">
        <v>30</v>
      </c>
      <c r="K646" s="219" t="s">
        <v>31</v>
      </c>
      <c r="L646" s="220"/>
      <c r="M646" s="223" t="s">
        <v>245</v>
      </c>
      <c r="N646" s="225" t="s">
        <v>32</v>
      </c>
      <c r="O646" s="15"/>
      <c r="P646" s="127"/>
      <c r="Q646" s="15"/>
      <c r="R646" s="15"/>
      <c r="S646" s="15"/>
      <c r="T646" s="50"/>
      <c r="U646" s="9"/>
      <c r="V646" s="42"/>
      <c r="W646" s="42"/>
      <c r="X646" s="42"/>
      <c r="Y646" s="42"/>
      <c r="Z646" s="42"/>
      <c r="AA646" s="42"/>
      <c r="AB646" s="42"/>
      <c r="AC646" s="42"/>
      <c r="AD646" s="42"/>
      <c r="AE646" s="42"/>
      <c r="AF646" s="42"/>
      <c r="AG646" s="42"/>
      <c r="AH646" s="42"/>
      <c r="AI646" s="42"/>
      <c r="AJ646" s="42"/>
      <c r="AK646" s="42"/>
      <c r="AL646" s="42"/>
      <c r="AM646" s="42"/>
      <c r="AN646" s="42"/>
      <c r="AO646" s="42"/>
      <c r="AP646" s="42"/>
      <c r="AQ646" s="42"/>
      <c r="AR646" s="42"/>
      <c r="AS646" s="42"/>
      <c r="AT646" s="42"/>
      <c r="AU646" s="42"/>
      <c r="AV646" s="42"/>
      <c r="AW646" s="42"/>
      <c r="AX646" s="42"/>
      <c r="AY646" s="42"/>
      <c r="AZ646" s="42"/>
      <c r="BA646" s="42"/>
      <c r="BB646" s="42"/>
      <c r="BC646" s="42"/>
      <c r="BD646" s="42"/>
      <c r="BE646" s="42"/>
      <c r="BF646" s="42"/>
      <c r="BG646" s="42"/>
      <c r="BH646" s="42"/>
      <c r="BI646" s="42"/>
      <c r="BJ646" s="42"/>
      <c r="BK646" s="42"/>
      <c r="BL646" s="42"/>
      <c r="BM646" s="42"/>
      <c r="BN646" s="42"/>
      <c r="BO646" s="42"/>
      <c r="BP646" s="42"/>
      <c r="BQ646" s="42"/>
      <c r="BR646" s="9"/>
      <c r="BS646" s="42"/>
      <c r="BT646" s="53"/>
      <c r="BU646" s="25"/>
    </row>
    <row r="647" spans="1:73" s="1" customFormat="1" ht="12.75" customHeight="1" x14ac:dyDescent="0.25">
      <c r="A647"/>
      <c r="B647" s="229"/>
      <c r="C647" s="233"/>
      <c r="D647" s="234"/>
      <c r="E647" s="234"/>
      <c r="F647" s="235"/>
      <c r="G647" s="242"/>
      <c r="H647" s="221"/>
      <c r="I647" s="222"/>
      <c r="J647" s="242"/>
      <c r="K647" s="221"/>
      <c r="L647" s="222"/>
      <c r="M647" s="224"/>
      <c r="N647" s="226"/>
      <c r="O647" s="15"/>
      <c r="P647" s="127"/>
      <c r="Q647" s="15"/>
      <c r="R647" s="15"/>
      <c r="S647" s="15"/>
      <c r="T647" s="50"/>
      <c r="U647" s="9"/>
      <c r="V647" s="42"/>
      <c r="W647" s="42"/>
      <c r="X647" s="42"/>
      <c r="Y647" s="42"/>
      <c r="Z647" s="42"/>
      <c r="AA647" s="42"/>
      <c r="AB647" s="42"/>
      <c r="AC647" s="42"/>
      <c r="AD647" s="42"/>
      <c r="AE647" s="42"/>
      <c r="AF647" s="42"/>
      <c r="AG647" s="42"/>
      <c r="AH647" s="42"/>
      <c r="AI647" s="42"/>
      <c r="AJ647" s="42"/>
      <c r="AK647" s="42"/>
      <c r="AL647" s="42"/>
      <c r="AM647" s="42"/>
      <c r="AN647" s="42"/>
      <c r="AO647" s="42"/>
      <c r="AP647" s="42"/>
      <c r="AQ647" s="42"/>
      <c r="AR647" s="42"/>
      <c r="AS647" s="42"/>
      <c r="AT647" s="42"/>
      <c r="AU647" s="42"/>
      <c r="AV647" s="42"/>
      <c r="AW647" s="42"/>
      <c r="AX647" s="42"/>
      <c r="AY647" s="42"/>
      <c r="AZ647" s="42"/>
      <c r="BA647" s="42"/>
      <c r="BB647" s="42"/>
      <c r="BC647" s="42"/>
      <c r="BD647" s="42"/>
      <c r="BE647" s="42"/>
      <c r="BF647" s="42"/>
      <c r="BG647" s="42"/>
      <c r="BH647" s="42"/>
      <c r="BI647" s="42"/>
      <c r="BJ647" s="42"/>
      <c r="BK647" s="42"/>
      <c r="BL647" s="42"/>
      <c r="BM647" s="42"/>
      <c r="BN647" s="42"/>
      <c r="BO647" s="42"/>
      <c r="BP647" s="42"/>
      <c r="BQ647" s="42"/>
      <c r="BR647" s="9"/>
      <c r="BS647" s="42"/>
      <c r="BT647" s="53"/>
      <c r="BU647" s="25"/>
    </row>
    <row r="648" spans="1:73" ht="12.75" customHeight="1" x14ac:dyDescent="0.25">
      <c r="B648" s="23"/>
      <c r="C648" s="209" t="str">
        <f>HYPERLINK("https://sites.wustl.edu/meteoritesite/items/lm_ouargla_004/",Q648)</f>
        <v>Ouargla 004/ 007</v>
      </c>
      <c r="D648" s="210"/>
      <c r="E648" s="210"/>
      <c r="F648" s="211"/>
      <c r="G648" s="89">
        <v>2021</v>
      </c>
      <c r="H648" s="214" t="s">
        <v>616</v>
      </c>
      <c r="I648" s="215"/>
      <c r="J648" s="33">
        <v>1473</v>
      </c>
      <c r="K648" s="212" t="s">
        <v>66</v>
      </c>
      <c r="L648" s="213"/>
      <c r="M648" s="32" t="s">
        <v>40</v>
      </c>
      <c r="N648" s="32" t="s">
        <v>40</v>
      </c>
      <c r="P648" s="125">
        <f t="shared" si="164"/>
        <v>1473</v>
      </c>
      <c r="Q648" s="54" t="s">
        <v>856</v>
      </c>
      <c r="R648" s="48"/>
      <c r="S648" s="49"/>
      <c r="T648" s="50">
        <f t="shared" si="179"/>
        <v>0</v>
      </c>
      <c r="V648" s="51">
        <v>1046</v>
      </c>
      <c r="W648" s="51">
        <v>427</v>
      </c>
      <c r="X648" s="51"/>
      <c r="Y648" s="51"/>
      <c r="Z648" s="51"/>
      <c r="AA648" s="51"/>
      <c r="AB648" s="51"/>
      <c r="AC648" s="51"/>
      <c r="AD648" s="51"/>
      <c r="AE648" s="51"/>
      <c r="AF648" s="51"/>
      <c r="AG648" s="51"/>
      <c r="AH648" s="51"/>
      <c r="AI648" s="51"/>
      <c r="AJ648" s="51"/>
      <c r="AK648" s="51"/>
      <c r="AL648" s="51"/>
      <c r="AM648" s="51"/>
      <c r="AN648" s="51"/>
      <c r="AO648" s="51"/>
      <c r="AP648" s="51"/>
      <c r="AQ648" s="51"/>
      <c r="AR648" s="51"/>
      <c r="AS648" s="51"/>
      <c r="AT648" s="51"/>
      <c r="AU648" s="51"/>
      <c r="AV648" s="51"/>
      <c r="AW648" s="51"/>
      <c r="AX648" s="51"/>
      <c r="AY648" s="51"/>
      <c r="AZ648" s="51"/>
      <c r="BA648" s="51"/>
      <c r="BB648" s="51"/>
      <c r="BC648" s="51"/>
      <c r="BD648" s="51"/>
      <c r="BE648" s="51"/>
      <c r="BF648" s="51"/>
      <c r="BG648" s="51"/>
      <c r="BH648" s="51"/>
      <c r="BI648" s="51"/>
      <c r="BJ648" s="51"/>
      <c r="BK648" s="51"/>
      <c r="BL648" s="51"/>
      <c r="BM648" s="51"/>
      <c r="BN648" s="51"/>
      <c r="BO648" s="51"/>
      <c r="BP648" s="51"/>
      <c r="BQ648" s="51"/>
      <c r="BR648" s="9">
        <f t="shared" si="137"/>
        <v>2</v>
      </c>
      <c r="BT648" s="53" t="str">
        <f t="shared" si="138"/>
        <v>Ouargla 004/ 007</v>
      </c>
      <c r="BU648" s="25"/>
    </row>
    <row r="649" spans="1:73" ht="12.75" customHeight="1" x14ac:dyDescent="0.25">
      <c r="B649" s="23"/>
      <c r="C649" s="209" t="str">
        <f>HYPERLINK("https://sites.wustl.edu/meteoritesite/items/lm_ouargla_008/",Q649)</f>
        <v>Ouargla 008</v>
      </c>
      <c r="D649" s="210"/>
      <c r="E649" s="210"/>
      <c r="F649" s="211"/>
      <c r="G649" s="89">
        <v>2025</v>
      </c>
      <c r="H649" s="214" t="s">
        <v>38</v>
      </c>
      <c r="I649" s="215"/>
      <c r="J649" s="33">
        <v>1050</v>
      </c>
      <c r="K649" s="212" t="s">
        <v>66</v>
      </c>
      <c r="L649" s="213"/>
      <c r="M649" s="32" t="s">
        <v>40</v>
      </c>
      <c r="N649" s="32" t="s">
        <v>40</v>
      </c>
      <c r="P649" s="125">
        <v>1050</v>
      </c>
      <c r="Q649" s="54" t="s">
        <v>879</v>
      </c>
      <c r="R649" s="48"/>
      <c r="S649" s="49"/>
      <c r="T649" s="50">
        <f t="shared" ref="T649" si="261">J649-P649</f>
        <v>0</v>
      </c>
      <c r="V649" s="51">
        <v>1050</v>
      </c>
      <c r="W649" s="51"/>
      <c r="X649" s="51"/>
      <c r="Y649" s="51"/>
      <c r="Z649" s="51"/>
      <c r="AA649" s="51"/>
      <c r="AB649" s="51"/>
      <c r="AC649" s="51"/>
      <c r="AD649" s="51"/>
      <c r="AE649" s="51"/>
      <c r="AF649" s="51"/>
      <c r="AG649" s="51"/>
      <c r="AH649" s="51"/>
      <c r="AI649" s="51"/>
      <c r="AJ649" s="51"/>
      <c r="AK649" s="51"/>
      <c r="AL649" s="51"/>
      <c r="AM649" s="51"/>
      <c r="AN649" s="51"/>
      <c r="AO649" s="51"/>
      <c r="AP649" s="51"/>
      <c r="AQ649" s="51"/>
      <c r="AR649" s="51"/>
      <c r="AS649" s="51"/>
      <c r="AT649" s="51"/>
      <c r="AU649" s="51"/>
      <c r="AV649" s="51"/>
      <c r="AW649" s="51"/>
      <c r="AX649" s="51"/>
      <c r="AY649" s="51"/>
      <c r="AZ649" s="51"/>
      <c r="BA649" s="51"/>
      <c r="BB649" s="51"/>
      <c r="BC649" s="51"/>
      <c r="BD649" s="51"/>
      <c r="BE649" s="51"/>
      <c r="BF649" s="51"/>
      <c r="BG649" s="51"/>
      <c r="BH649" s="51"/>
      <c r="BI649" s="51"/>
      <c r="BJ649" s="51"/>
      <c r="BK649" s="51"/>
      <c r="BL649" s="51"/>
      <c r="BM649" s="51"/>
      <c r="BN649" s="51"/>
      <c r="BO649" s="51"/>
      <c r="BP649" s="51"/>
      <c r="BQ649" s="51"/>
      <c r="BR649" s="9">
        <f t="shared" ref="BR649" si="262">COUNT(V649:BQ649)</f>
        <v>1</v>
      </c>
      <c r="BT649" s="53" t="str">
        <f t="shared" ref="BT649" si="263">Q649</f>
        <v>Ouargla 008</v>
      </c>
      <c r="BU649" s="25"/>
    </row>
    <row r="650" spans="1:73" ht="12.75" customHeight="1" x14ac:dyDescent="0.25">
      <c r="B650" s="23"/>
      <c r="C650" s="209" t="str">
        <f>HYPERLINK("https://sites.wustl.edu/meteoritesite/items/lm_oeh_001/",Q650)</f>
        <v>Oued El Hamim 001</v>
      </c>
      <c r="D650" s="210"/>
      <c r="E650" s="210"/>
      <c r="F650" s="211"/>
      <c r="G650" s="89">
        <v>2024</v>
      </c>
      <c r="H650" s="214" t="s">
        <v>38</v>
      </c>
      <c r="I650" s="215"/>
      <c r="J650" s="31">
        <v>33180</v>
      </c>
      <c r="K650" s="212" t="s">
        <v>50</v>
      </c>
      <c r="L650" s="213"/>
      <c r="M650" s="32" t="s">
        <v>40</v>
      </c>
      <c r="N650" s="32" t="s">
        <v>40</v>
      </c>
      <c r="P650" s="125">
        <f t="shared" ref="P650" si="264">SUM(V650:BQ650)</f>
        <v>33180</v>
      </c>
      <c r="Q650" s="54" t="s">
        <v>798</v>
      </c>
      <c r="R650" s="48"/>
      <c r="S650" s="49"/>
      <c r="T650" s="50">
        <f t="shared" ref="T650" si="265">J650-P650</f>
        <v>0</v>
      </c>
      <c r="V650" s="51">
        <v>33180</v>
      </c>
      <c r="W650" s="51"/>
      <c r="X650" s="51"/>
      <c r="Y650" s="51"/>
      <c r="Z650" s="51"/>
      <c r="AA650" s="51"/>
      <c r="AB650" s="51"/>
      <c r="AC650" s="51"/>
      <c r="AD650" s="51"/>
      <c r="AE650" s="51"/>
      <c r="AF650" s="51"/>
      <c r="AG650" s="51"/>
      <c r="AH650" s="51"/>
      <c r="AI650" s="51"/>
      <c r="AJ650" s="51"/>
      <c r="AK650" s="51"/>
      <c r="AL650" s="51"/>
      <c r="AM650" s="51"/>
      <c r="AN650" s="51"/>
      <c r="AO650" s="51"/>
      <c r="AP650" s="51"/>
      <c r="AQ650" s="51"/>
      <c r="AR650" s="51"/>
      <c r="AS650" s="51"/>
      <c r="AT650" s="51"/>
      <c r="AU650" s="51"/>
      <c r="AV650" s="51"/>
      <c r="AW650" s="51"/>
      <c r="AX650" s="51"/>
      <c r="AY650" s="51"/>
      <c r="AZ650" s="51"/>
      <c r="BA650" s="51"/>
      <c r="BB650" s="51"/>
      <c r="BC650" s="51"/>
      <c r="BD650" s="51"/>
      <c r="BE650" s="51"/>
      <c r="BF650" s="51"/>
      <c r="BG650" s="51"/>
      <c r="BH650" s="51"/>
      <c r="BI650" s="51"/>
      <c r="BJ650" s="51"/>
      <c r="BK650" s="51"/>
      <c r="BL650" s="51"/>
      <c r="BM650" s="51"/>
      <c r="BN650" s="51"/>
      <c r="BO650" s="51"/>
      <c r="BP650" s="51"/>
      <c r="BQ650" s="51"/>
      <c r="BR650" s="9">
        <f t="shared" ref="BR650" si="266">COUNT(V650:BQ650)</f>
        <v>1</v>
      </c>
      <c r="BT650" s="53" t="str">
        <f t="shared" ref="BT650" si="267">Q650</f>
        <v>Oued El Hamim 001</v>
      </c>
      <c r="BU650" s="25"/>
    </row>
    <row r="651" spans="1:73" ht="12.75" customHeight="1" x14ac:dyDescent="0.25">
      <c r="B651" s="23"/>
      <c r="C651" s="209" t="str">
        <f>HYPERLINK("https://sites.wustl.edu/meteoritesite/items/lm_pakepake_005/",Q651)</f>
        <v>Pakepake 005</v>
      </c>
      <c r="D651" s="210"/>
      <c r="E651" s="210"/>
      <c r="F651" s="211"/>
      <c r="G651" s="89">
        <v>2024</v>
      </c>
      <c r="H651" s="214" t="s">
        <v>38</v>
      </c>
      <c r="I651" s="215"/>
      <c r="J651" s="33">
        <v>44</v>
      </c>
      <c r="K651" s="250" t="s">
        <v>739</v>
      </c>
      <c r="L651" s="251"/>
      <c r="M651" s="32" t="s">
        <v>40</v>
      </c>
      <c r="N651" s="32" t="s">
        <v>40</v>
      </c>
      <c r="P651" s="125">
        <f t="shared" ref="P651" si="268">SUM(V651:BQ651)</f>
        <v>44</v>
      </c>
      <c r="Q651" s="54" t="s">
        <v>738</v>
      </c>
      <c r="R651" s="48"/>
      <c r="S651" s="49"/>
      <c r="T651" s="50">
        <f t="shared" ref="T651" si="269">J651-P651</f>
        <v>0</v>
      </c>
      <c r="V651" s="51">
        <v>44</v>
      </c>
      <c r="W651" s="51"/>
      <c r="X651" s="51"/>
      <c r="Y651" s="51"/>
      <c r="Z651" s="51"/>
      <c r="AA651" s="51"/>
      <c r="AB651" s="51"/>
      <c r="AC651" s="51"/>
      <c r="AD651" s="51"/>
      <c r="AE651" s="51"/>
      <c r="AF651" s="51"/>
      <c r="AG651" s="51"/>
      <c r="AH651" s="51"/>
      <c r="AI651" s="51"/>
      <c r="AJ651" s="51"/>
      <c r="AK651" s="51"/>
      <c r="AL651" s="51"/>
      <c r="AM651" s="51"/>
      <c r="AN651" s="51"/>
      <c r="AO651" s="51"/>
      <c r="AP651" s="51"/>
      <c r="AQ651" s="51"/>
      <c r="AR651" s="51"/>
      <c r="AS651" s="51"/>
      <c r="AT651" s="51"/>
      <c r="AU651" s="51"/>
      <c r="AV651" s="51"/>
      <c r="AW651" s="51"/>
      <c r="AX651" s="51"/>
      <c r="AY651" s="51"/>
      <c r="AZ651" s="51"/>
      <c r="BA651" s="51"/>
      <c r="BB651" s="51"/>
      <c r="BC651" s="51"/>
      <c r="BD651" s="51"/>
      <c r="BE651" s="51"/>
      <c r="BF651" s="51"/>
      <c r="BG651" s="51"/>
      <c r="BH651" s="51"/>
      <c r="BI651" s="51"/>
      <c r="BJ651" s="51"/>
      <c r="BK651" s="51"/>
      <c r="BL651" s="51"/>
      <c r="BM651" s="51"/>
      <c r="BN651" s="51"/>
      <c r="BO651" s="51"/>
      <c r="BP651" s="51"/>
      <c r="BQ651" s="51"/>
      <c r="BR651" s="9">
        <f t="shared" ref="BR651" si="270">COUNT(V651:BQ651)</f>
        <v>1</v>
      </c>
      <c r="BT651" s="53" t="str">
        <f t="shared" ref="BT651" si="271">Q651</f>
        <v>Pakepake 005</v>
      </c>
      <c r="BU651" s="25"/>
    </row>
    <row r="652" spans="1:73" ht="12.75" customHeight="1" x14ac:dyDescent="0.25">
      <c r="B652" s="23"/>
      <c r="C652" s="209" t="str">
        <f>HYPERLINK("https://sites.wustl.edu/meteoritesite/items/lm_quedmya_004/",Q652)</f>
        <v>Qued Mya 004</v>
      </c>
      <c r="D652" s="210"/>
      <c r="E652" s="210"/>
      <c r="F652" s="211"/>
      <c r="G652" s="89">
        <v>2021</v>
      </c>
      <c r="H652" s="214" t="s">
        <v>616</v>
      </c>
      <c r="I652" s="215"/>
      <c r="J652" s="33">
        <v>345</v>
      </c>
      <c r="K652" s="212" t="s">
        <v>66</v>
      </c>
      <c r="L652" s="213"/>
      <c r="M652" s="32" t="s">
        <v>40</v>
      </c>
      <c r="N652" s="32" t="s">
        <v>40</v>
      </c>
      <c r="P652" s="125">
        <f t="shared" si="164"/>
        <v>345</v>
      </c>
      <c r="Q652" s="54" t="s">
        <v>587</v>
      </c>
      <c r="R652" s="48"/>
      <c r="S652" s="49"/>
      <c r="T652" s="50">
        <f t="shared" si="159"/>
        <v>0</v>
      </c>
      <c r="V652" s="51">
        <v>345</v>
      </c>
      <c r="W652" s="51"/>
      <c r="X652" s="51"/>
      <c r="Y652" s="51"/>
      <c r="Z652" s="51"/>
      <c r="AA652" s="51"/>
      <c r="AB652" s="51"/>
      <c r="AC652" s="51"/>
      <c r="AD652" s="51"/>
      <c r="AE652" s="51"/>
      <c r="AF652" s="51"/>
      <c r="AG652" s="51"/>
      <c r="AH652" s="51"/>
      <c r="AI652" s="51"/>
      <c r="AJ652" s="51"/>
      <c r="AK652" s="51"/>
      <c r="AL652" s="51"/>
      <c r="AM652" s="51"/>
      <c r="AN652" s="51"/>
      <c r="AO652" s="51"/>
      <c r="AP652" s="51"/>
      <c r="AQ652" s="51"/>
      <c r="AR652" s="51"/>
      <c r="AS652" s="51"/>
      <c r="AT652" s="51"/>
      <c r="AU652" s="51"/>
      <c r="AV652" s="51"/>
      <c r="AW652" s="51"/>
      <c r="AX652" s="51"/>
      <c r="AY652" s="51"/>
      <c r="AZ652" s="51"/>
      <c r="BA652" s="51"/>
      <c r="BB652" s="51"/>
      <c r="BC652" s="51"/>
      <c r="BD652" s="51"/>
      <c r="BE652" s="51"/>
      <c r="BF652" s="51"/>
      <c r="BG652" s="51"/>
      <c r="BH652" s="51"/>
      <c r="BI652" s="51"/>
      <c r="BJ652" s="51"/>
      <c r="BK652" s="51"/>
      <c r="BL652" s="51"/>
      <c r="BM652" s="51"/>
      <c r="BN652" s="51"/>
      <c r="BO652" s="51"/>
      <c r="BP652" s="51"/>
      <c r="BQ652" s="51"/>
      <c r="BR652" s="9">
        <f t="shared" ref="BR652" si="272">COUNT(V652:BQ652)</f>
        <v>1</v>
      </c>
      <c r="BT652" s="53" t="str">
        <f t="shared" ref="BT652" si="273">Q652</f>
        <v>Qued Mya 004</v>
      </c>
      <c r="BU652" s="25"/>
    </row>
    <row r="653" spans="1:73" ht="12.75" customHeight="1" x14ac:dyDescent="0.25">
      <c r="B653" s="23"/>
      <c r="C653" s="209" t="str">
        <f>HYPERLINK("https://sites.wustl.edu/meteoritesite/items/lm_rafsa_002/",Q653)</f>
        <v>Rafsa 002</v>
      </c>
      <c r="D653" s="210"/>
      <c r="E653" s="210"/>
      <c r="F653" s="211"/>
      <c r="G653" s="89">
        <v>2022</v>
      </c>
      <c r="H653" s="214" t="s">
        <v>726</v>
      </c>
      <c r="I653" s="215"/>
      <c r="J653" s="32">
        <v>176.7</v>
      </c>
      <c r="K653" s="212" t="s">
        <v>66</v>
      </c>
      <c r="L653" s="213"/>
      <c r="M653" s="32" t="s">
        <v>40</v>
      </c>
      <c r="N653" s="32" t="s">
        <v>40</v>
      </c>
      <c r="P653" s="125">
        <f t="shared" si="164"/>
        <v>176.7</v>
      </c>
      <c r="Q653" s="54" t="s">
        <v>597</v>
      </c>
      <c r="R653" s="48"/>
      <c r="S653" s="49"/>
      <c r="T653" s="50">
        <f t="shared" si="159"/>
        <v>0</v>
      </c>
      <c r="V653" s="51">
        <v>176.7</v>
      </c>
      <c r="W653" s="51"/>
      <c r="X653" s="51"/>
      <c r="Y653" s="51"/>
      <c r="Z653" s="51"/>
      <c r="AA653" s="51"/>
      <c r="AB653" s="51"/>
      <c r="AC653" s="51"/>
      <c r="AD653" s="51"/>
      <c r="AE653" s="51"/>
      <c r="AF653" s="51"/>
      <c r="AG653" s="51"/>
      <c r="AH653" s="51"/>
      <c r="AI653" s="51"/>
      <c r="AJ653" s="51"/>
      <c r="AK653" s="51"/>
      <c r="AL653" s="51"/>
      <c r="AM653" s="51"/>
      <c r="AN653" s="51"/>
      <c r="AO653" s="51"/>
      <c r="AP653" s="51"/>
      <c r="AQ653" s="51"/>
      <c r="AR653" s="51"/>
      <c r="AS653" s="51"/>
      <c r="AT653" s="51"/>
      <c r="AU653" s="51"/>
      <c r="AV653" s="51"/>
      <c r="AW653" s="51"/>
      <c r="AX653" s="51"/>
      <c r="AY653" s="51"/>
      <c r="AZ653" s="51"/>
      <c r="BA653" s="51"/>
      <c r="BB653" s="51"/>
      <c r="BC653" s="51"/>
      <c r="BD653" s="51"/>
      <c r="BE653" s="51"/>
      <c r="BF653" s="51"/>
      <c r="BG653" s="51"/>
      <c r="BH653" s="51"/>
      <c r="BI653" s="51"/>
      <c r="BJ653" s="51"/>
      <c r="BK653" s="51"/>
      <c r="BL653" s="51"/>
      <c r="BM653" s="51"/>
      <c r="BN653" s="51"/>
      <c r="BO653" s="51"/>
      <c r="BP653" s="51"/>
      <c r="BQ653" s="51"/>
      <c r="BT653" s="53"/>
      <c r="BU653" s="25"/>
    </row>
    <row r="654" spans="1:73" ht="12.75" customHeight="1" x14ac:dyDescent="0.25">
      <c r="B654" s="23"/>
      <c r="C654" s="218" t="str">
        <f>HYPERLINK("https://sites.wustl.edu/meteoritesite/items/lm_reggane_007/",Q654)</f>
        <v>Reggane 007</v>
      </c>
      <c r="D654" s="210"/>
      <c r="E654" s="210"/>
      <c r="F654" s="211"/>
      <c r="G654" s="89">
        <v>2022</v>
      </c>
      <c r="H654" s="214" t="s">
        <v>46</v>
      </c>
      <c r="I654" s="215"/>
      <c r="J654" s="32">
        <v>88.8</v>
      </c>
      <c r="K654" s="212" t="s">
        <v>66</v>
      </c>
      <c r="L654" s="213"/>
      <c r="M654" s="32" t="s">
        <v>40</v>
      </c>
      <c r="N654" s="32" t="s">
        <v>40</v>
      </c>
      <c r="P654" s="125">
        <f t="shared" si="164"/>
        <v>88.8</v>
      </c>
      <c r="Q654" s="54" t="s">
        <v>794</v>
      </c>
      <c r="R654" s="48"/>
      <c r="S654" s="49"/>
      <c r="T654" s="50">
        <f t="shared" si="159"/>
        <v>0</v>
      </c>
      <c r="V654" s="51">
        <v>88.8</v>
      </c>
      <c r="W654" s="51"/>
      <c r="X654" s="51"/>
      <c r="Y654" s="51"/>
      <c r="Z654" s="51"/>
      <c r="AA654" s="51"/>
      <c r="AB654" s="51"/>
      <c r="AC654" s="51"/>
      <c r="AD654" s="51"/>
      <c r="AE654" s="51"/>
      <c r="AF654" s="51"/>
      <c r="AG654" s="51"/>
      <c r="AH654" s="51"/>
      <c r="AI654" s="51"/>
      <c r="AJ654" s="51"/>
      <c r="AK654" s="51"/>
      <c r="AL654" s="51"/>
      <c r="AM654" s="51"/>
      <c r="AN654" s="51"/>
      <c r="AO654" s="51"/>
      <c r="AP654" s="51"/>
      <c r="AQ654" s="51"/>
      <c r="AR654" s="51"/>
      <c r="AS654" s="51"/>
      <c r="AT654" s="51"/>
      <c r="AU654" s="51"/>
      <c r="AV654" s="51"/>
      <c r="AW654" s="51"/>
      <c r="AX654" s="51"/>
      <c r="AY654" s="51"/>
      <c r="AZ654" s="51"/>
      <c r="BA654" s="51"/>
      <c r="BB654" s="51"/>
      <c r="BC654" s="51"/>
      <c r="BD654" s="51"/>
      <c r="BE654" s="51"/>
      <c r="BF654" s="51"/>
      <c r="BG654" s="51"/>
      <c r="BH654" s="51"/>
      <c r="BI654" s="51"/>
      <c r="BJ654" s="51"/>
      <c r="BK654" s="51"/>
      <c r="BL654" s="51"/>
      <c r="BM654" s="51"/>
      <c r="BN654" s="51"/>
      <c r="BO654" s="51"/>
      <c r="BP654" s="51"/>
      <c r="BQ654" s="51"/>
      <c r="BT654" s="53"/>
      <c r="BU654" s="25"/>
    </row>
    <row r="655" spans="1:73" s="8" customFormat="1" ht="12.75" customHeight="1" x14ac:dyDescent="0.25">
      <c r="A655"/>
      <c r="B655" s="23"/>
      <c r="C655" s="209" t="str">
        <f>HYPERLINK("https://sites.wustl.edu/meteoritesite/items/lm_swayyah_001/",Q655)</f>
        <v>Swayyah 001/ 004</v>
      </c>
      <c r="D655" s="210"/>
      <c r="E655" s="210"/>
      <c r="F655" s="211"/>
      <c r="G655" s="89" t="s">
        <v>506</v>
      </c>
      <c r="H655" s="240" t="s">
        <v>505</v>
      </c>
      <c r="I655" s="240"/>
      <c r="J655" s="33">
        <v>6302</v>
      </c>
      <c r="K655" s="207" t="s">
        <v>44</v>
      </c>
      <c r="L655" s="207"/>
      <c r="M655" s="32" t="s">
        <v>342</v>
      </c>
      <c r="N655" s="32" t="s">
        <v>40</v>
      </c>
      <c r="O655" s="15"/>
      <c r="P655" s="125">
        <f>SUM(V655:BQ655)</f>
        <v>6302</v>
      </c>
      <c r="Q655" s="54" t="s">
        <v>507</v>
      </c>
      <c r="R655" s="48"/>
      <c r="S655" s="49"/>
      <c r="T655" s="50">
        <f>J655-P655</f>
        <v>0</v>
      </c>
      <c r="U655" s="9"/>
      <c r="V655" s="51">
        <v>4602</v>
      </c>
      <c r="W655" s="51">
        <v>1700</v>
      </c>
      <c r="X655" s="51"/>
      <c r="Y655" s="52"/>
      <c r="Z655" s="51"/>
      <c r="AA655" s="51"/>
      <c r="AB655" s="51"/>
      <c r="AC655" s="51"/>
      <c r="AD655" s="51"/>
      <c r="AE655" s="51"/>
      <c r="AF655" s="51"/>
      <c r="AG655" s="51"/>
      <c r="AH655" s="51"/>
      <c r="AI655" s="51"/>
      <c r="AJ655" s="51"/>
      <c r="AK655" s="51"/>
      <c r="AL655" s="51"/>
      <c r="AM655" s="51"/>
      <c r="AN655" s="51"/>
      <c r="AO655" s="51"/>
      <c r="AP655" s="51"/>
      <c r="AQ655" s="51"/>
      <c r="AR655" s="51"/>
      <c r="AS655" s="51"/>
      <c r="AT655" s="51"/>
      <c r="AU655" s="51"/>
      <c r="AV655" s="51"/>
      <c r="AW655" s="51"/>
      <c r="AX655" s="51"/>
      <c r="AY655" s="51"/>
      <c r="AZ655" s="51"/>
      <c r="BA655" s="51"/>
      <c r="BB655" s="51"/>
      <c r="BC655" s="51"/>
      <c r="BD655" s="51"/>
      <c r="BE655" s="51"/>
      <c r="BF655" s="51"/>
      <c r="BG655" s="51"/>
      <c r="BH655" s="51"/>
      <c r="BI655" s="51"/>
      <c r="BJ655" s="51"/>
      <c r="BK655" s="51"/>
      <c r="BL655" s="51"/>
      <c r="BM655" s="51"/>
      <c r="BN655" s="51"/>
      <c r="BO655" s="51"/>
      <c r="BP655" s="51"/>
      <c r="BQ655" s="51"/>
      <c r="BR655" s="9">
        <f>COUNT(V655:BQ655)</f>
        <v>2</v>
      </c>
      <c r="BS655" s="9"/>
      <c r="BT655" s="53" t="str">
        <f>Q655</f>
        <v>Swayyah 001/ 004</v>
      </c>
      <c r="BU655" s="25"/>
    </row>
    <row r="656" spans="1:73" ht="12.75" customHeight="1" x14ac:dyDescent="0.25">
      <c r="B656" s="23"/>
      <c r="C656" s="209" t="str">
        <f>HYPERLINK("https://sites.wustl.edu/meteoritesite/items/lm_swa_003/",Q656)</f>
        <v>Swayyah 003</v>
      </c>
      <c r="D656" s="210"/>
      <c r="E656" s="210"/>
      <c r="F656" s="211"/>
      <c r="G656" s="89">
        <v>2020</v>
      </c>
      <c r="H656" s="214" t="s">
        <v>396</v>
      </c>
      <c r="I656" s="215"/>
      <c r="J656" s="33">
        <v>208</v>
      </c>
      <c r="K656" s="212" t="s">
        <v>44</v>
      </c>
      <c r="L656" s="213"/>
      <c r="M656" s="32" t="s">
        <v>40</v>
      </c>
      <c r="N656" s="32" t="s">
        <v>40</v>
      </c>
      <c r="P656" s="125">
        <f>SUM(V656:BQ656)</f>
        <v>208</v>
      </c>
      <c r="Q656" s="54" t="s">
        <v>458</v>
      </c>
      <c r="R656" s="48"/>
      <c r="S656" s="49"/>
      <c r="T656" s="50">
        <f>J656-P656</f>
        <v>0</v>
      </c>
      <c r="V656" s="51">
        <v>208</v>
      </c>
      <c r="W656" s="51"/>
      <c r="X656" s="51"/>
      <c r="Y656" s="51"/>
      <c r="Z656" s="51"/>
      <c r="AA656" s="51"/>
      <c r="AB656" s="51"/>
      <c r="AC656" s="51"/>
      <c r="AD656" s="51"/>
      <c r="AE656" s="51"/>
      <c r="AF656" s="51"/>
      <c r="AG656" s="51"/>
      <c r="AH656" s="51"/>
      <c r="AI656" s="51"/>
      <c r="AJ656" s="51"/>
      <c r="AK656" s="51"/>
      <c r="AL656" s="51"/>
      <c r="AM656" s="51"/>
      <c r="AN656" s="51"/>
      <c r="AO656" s="51"/>
      <c r="AP656" s="51"/>
      <c r="AQ656" s="51"/>
      <c r="AR656" s="51"/>
      <c r="AS656" s="51"/>
      <c r="AT656" s="51"/>
      <c r="AU656" s="51"/>
      <c r="AV656" s="51"/>
      <c r="AW656" s="51"/>
      <c r="AX656" s="51"/>
      <c r="AY656" s="51"/>
      <c r="AZ656" s="51"/>
      <c r="BA656" s="51"/>
      <c r="BB656" s="51"/>
      <c r="BC656" s="51"/>
      <c r="BD656" s="51"/>
      <c r="BE656" s="51"/>
      <c r="BF656" s="51"/>
      <c r="BG656" s="51"/>
      <c r="BH656" s="51"/>
      <c r="BI656" s="51"/>
      <c r="BJ656" s="51"/>
      <c r="BK656" s="51"/>
      <c r="BL656" s="51"/>
      <c r="BM656" s="51"/>
      <c r="BN656" s="51"/>
      <c r="BO656" s="51"/>
      <c r="BP656" s="51"/>
      <c r="BQ656" s="51"/>
      <c r="BR656" s="9">
        <f>COUNT(V656:BQ656)</f>
        <v>1</v>
      </c>
      <c r="BT656" s="53" t="str">
        <f>Q656</f>
        <v>Swayyah 003</v>
      </c>
      <c r="BU656" s="25"/>
    </row>
    <row r="657" spans="1:90" ht="12.75" customHeight="1" x14ac:dyDescent="0.25">
      <c r="B657" s="23"/>
      <c r="C657" s="209" t="str">
        <f>HYPERLINK("https://sites.wustl.edu/meteoritesite/items/lm_tata_001/",Q657)</f>
        <v>Tata 001</v>
      </c>
      <c r="D657" s="210"/>
      <c r="E657" s="210"/>
      <c r="F657" s="211"/>
      <c r="G657" s="89">
        <v>2020</v>
      </c>
      <c r="H657" s="214" t="s">
        <v>396</v>
      </c>
      <c r="I657" s="215"/>
      <c r="J657" s="62">
        <v>1.91</v>
      </c>
      <c r="K657" s="212" t="s">
        <v>35</v>
      </c>
      <c r="L657" s="213"/>
      <c r="M657" s="32" t="s">
        <v>40</v>
      </c>
      <c r="N657" s="32" t="s">
        <v>40</v>
      </c>
      <c r="P657" s="125">
        <f>SUM(V657:BQ657)</f>
        <v>1.91</v>
      </c>
      <c r="Q657" s="54" t="s">
        <v>456</v>
      </c>
      <c r="R657" s="48"/>
      <c r="S657" s="49"/>
      <c r="T657" s="50">
        <f>J657-P657</f>
        <v>0</v>
      </c>
      <c r="V657" s="51">
        <v>1.91</v>
      </c>
      <c r="W657" s="51"/>
      <c r="X657" s="51"/>
      <c r="Y657" s="51"/>
      <c r="Z657" s="51"/>
      <c r="AA657" s="51"/>
      <c r="AB657" s="51"/>
      <c r="AC657" s="51"/>
      <c r="AD657" s="51"/>
      <c r="AE657" s="51"/>
      <c r="AF657" s="51"/>
      <c r="AG657" s="51"/>
      <c r="AH657" s="51"/>
      <c r="AI657" s="51"/>
      <c r="AJ657" s="51"/>
      <c r="AK657" s="51"/>
      <c r="AL657" s="51"/>
      <c r="AM657" s="51"/>
      <c r="AN657" s="51"/>
      <c r="AO657" s="51"/>
      <c r="AP657" s="51"/>
      <c r="AQ657" s="51"/>
      <c r="AR657" s="51"/>
      <c r="AS657" s="51"/>
      <c r="AT657" s="51"/>
      <c r="AU657" s="51"/>
      <c r="AV657" s="51"/>
      <c r="AW657" s="51"/>
      <c r="AX657" s="51"/>
      <c r="AY657" s="51"/>
      <c r="AZ657" s="51"/>
      <c r="BA657" s="51"/>
      <c r="BB657" s="51"/>
      <c r="BC657" s="51"/>
      <c r="BD657" s="51"/>
      <c r="BE657" s="51"/>
      <c r="BF657" s="51"/>
      <c r="BG657" s="51"/>
      <c r="BH657" s="51"/>
      <c r="BI657" s="51"/>
      <c r="BJ657" s="51"/>
      <c r="BK657" s="51"/>
      <c r="BL657" s="51"/>
      <c r="BM657" s="51"/>
      <c r="BN657" s="51"/>
      <c r="BO657" s="51"/>
      <c r="BP657" s="51"/>
      <c r="BQ657" s="51"/>
      <c r="BR657" s="9">
        <f>COUNT(V657:BQ657)</f>
        <v>1</v>
      </c>
      <c r="BT657" s="53" t="str">
        <f>Q657</f>
        <v>Tata 001</v>
      </c>
      <c r="BU657" s="25"/>
    </row>
    <row r="658" spans="1:90" ht="12.75" customHeight="1" x14ac:dyDescent="0.25">
      <c r="B658" s="23"/>
      <c r="C658" s="209" t="str">
        <f>HYPERLINK("https://sites.wustl.edu/meteoritesite/items/lm_tichiya_003/",Q658)</f>
        <v>Tichiya 003</v>
      </c>
      <c r="D658" s="210"/>
      <c r="E658" s="210"/>
      <c r="F658" s="211"/>
      <c r="G658" s="89">
        <v>2020</v>
      </c>
      <c r="H658" s="214" t="s">
        <v>189</v>
      </c>
      <c r="I658" s="215"/>
      <c r="J658" s="33">
        <v>861</v>
      </c>
      <c r="K658" s="212" t="s">
        <v>44</v>
      </c>
      <c r="L658" s="213"/>
      <c r="M658" s="32" t="s">
        <v>40</v>
      </c>
      <c r="N658" s="32" t="s">
        <v>40</v>
      </c>
      <c r="P658" s="125">
        <f>SUM(V658:BQ658)</f>
        <v>861</v>
      </c>
      <c r="Q658" s="54" t="s">
        <v>481</v>
      </c>
      <c r="R658" s="48"/>
      <c r="S658" s="49"/>
      <c r="T658" s="50">
        <f>J658-P658</f>
        <v>0</v>
      </c>
      <c r="V658" s="78">
        <v>861</v>
      </c>
      <c r="W658" s="51"/>
      <c r="X658" s="51"/>
      <c r="Y658" s="51"/>
      <c r="Z658" s="51"/>
      <c r="AA658" s="51"/>
      <c r="AB658" s="51"/>
      <c r="AC658" s="51"/>
      <c r="AD658" s="51"/>
      <c r="AE658" s="51"/>
      <c r="AF658" s="51"/>
      <c r="AG658" s="51"/>
      <c r="AH658" s="51"/>
      <c r="AI658" s="51"/>
      <c r="AJ658" s="51"/>
      <c r="AK658" s="51"/>
      <c r="AL658" s="51"/>
      <c r="AM658" s="51"/>
      <c r="AN658" s="51"/>
      <c r="AO658" s="51"/>
      <c r="AP658" s="51"/>
      <c r="AQ658" s="51"/>
      <c r="AR658" s="51"/>
      <c r="AS658" s="51"/>
      <c r="AT658" s="51"/>
      <c r="AU658" s="51"/>
      <c r="AV658" s="51"/>
      <c r="AW658" s="51"/>
      <c r="AX658" s="51"/>
      <c r="AY658" s="51"/>
      <c r="AZ658" s="51"/>
      <c r="BA658" s="51"/>
      <c r="BB658" s="51"/>
      <c r="BC658" s="51"/>
      <c r="BD658" s="51"/>
      <c r="BE658" s="51"/>
      <c r="BF658" s="51"/>
      <c r="BG658" s="51"/>
      <c r="BH658" s="51"/>
      <c r="BI658" s="51"/>
      <c r="BJ658" s="51"/>
      <c r="BK658" s="51"/>
      <c r="BL658" s="51"/>
      <c r="BM658" s="51"/>
      <c r="BN658" s="51"/>
      <c r="BO658" s="51"/>
      <c r="BP658" s="51"/>
      <c r="BQ658" s="51"/>
      <c r="BR658" s="9">
        <f>COUNT(V658:BQ658)</f>
        <v>1</v>
      </c>
      <c r="BT658" s="53" t="str">
        <f>Q658</f>
        <v>Tichiya 003</v>
      </c>
      <c r="BU658" s="25"/>
    </row>
    <row r="659" spans="1:90" ht="12.75" customHeight="1" x14ac:dyDescent="0.25">
      <c r="B659" s="23"/>
      <c r="C659" s="209" t="str">
        <f>HYPERLINK("https://sites.wustl.edu/meteoritesite/items/lm_tifariti_002/",Q659)</f>
        <v>Tifariti 002</v>
      </c>
      <c r="D659" s="210"/>
      <c r="E659" s="210"/>
      <c r="F659" s="211"/>
      <c r="G659" s="89">
        <v>2022</v>
      </c>
      <c r="H659" s="214" t="s">
        <v>396</v>
      </c>
      <c r="I659" s="215"/>
      <c r="J659" s="33">
        <v>5800</v>
      </c>
      <c r="K659" s="212" t="s">
        <v>44</v>
      </c>
      <c r="L659" s="213"/>
      <c r="M659" s="32" t="s">
        <v>40</v>
      </c>
      <c r="N659" s="32" t="s">
        <v>40</v>
      </c>
      <c r="P659" s="125">
        <f t="shared" ref="P659:P661" si="274">SUM(V659:BQ659)</f>
        <v>5800</v>
      </c>
      <c r="Q659" s="54" t="s">
        <v>604</v>
      </c>
      <c r="R659" s="48"/>
      <c r="S659" s="49"/>
      <c r="T659" s="50">
        <f t="shared" ref="T659:T661" si="275">J659-P659</f>
        <v>0</v>
      </c>
      <c r="V659" s="78">
        <v>5800</v>
      </c>
      <c r="W659" s="51"/>
      <c r="X659" s="51"/>
      <c r="Y659" s="51"/>
      <c r="Z659" s="51"/>
      <c r="AA659" s="51"/>
      <c r="AB659" s="51"/>
      <c r="AC659" s="51"/>
      <c r="AD659" s="51"/>
      <c r="AE659" s="51"/>
      <c r="AF659" s="51"/>
      <c r="AG659" s="51"/>
      <c r="AH659" s="51"/>
      <c r="AI659" s="51"/>
      <c r="AJ659" s="51"/>
      <c r="AK659" s="51"/>
      <c r="AL659" s="51"/>
      <c r="AM659" s="51"/>
      <c r="AN659" s="51"/>
      <c r="AO659" s="51"/>
      <c r="AP659" s="51"/>
      <c r="AQ659" s="51"/>
      <c r="AR659" s="51"/>
      <c r="AS659" s="51"/>
      <c r="AT659" s="51"/>
      <c r="AU659" s="51"/>
      <c r="AV659" s="51"/>
      <c r="AW659" s="51"/>
      <c r="AX659" s="51"/>
      <c r="AY659" s="51"/>
      <c r="AZ659" s="51"/>
      <c r="BA659" s="51"/>
      <c r="BB659" s="51"/>
      <c r="BC659" s="51"/>
      <c r="BD659" s="51"/>
      <c r="BE659" s="51"/>
      <c r="BF659" s="51"/>
      <c r="BG659" s="51"/>
      <c r="BH659" s="51"/>
      <c r="BI659" s="51"/>
      <c r="BJ659" s="51"/>
      <c r="BK659" s="51"/>
      <c r="BL659" s="51"/>
      <c r="BM659" s="51"/>
      <c r="BN659" s="51"/>
      <c r="BO659" s="51"/>
      <c r="BP659" s="51"/>
      <c r="BQ659" s="51"/>
      <c r="BR659" s="9">
        <f t="shared" ref="BR659:BR661" si="276">COUNT(V659:BQ659)</f>
        <v>1</v>
      </c>
      <c r="BT659" s="53" t="str">
        <f t="shared" ref="BT659:BT661" si="277">Q659</f>
        <v>Tifariti 002</v>
      </c>
      <c r="BU659" s="25"/>
    </row>
    <row r="660" spans="1:90" ht="12.75" customHeight="1" x14ac:dyDescent="0.25">
      <c r="B660" s="23"/>
      <c r="C660" s="209" t="str">
        <f>HYPERLINK("https://sites.wustl.edu/meteoritesite/items/lm_timetrine_001/",Q660)</f>
        <v>Timétrine 001</v>
      </c>
      <c r="D660" s="210"/>
      <c r="E660" s="210"/>
      <c r="F660" s="211"/>
      <c r="G660" s="89">
        <v>2024</v>
      </c>
      <c r="H660" s="214" t="s">
        <v>616</v>
      </c>
      <c r="I660" s="215"/>
      <c r="J660" s="31">
        <v>21500</v>
      </c>
      <c r="K660" s="212" t="s">
        <v>58</v>
      </c>
      <c r="L660" s="213"/>
      <c r="M660" s="32" t="s">
        <v>40</v>
      </c>
      <c r="N660" s="32" t="s">
        <v>40</v>
      </c>
      <c r="P660" s="125">
        <v>21500</v>
      </c>
      <c r="Q660" s="54" t="s">
        <v>854</v>
      </c>
      <c r="R660" s="48"/>
      <c r="S660" s="49"/>
      <c r="T660" s="50">
        <f t="shared" ref="T660" si="278">J660-P660</f>
        <v>0</v>
      </c>
      <c r="V660" s="78">
        <v>5800</v>
      </c>
      <c r="W660" s="51"/>
      <c r="X660" s="51"/>
      <c r="Y660" s="51"/>
      <c r="Z660" s="51"/>
      <c r="AA660" s="51"/>
      <c r="AB660" s="51"/>
      <c r="AC660" s="51"/>
      <c r="AD660" s="51"/>
      <c r="AE660" s="51"/>
      <c r="AF660" s="51"/>
      <c r="AG660" s="51"/>
      <c r="AH660" s="51"/>
      <c r="AI660" s="51"/>
      <c r="AJ660" s="51"/>
      <c r="AK660" s="51"/>
      <c r="AL660" s="51"/>
      <c r="AM660" s="51"/>
      <c r="AN660" s="51"/>
      <c r="AO660" s="51"/>
      <c r="AP660" s="51"/>
      <c r="AQ660" s="51"/>
      <c r="AR660" s="51"/>
      <c r="AS660" s="51"/>
      <c r="AT660" s="51"/>
      <c r="AU660" s="51"/>
      <c r="AV660" s="51"/>
      <c r="AW660" s="51"/>
      <c r="AX660" s="51"/>
      <c r="AY660" s="51"/>
      <c r="AZ660" s="51"/>
      <c r="BA660" s="51"/>
      <c r="BB660" s="51"/>
      <c r="BC660" s="51"/>
      <c r="BD660" s="51"/>
      <c r="BE660" s="51"/>
      <c r="BF660" s="51"/>
      <c r="BG660" s="51"/>
      <c r="BH660" s="51"/>
      <c r="BI660" s="51"/>
      <c r="BJ660" s="51"/>
      <c r="BK660" s="51"/>
      <c r="BL660" s="51"/>
      <c r="BM660" s="51"/>
      <c r="BN660" s="51"/>
      <c r="BO660" s="51"/>
      <c r="BP660" s="51"/>
      <c r="BQ660" s="51"/>
      <c r="BR660" s="9">
        <f t="shared" ref="BR660" si="279">COUNT(V660:BQ660)</f>
        <v>1</v>
      </c>
      <c r="BT660" s="53" t="str">
        <f t="shared" ref="BT660" si="280">Q660</f>
        <v>Timétrine 001</v>
      </c>
      <c r="BU660" s="25"/>
    </row>
    <row r="661" spans="1:90" ht="12.75" customHeight="1" x14ac:dyDescent="0.25">
      <c r="B661" s="23"/>
      <c r="C661" s="209" t="str">
        <f>HYPERLINK("https://sites.wustl.edu/meteoritesite/items/lm_te_004/",Q661)</f>
        <v>Tin-Essako 004</v>
      </c>
      <c r="D661" s="210"/>
      <c r="E661" s="210"/>
      <c r="F661" s="211"/>
      <c r="G661" s="89">
        <v>2024</v>
      </c>
      <c r="H661" s="214" t="s">
        <v>396</v>
      </c>
      <c r="I661" s="215"/>
      <c r="J661" s="33">
        <v>600</v>
      </c>
      <c r="K661" s="212" t="s">
        <v>58</v>
      </c>
      <c r="L661" s="213"/>
      <c r="M661" s="32" t="s">
        <v>40</v>
      </c>
      <c r="N661" s="32" t="s">
        <v>40</v>
      </c>
      <c r="P661" s="125">
        <f t="shared" si="274"/>
        <v>600</v>
      </c>
      <c r="Q661" s="54" t="s">
        <v>819</v>
      </c>
      <c r="R661" s="48"/>
      <c r="S661" s="49"/>
      <c r="T661" s="50">
        <f t="shared" si="275"/>
        <v>0</v>
      </c>
      <c r="V661" s="78">
        <v>600</v>
      </c>
      <c r="W661" s="51"/>
      <c r="X661" s="51"/>
      <c r="Y661" s="51"/>
      <c r="Z661" s="51"/>
      <c r="AA661" s="51"/>
      <c r="AB661" s="51"/>
      <c r="AC661" s="51"/>
      <c r="AD661" s="51"/>
      <c r="AE661" s="51"/>
      <c r="AF661" s="51"/>
      <c r="AG661" s="51"/>
      <c r="AH661" s="51"/>
      <c r="AI661" s="51"/>
      <c r="AJ661" s="51"/>
      <c r="AK661" s="51"/>
      <c r="AL661" s="51"/>
      <c r="AM661" s="51"/>
      <c r="AN661" s="51"/>
      <c r="AO661" s="51"/>
      <c r="AP661" s="51"/>
      <c r="AQ661" s="51"/>
      <c r="AR661" s="51"/>
      <c r="AS661" s="51"/>
      <c r="AT661" s="51"/>
      <c r="AU661" s="51"/>
      <c r="AV661" s="51"/>
      <c r="AW661" s="51"/>
      <c r="AX661" s="51"/>
      <c r="AY661" s="51"/>
      <c r="AZ661" s="51"/>
      <c r="BA661" s="51"/>
      <c r="BB661" s="51"/>
      <c r="BC661" s="51"/>
      <c r="BD661" s="51"/>
      <c r="BE661" s="51"/>
      <c r="BF661" s="51"/>
      <c r="BG661" s="51"/>
      <c r="BH661" s="51"/>
      <c r="BI661" s="51"/>
      <c r="BJ661" s="51"/>
      <c r="BK661" s="51"/>
      <c r="BL661" s="51"/>
      <c r="BM661" s="51"/>
      <c r="BN661" s="51"/>
      <c r="BO661" s="51"/>
      <c r="BP661" s="51"/>
      <c r="BQ661" s="51"/>
      <c r="BR661" s="9">
        <f t="shared" si="276"/>
        <v>1</v>
      </c>
      <c r="BT661" s="53" t="str">
        <f t="shared" si="277"/>
        <v>Tin-Essako 004</v>
      </c>
      <c r="BU661" s="25"/>
    </row>
    <row r="662" spans="1:90" ht="12.75" customHeight="1" x14ac:dyDescent="0.25">
      <c r="B662" s="23"/>
      <c r="C662" s="209" t="str">
        <f>HYPERLINK("https://sites.wustl.edu/meteoritesite/items/lm_tiris_001/",Q662)</f>
        <v>Tiris 001</v>
      </c>
      <c r="D662" s="210"/>
      <c r="E662" s="210"/>
      <c r="F662" s="211"/>
      <c r="G662" s="89">
        <v>2022</v>
      </c>
      <c r="H662" s="214" t="s">
        <v>396</v>
      </c>
      <c r="I662" s="215"/>
      <c r="J662" s="33">
        <v>107</v>
      </c>
      <c r="K662" s="212" t="s">
        <v>66</v>
      </c>
      <c r="L662" s="213"/>
      <c r="M662" s="32" t="s">
        <v>40</v>
      </c>
      <c r="N662" s="32" t="s">
        <v>40</v>
      </c>
      <c r="P662" s="125">
        <f t="shared" si="164"/>
        <v>107</v>
      </c>
      <c r="Q662" s="54" t="s">
        <v>684</v>
      </c>
      <c r="R662" s="48"/>
      <c r="S662" s="49"/>
      <c r="T662" s="50">
        <f t="shared" ref="T662" si="281">J662-P662</f>
        <v>0</v>
      </c>
      <c r="V662" s="78">
        <v>107</v>
      </c>
      <c r="W662" s="51"/>
      <c r="X662" s="51"/>
      <c r="Y662" s="51"/>
      <c r="Z662" s="51"/>
      <c r="AA662" s="51"/>
      <c r="AB662" s="51"/>
      <c r="AC662" s="51"/>
      <c r="AD662" s="51"/>
      <c r="AE662" s="51"/>
      <c r="AF662" s="51"/>
      <c r="AG662" s="51"/>
      <c r="AH662" s="51"/>
      <c r="AI662" s="51"/>
      <c r="AJ662" s="51"/>
      <c r="AK662" s="51"/>
      <c r="AL662" s="51"/>
      <c r="AM662" s="51"/>
      <c r="AN662" s="51"/>
      <c r="AO662" s="51"/>
      <c r="AP662" s="51"/>
      <c r="AQ662" s="51"/>
      <c r="AR662" s="51"/>
      <c r="AS662" s="51"/>
      <c r="AT662" s="51"/>
      <c r="AU662" s="51"/>
      <c r="AV662" s="51"/>
      <c r="AW662" s="51"/>
      <c r="AX662" s="51"/>
      <c r="AY662" s="51"/>
      <c r="AZ662" s="51"/>
      <c r="BA662" s="51"/>
      <c r="BB662" s="51"/>
      <c r="BC662" s="51"/>
      <c r="BD662" s="51"/>
      <c r="BE662" s="51"/>
      <c r="BF662" s="51"/>
      <c r="BG662" s="51"/>
      <c r="BH662" s="51"/>
      <c r="BI662" s="51"/>
      <c r="BJ662" s="51"/>
      <c r="BK662" s="51"/>
      <c r="BL662" s="51"/>
      <c r="BM662" s="51"/>
      <c r="BN662" s="51"/>
      <c r="BO662" s="51"/>
      <c r="BP662" s="51"/>
      <c r="BQ662" s="51"/>
      <c r="BR662" s="9">
        <f t="shared" ref="BR662" si="282">COUNT(V662:BQ662)</f>
        <v>1</v>
      </c>
      <c r="BT662" s="53" t="str">
        <f t="shared" ref="BT662" si="283">Q662</f>
        <v>Tiris 001</v>
      </c>
      <c r="BU662" s="25"/>
    </row>
    <row r="663" spans="1:90" ht="12.75" customHeight="1" x14ac:dyDescent="0.25">
      <c r="B663" s="23"/>
      <c r="C663" s="209" t="str">
        <f>HYPERLINK("https://sites.wustl.edu/meteoritesite/items/lm_tisserlitine_001/",Q663)</f>
        <v>Tisserlitine 001/ Northwest Africa 13621</v>
      </c>
      <c r="D663" s="210"/>
      <c r="E663" s="210"/>
      <c r="F663" s="211"/>
      <c r="G663" s="89" t="s">
        <v>451</v>
      </c>
      <c r="H663" s="214" t="s">
        <v>396</v>
      </c>
      <c r="I663" s="215"/>
      <c r="J663" s="31">
        <v>59018</v>
      </c>
      <c r="K663" s="212" t="s">
        <v>58</v>
      </c>
      <c r="L663" s="213"/>
      <c r="M663" s="32" t="s">
        <v>40</v>
      </c>
      <c r="N663" s="32" t="s">
        <v>40</v>
      </c>
      <c r="P663" s="125">
        <f t="shared" si="164"/>
        <v>59018</v>
      </c>
      <c r="Q663" s="54" t="s">
        <v>450</v>
      </c>
      <c r="R663" s="48"/>
      <c r="S663" s="49"/>
      <c r="T663" s="50">
        <f t="shared" si="139"/>
        <v>0</v>
      </c>
      <c r="V663" s="51">
        <v>57410</v>
      </c>
      <c r="W663" s="51">
        <v>1608</v>
      </c>
      <c r="X663" s="51"/>
      <c r="Y663" s="51"/>
      <c r="Z663" s="51"/>
      <c r="AA663" s="51"/>
      <c r="AB663" s="51"/>
      <c r="AC663" s="51"/>
      <c r="AD663" s="51"/>
      <c r="AE663" s="51"/>
      <c r="AF663" s="51"/>
      <c r="AG663" s="51"/>
      <c r="AH663" s="51"/>
      <c r="AI663" s="51"/>
      <c r="AJ663" s="51"/>
      <c r="AK663" s="51"/>
      <c r="AL663" s="51"/>
      <c r="AM663" s="51"/>
      <c r="AN663" s="51"/>
      <c r="AO663" s="51"/>
      <c r="AP663" s="51"/>
      <c r="AQ663" s="51"/>
      <c r="AR663" s="51"/>
      <c r="AS663" s="51"/>
      <c r="AT663" s="51"/>
      <c r="AU663" s="51"/>
      <c r="AV663" s="51"/>
      <c r="AW663" s="51"/>
      <c r="AX663" s="51"/>
      <c r="AY663" s="51"/>
      <c r="AZ663" s="51"/>
      <c r="BA663" s="51"/>
      <c r="BB663" s="51"/>
      <c r="BC663" s="51"/>
      <c r="BD663" s="51"/>
      <c r="BE663" s="51"/>
      <c r="BF663" s="51"/>
      <c r="BG663" s="51"/>
      <c r="BH663" s="51"/>
      <c r="BI663" s="51"/>
      <c r="BJ663" s="51"/>
      <c r="BK663" s="51"/>
      <c r="BL663" s="51"/>
      <c r="BM663" s="51"/>
      <c r="BN663" s="51"/>
      <c r="BO663" s="51"/>
      <c r="BP663" s="51"/>
      <c r="BQ663" s="51"/>
      <c r="BR663" s="9">
        <f t="shared" si="137"/>
        <v>2</v>
      </c>
      <c r="BT663" s="53" t="str">
        <f t="shared" si="138"/>
        <v>Tisserlitine 001/ Northwest Africa 13621</v>
      </c>
      <c r="BU663" s="25"/>
    </row>
    <row r="664" spans="1:90" ht="12.75" customHeight="1" x14ac:dyDescent="0.25">
      <c r="B664" s="23"/>
      <c r="C664" s="209" t="str">
        <f>HYPERLINK("https://sites.wustl.edu/meteoritesite/items/lm_tisserlitine_003/",Q664)</f>
        <v>Tisserlitine 003/ 005/ 006</v>
      </c>
      <c r="D664" s="210"/>
      <c r="E664" s="210"/>
      <c r="F664" s="211"/>
      <c r="G664" s="89">
        <v>2023</v>
      </c>
      <c r="H664" s="214" t="s">
        <v>396</v>
      </c>
      <c r="I664" s="215"/>
      <c r="J664" s="31">
        <v>53100</v>
      </c>
      <c r="K664" s="212" t="s">
        <v>58</v>
      </c>
      <c r="L664" s="213"/>
      <c r="M664" s="32" t="s">
        <v>40</v>
      </c>
      <c r="N664" s="32" t="s">
        <v>40</v>
      </c>
      <c r="P664" s="125">
        <f t="shared" ref="P664" si="284">SUM(V664:BQ664)</f>
        <v>53100</v>
      </c>
      <c r="Q664" s="54" t="s">
        <v>830</v>
      </c>
      <c r="R664" s="48"/>
      <c r="S664" s="49"/>
      <c r="T664" s="50">
        <f t="shared" ref="T664" si="285">J664-P664</f>
        <v>0</v>
      </c>
      <c r="V664" s="51">
        <v>24000</v>
      </c>
      <c r="W664" s="51">
        <v>16700</v>
      </c>
      <c r="X664" s="51">
        <v>12400</v>
      </c>
      <c r="Y664" s="51"/>
      <c r="Z664" s="51"/>
      <c r="AA664" s="51"/>
      <c r="AB664" s="51"/>
      <c r="AC664" s="51"/>
      <c r="AD664" s="51"/>
      <c r="AE664" s="51"/>
      <c r="AF664" s="51"/>
      <c r="AG664" s="51"/>
      <c r="AH664" s="51"/>
      <c r="AI664" s="51"/>
      <c r="AJ664" s="51"/>
      <c r="AK664" s="51"/>
      <c r="AL664" s="51"/>
      <c r="AM664" s="51"/>
      <c r="AN664" s="51"/>
      <c r="AO664" s="51"/>
      <c r="AP664" s="51"/>
      <c r="AQ664" s="51"/>
      <c r="AR664" s="51"/>
      <c r="AS664" s="51"/>
      <c r="AT664" s="51"/>
      <c r="AU664" s="51"/>
      <c r="AV664" s="51"/>
      <c r="AW664" s="51"/>
      <c r="AX664" s="51"/>
      <c r="AY664" s="51"/>
      <c r="AZ664" s="51"/>
      <c r="BA664" s="51"/>
      <c r="BB664" s="51"/>
      <c r="BC664" s="51"/>
      <c r="BD664" s="51"/>
      <c r="BE664" s="51"/>
      <c r="BF664" s="51"/>
      <c r="BG664" s="51"/>
      <c r="BH664" s="51"/>
      <c r="BI664" s="51"/>
      <c r="BJ664" s="51"/>
      <c r="BK664" s="51"/>
      <c r="BL664" s="51"/>
      <c r="BM664" s="51"/>
      <c r="BN664" s="51"/>
      <c r="BO664" s="51"/>
      <c r="BP664" s="51"/>
      <c r="BQ664" s="51"/>
      <c r="BR664" s="9">
        <f t="shared" ref="BR664" si="286">COUNT(V664:BQ664)</f>
        <v>3</v>
      </c>
      <c r="BT664" s="53" t="str">
        <f t="shared" ref="BT664" si="287">Q664</f>
        <v>Tisserlitine 003/ 005/ 006</v>
      </c>
      <c r="BU664" s="25"/>
    </row>
    <row r="665" spans="1:90" ht="12.75" customHeight="1" x14ac:dyDescent="0.25">
      <c r="B665" s="23"/>
      <c r="C665" s="209" t="str">
        <f>HYPERLINK("https://sites.wustl.edu/meteoritesite/items/lm_touat_004/",Q665)</f>
        <v>Touat 004</v>
      </c>
      <c r="D665" s="210"/>
      <c r="E665" s="210"/>
      <c r="F665" s="211"/>
      <c r="G665" s="89">
        <v>2019</v>
      </c>
      <c r="H665" s="214" t="s">
        <v>616</v>
      </c>
      <c r="I665" s="215"/>
      <c r="J665" s="32">
        <v>345</v>
      </c>
      <c r="K665" s="212" t="s">
        <v>66</v>
      </c>
      <c r="L665" s="213"/>
      <c r="M665" s="32" t="s">
        <v>40</v>
      </c>
      <c r="N665" s="32" t="s">
        <v>40</v>
      </c>
      <c r="P665" s="125">
        <f t="shared" si="164"/>
        <v>345</v>
      </c>
      <c r="Q665" s="54" t="s">
        <v>438</v>
      </c>
      <c r="R665" s="48"/>
      <c r="S665" s="49"/>
      <c r="T665" s="50">
        <f t="shared" si="139"/>
        <v>0</v>
      </c>
      <c r="V665" s="77">
        <v>345</v>
      </c>
      <c r="W665" s="51"/>
      <c r="X665" s="51"/>
      <c r="Y665" s="51"/>
      <c r="Z665" s="51"/>
      <c r="AA665" s="51"/>
      <c r="AB665" s="51"/>
      <c r="AC665" s="51"/>
      <c r="AD665" s="51"/>
      <c r="AE665" s="51"/>
      <c r="AF665" s="51"/>
      <c r="AG665" s="51"/>
      <c r="AH665" s="51"/>
      <c r="AI665" s="51"/>
      <c r="AJ665" s="51"/>
      <c r="AK665" s="51"/>
      <c r="AL665" s="51"/>
      <c r="AM665" s="51"/>
      <c r="AN665" s="51"/>
      <c r="AO665" s="51"/>
      <c r="AP665" s="51"/>
      <c r="AQ665" s="51"/>
      <c r="AR665" s="51"/>
      <c r="AS665" s="51"/>
      <c r="AT665" s="51"/>
      <c r="AU665" s="51"/>
      <c r="AV665" s="51"/>
      <c r="AW665" s="51"/>
      <c r="AX665" s="51"/>
      <c r="AY665" s="51"/>
      <c r="AZ665" s="51"/>
      <c r="BA665" s="51"/>
      <c r="BB665" s="51"/>
      <c r="BC665" s="51"/>
      <c r="BD665" s="51"/>
      <c r="BE665" s="51"/>
      <c r="BF665" s="51"/>
      <c r="BG665" s="51"/>
      <c r="BH665" s="51"/>
      <c r="BI665" s="51"/>
      <c r="BJ665" s="51"/>
      <c r="BK665" s="51"/>
      <c r="BL665" s="51"/>
      <c r="BM665" s="51"/>
      <c r="BN665" s="51"/>
      <c r="BO665" s="51"/>
      <c r="BP665" s="51"/>
      <c r="BQ665" s="51"/>
      <c r="BR665" s="9">
        <f t="shared" ref="BR665:BR669" si="288">COUNT(V665:BQ665)</f>
        <v>1</v>
      </c>
      <c r="BT665" s="53" t="str">
        <f t="shared" ref="BT665:BT669" si="289">Q665</f>
        <v>Touat 004</v>
      </c>
      <c r="BU665" s="25"/>
    </row>
    <row r="666" spans="1:90" ht="12.75" customHeight="1" x14ac:dyDescent="0.25">
      <c r="B666" s="23"/>
      <c r="C666" s="209" t="str">
        <f>HYPERLINK("https://sites.wustl.edu/meteoritesite/items/lm_touat_004/",Q666)</f>
        <v>Touat 005</v>
      </c>
      <c r="D666" s="210"/>
      <c r="E666" s="210"/>
      <c r="F666" s="211"/>
      <c r="G666" s="89">
        <v>2020</v>
      </c>
      <c r="H666" s="214" t="s">
        <v>38</v>
      </c>
      <c r="I666" s="215"/>
      <c r="J666" s="33">
        <v>3710</v>
      </c>
      <c r="K666" s="212" t="s">
        <v>66</v>
      </c>
      <c r="L666" s="213"/>
      <c r="M666" s="32" t="s">
        <v>448</v>
      </c>
      <c r="N666" s="32" t="s">
        <v>40</v>
      </c>
      <c r="P666" s="125">
        <f t="shared" si="164"/>
        <v>3710</v>
      </c>
      <c r="Q666" s="54" t="s">
        <v>445</v>
      </c>
      <c r="R666" s="48"/>
      <c r="S666" s="49"/>
      <c r="T666" s="50">
        <f t="shared" si="139"/>
        <v>0</v>
      </c>
      <c r="V666" s="78">
        <v>3710</v>
      </c>
      <c r="W666" s="51"/>
      <c r="X666" s="51"/>
      <c r="Y666" s="51"/>
      <c r="Z666" s="51"/>
      <c r="AA666" s="51"/>
      <c r="AB666" s="51"/>
      <c r="AC666" s="51"/>
      <c r="AD666" s="51"/>
      <c r="AE666" s="51"/>
      <c r="AF666" s="51"/>
      <c r="AG666" s="51"/>
      <c r="AH666" s="51"/>
      <c r="AI666" s="51"/>
      <c r="AJ666" s="51"/>
      <c r="AK666" s="51"/>
      <c r="AL666" s="51"/>
      <c r="AM666" s="51"/>
      <c r="AN666" s="51"/>
      <c r="AO666" s="51"/>
      <c r="AP666" s="51"/>
      <c r="AQ666" s="51"/>
      <c r="AR666" s="51"/>
      <c r="AS666" s="51"/>
      <c r="AT666" s="51"/>
      <c r="AU666" s="51"/>
      <c r="AV666" s="51"/>
      <c r="AW666" s="51"/>
      <c r="AX666" s="51"/>
      <c r="AY666" s="51"/>
      <c r="AZ666" s="51"/>
      <c r="BA666" s="51"/>
      <c r="BB666" s="51"/>
      <c r="BC666" s="51"/>
      <c r="BD666" s="51"/>
      <c r="BE666" s="51"/>
      <c r="BF666" s="51"/>
      <c r="BG666" s="51"/>
      <c r="BH666" s="51"/>
      <c r="BI666" s="51"/>
      <c r="BJ666" s="51"/>
      <c r="BK666" s="51"/>
      <c r="BL666" s="51"/>
      <c r="BM666" s="51"/>
      <c r="BN666" s="51"/>
      <c r="BO666" s="51"/>
      <c r="BP666" s="51"/>
      <c r="BQ666" s="51"/>
      <c r="BR666" s="9">
        <f t="shared" si="288"/>
        <v>1</v>
      </c>
      <c r="BT666" s="53" t="str">
        <f t="shared" si="289"/>
        <v>Touat 005</v>
      </c>
      <c r="BU666" s="25"/>
    </row>
    <row r="667" spans="1:90" ht="12.75" customHeight="1" x14ac:dyDescent="0.25">
      <c r="B667" s="23"/>
      <c r="C667" s="209" t="str">
        <f>HYPERLINK("https://sites.wustl.edu/meteoritesite/items/lm_touat_004/",Q667)</f>
        <v>Touat 008</v>
      </c>
      <c r="D667" s="210"/>
      <c r="E667" s="210"/>
      <c r="F667" s="211"/>
      <c r="G667" s="89">
        <v>2023</v>
      </c>
      <c r="H667" s="214" t="s">
        <v>616</v>
      </c>
      <c r="I667" s="215"/>
      <c r="J667" s="33">
        <v>2955</v>
      </c>
      <c r="K667" s="212" t="s">
        <v>66</v>
      </c>
      <c r="L667" s="213"/>
      <c r="M667" s="32" t="s">
        <v>40</v>
      </c>
      <c r="N667" s="32" t="s">
        <v>40</v>
      </c>
      <c r="P667" s="125">
        <f t="shared" si="164"/>
        <v>2955</v>
      </c>
      <c r="Q667" s="54" t="s">
        <v>705</v>
      </c>
      <c r="R667" s="48"/>
      <c r="S667" s="49"/>
      <c r="T667" s="50">
        <f t="shared" ref="T667" si="290">J667-P667</f>
        <v>0</v>
      </c>
      <c r="V667" s="78">
        <v>2955</v>
      </c>
      <c r="W667" s="51"/>
      <c r="X667" s="51"/>
      <c r="Y667" s="51"/>
      <c r="Z667" s="51"/>
      <c r="AA667" s="51"/>
      <c r="AB667" s="51"/>
      <c r="AC667" s="51"/>
      <c r="AD667" s="51"/>
      <c r="AE667" s="51"/>
      <c r="AF667" s="51"/>
      <c r="AG667" s="51"/>
      <c r="AH667" s="51"/>
      <c r="AI667" s="51"/>
      <c r="AJ667" s="51"/>
      <c r="AK667" s="51"/>
      <c r="AL667" s="51"/>
      <c r="AM667" s="51"/>
      <c r="AN667" s="51"/>
      <c r="AO667" s="51"/>
      <c r="AP667" s="51"/>
      <c r="AQ667" s="51"/>
      <c r="AR667" s="51"/>
      <c r="AS667" s="51"/>
      <c r="AT667" s="51"/>
      <c r="AU667" s="51"/>
      <c r="AV667" s="51"/>
      <c r="AW667" s="51"/>
      <c r="AX667" s="51"/>
      <c r="AY667" s="51"/>
      <c r="AZ667" s="51"/>
      <c r="BA667" s="51"/>
      <c r="BB667" s="51"/>
      <c r="BC667" s="51"/>
      <c r="BD667" s="51"/>
      <c r="BE667" s="51"/>
      <c r="BF667" s="51"/>
      <c r="BG667" s="51"/>
      <c r="BH667" s="51"/>
      <c r="BI667" s="51"/>
      <c r="BJ667" s="51"/>
      <c r="BK667" s="51"/>
      <c r="BL667" s="51"/>
      <c r="BM667" s="51"/>
      <c r="BN667" s="51"/>
      <c r="BO667" s="51"/>
      <c r="BP667" s="51"/>
      <c r="BQ667" s="51"/>
      <c r="BR667" s="9">
        <f t="shared" ref="BR667" si="291">COUNT(V667:BQ667)</f>
        <v>1</v>
      </c>
      <c r="BT667" s="53" t="str">
        <f t="shared" ref="BT667" si="292">Q667</f>
        <v>Touat 008</v>
      </c>
      <c r="BU667" s="25"/>
    </row>
    <row r="668" spans="1:90" ht="12.75" customHeight="1" x14ac:dyDescent="0.25">
      <c r="B668" s="23"/>
      <c r="C668" s="209" t="str">
        <f>HYPERLINK("https://sites.wustl.edu/meteoritesite/items/lm_touat_004/",Q668)</f>
        <v>Touat 011</v>
      </c>
      <c r="D668" s="210"/>
      <c r="E668" s="210"/>
      <c r="F668" s="211"/>
      <c r="G668" s="89">
        <v>2025</v>
      </c>
      <c r="H668" s="214" t="s">
        <v>616</v>
      </c>
      <c r="I668" s="215"/>
      <c r="J668" s="33">
        <v>50</v>
      </c>
      <c r="K668" s="212" t="s">
        <v>66</v>
      </c>
      <c r="L668" s="213"/>
      <c r="M668" s="32" t="s">
        <v>40</v>
      </c>
      <c r="N668" s="32" t="s">
        <v>40</v>
      </c>
      <c r="P668" s="125">
        <f t="shared" si="164"/>
        <v>50</v>
      </c>
      <c r="Q668" s="54" t="s">
        <v>855</v>
      </c>
      <c r="R668" s="48"/>
      <c r="S668" s="49"/>
      <c r="T668" s="50">
        <f t="shared" ref="T668" si="293">J668-P668</f>
        <v>0</v>
      </c>
      <c r="V668" s="78">
        <v>50</v>
      </c>
      <c r="W668" s="51"/>
      <c r="X668" s="51"/>
      <c r="Y668" s="51"/>
      <c r="Z668" s="51"/>
      <c r="AA668" s="51"/>
      <c r="AB668" s="51"/>
      <c r="AC668" s="51"/>
      <c r="AD668" s="51"/>
      <c r="AE668" s="51"/>
      <c r="AF668" s="51"/>
      <c r="AG668" s="51"/>
      <c r="AH668" s="51"/>
      <c r="AI668" s="51"/>
      <c r="AJ668" s="51"/>
      <c r="AK668" s="51"/>
      <c r="AL668" s="51"/>
      <c r="AM668" s="51"/>
      <c r="AN668" s="51"/>
      <c r="AO668" s="51"/>
      <c r="AP668" s="51"/>
      <c r="AQ668" s="51"/>
      <c r="AR668" s="51"/>
      <c r="AS668" s="51"/>
      <c r="AT668" s="51"/>
      <c r="AU668" s="51"/>
      <c r="AV668" s="51"/>
      <c r="AW668" s="51"/>
      <c r="AX668" s="51"/>
      <c r="AY668" s="51"/>
      <c r="AZ668" s="51"/>
      <c r="BA668" s="51"/>
      <c r="BB668" s="51"/>
      <c r="BC668" s="51"/>
      <c r="BD668" s="51"/>
      <c r="BE668" s="51"/>
      <c r="BF668" s="51"/>
      <c r="BG668" s="51"/>
      <c r="BH668" s="51"/>
      <c r="BI668" s="51"/>
      <c r="BJ668" s="51"/>
      <c r="BK668" s="51"/>
      <c r="BL668" s="51"/>
      <c r="BM668" s="51"/>
      <c r="BN668" s="51"/>
      <c r="BO668" s="51"/>
      <c r="BP668" s="51"/>
      <c r="BQ668" s="51"/>
      <c r="BR668" s="9">
        <f t="shared" ref="BR668" si="294">COUNT(V668:BQ668)</f>
        <v>1</v>
      </c>
      <c r="BT668" s="53" t="str">
        <f t="shared" ref="BT668" si="295">Q668</f>
        <v>Touat 011</v>
      </c>
      <c r="BU668" s="25"/>
    </row>
    <row r="669" spans="1:90" ht="12.75" customHeight="1" x14ac:dyDescent="0.25">
      <c r="B669" s="23"/>
      <c r="C669" s="209"/>
      <c r="D669" s="210"/>
      <c r="E669" s="210"/>
      <c r="F669" s="211"/>
      <c r="G669" s="89"/>
      <c r="H669" s="214"/>
      <c r="I669" s="215"/>
      <c r="J669" s="33"/>
      <c r="K669" s="212"/>
      <c r="L669" s="213"/>
      <c r="M669" s="32"/>
      <c r="N669" s="32"/>
      <c r="P669" s="125"/>
      <c r="Q669" s="54"/>
      <c r="R669" s="48"/>
      <c r="S669" s="49"/>
      <c r="V669" s="51"/>
      <c r="W669" s="51"/>
      <c r="X669" s="51"/>
      <c r="Y669" s="51"/>
      <c r="Z669" s="51"/>
      <c r="AA669" s="51"/>
      <c r="AB669" s="51"/>
      <c r="AC669" s="51"/>
      <c r="AD669" s="51"/>
      <c r="AE669" s="51"/>
      <c r="AF669" s="51"/>
      <c r="AG669" s="51"/>
      <c r="AH669" s="51"/>
      <c r="AI669" s="51"/>
      <c r="AJ669" s="51"/>
      <c r="AK669" s="51"/>
      <c r="AL669" s="51"/>
      <c r="AM669" s="51"/>
      <c r="AN669" s="51"/>
      <c r="AO669" s="51"/>
      <c r="AP669" s="51"/>
      <c r="AQ669" s="51"/>
      <c r="AR669" s="51"/>
      <c r="AS669" s="51"/>
      <c r="AT669" s="51"/>
      <c r="AU669" s="51"/>
      <c r="AV669" s="51"/>
      <c r="AW669" s="51"/>
      <c r="AX669" s="51"/>
      <c r="AY669" s="51"/>
      <c r="AZ669" s="51"/>
      <c r="BA669" s="51"/>
      <c r="BB669" s="51"/>
      <c r="BC669" s="51"/>
      <c r="BD669" s="51"/>
      <c r="BE669" s="51"/>
      <c r="BF669" s="51"/>
      <c r="BG669" s="51"/>
      <c r="BH669" s="51"/>
      <c r="BI669" s="51"/>
      <c r="BJ669" s="51"/>
      <c r="BK669" s="51"/>
      <c r="BL669" s="51"/>
      <c r="BM669" s="51"/>
      <c r="BN669" s="51"/>
      <c r="BO669" s="51"/>
      <c r="BP669" s="51"/>
      <c r="BQ669" s="51"/>
      <c r="BR669" s="9">
        <f t="shared" si="288"/>
        <v>0</v>
      </c>
      <c r="BT669" s="53">
        <f t="shared" si="289"/>
        <v>0</v>
      </c>
      <c r="BU669" s="25"/>
    </row>
    <row r="670" spans="1:90" ht="12.75" customHeight="1" x14ac:dyDescent="0.25">
      <c r="B670" s="243" t="s">
        <v>28</v>
      </c>
      <c r="C670" s="230" t="s">
        <v>29</v>
      </c>
      <c r="D670" s="231"/>
      <c r="E670" s="231"/>
      <c r="F670" s="232"/>
      <c r="G670" s="241" t="s">
        <v>282</v>
      </c>
      <c r="H670" s="219" t="s">
        <v>249</v>
      </c>
      <c r="I670" s="220"/>
      <c r="J670" s="241" t="s">
        <v>30</v>
      </c>
      <c r="K670" s="219" t="s">
        <v>31</v>
      </c>
      <c r="L670" s="220"/>
      <c r="M670" s="223" t="s">
        <v>245</v>
      </c>
      <c r="N670" s="225" t="s">
        <v>32</v>
      </c>
      <c r="Q670" s="15"/>
      <c r="V670" s="15"/>
      <c r="W670" s="15"/>
      <c r="X670" s="15"/>
      <c r="Y670" s="15"/>
      <c r="Z670" s="15"/>
      <c r="AA670" s="15"/>
      <c r="AB670" s="15"/>
      <c r="AC670" s="15"/>
      <c r="AD670" s="15"/>
      <c r="AE670" s="15"/>
      <c r="AF670" s="15"/>
      <c r="AG670" s="15"/>
      <c r="AH670" s="15"/>
      <c r="AI670" s="15"/>
      <c r="AJ670" s="15"/>
      <c r="AK670" s="15"/>
      <c r="AL670" s="15"/>
      <c r="AM670" s="15"/>
      <c r="AN670" s="15"/>
      <c r="AO670" s="15"/>
      <c r="AP670" s="15"/>
      <c r="AQ670" s="15"/>
      <c r="AR670" s="15"/>
      <c r="AS670" s="15"/>
      <c r="AT670" s="15"/>
      <c r="AU670" s="15"/>
      <c r="AV670" s="15"/>
      <c r="AW670" s="15"/>
      <c r="AX670" s="15"/>
      <c r="AY670" s="15"/>
      <c r="AZ670" s="15"/>
      <c r="BA670" s="15"/>
      <c r="BB670" s="15"/>
      <c r="BC670" s="15"/>
      <c r="BD670" s="15"/>
      <c r="BE670" s="15"/>
      <c r="BF670" s="15"/>
      <c r="BG670" s="15"/>
      <c r="BH670" s="15"/>
      <c r="BI670" s="15"/>
      <c r="BJ670" s="15"/>
      <c r="BK670" s="15"/>
      <c r="BL670" s="15"/>
      <c r="BM670" s="15"/>
      <c r="BN670" s="15"/>
      <c r="BO670" s="15"/>
      <c r="BP670" s="15"/>
      <c r="BQ670" s="15"/>
      <c r="BR670" s="15"/>
      <c r="BS670" s="15"/>
      <c r="BT670" s="15"/>
    </row>
    <row r="671" spans="1:90" ht="12.75" customHeight="1" x14ac:dyDescent="0.25">
      <c r="B671" s="229"/>
      <c r="C671" s="233"/>
      <c r="D671" s="234"/>
      <c r="E671" s="234"/>
      <c r="F671" s="235"/>
      <c r="G671" s="242"/>
      <c r="H671" s="221"/>
      <c r="I671" s="222"/>
      <c r="J671" s="242"/>
      <c r="K671" s="221"/>
      <c r="L671" s="222"/>
      <c r="M671" s="224"/>
      <c r="N671" s="226"/>
      <c r="Q671" s="15"/>
      <c r="V671" s="15"/>
      <c r="W671" s="15"/>
      <c r="X671" s="15"/>
      <c r="Y671" s="15"/>
      <c r="Z671" s="15"/>
      <c r="AA671" s="15"/>
      <c r="AB671" s="15"/>
      <c r="AC671" s="15"/>
      <c r="AD671" s="15"/>
      <c r="AE671" s="15"/>
      <c r="AF671" s="15"/>
      <c r="AG671" s="15"/>
      <c r="AH671" s="15"/>
      <c r="AI671" s="15"/>
      <c r="AJ671" s="15"/>
      <c r="AK671" s="15"/>
      <c r="AL671" s="15"/>
      <c r="AM671" s="15"/>
      <c r="AN671" s="15"/>
      <c r="AO671" s="15"/>
      <c r="AP671" s="15"/>
      <c r="AQ671" s="15"/>
      <c r="AR671" s="15"/>
      <c r="AS671" s="15"/>
      <c r="AT671" s="15"/>
      <c r="AU671" s="15"/>
      <c r="AV671" s="15"/>
      <c r="AW671" s="15"/>
      <c r="AX671" s="15"/>
      <c r="AY671" s="15"/>
      <c r="AZ671" s="15"/>
      <c r="BA671" s="15"/>
      <c r="BB671" s="15"/>
      <c r="BC671" s="15"/>
      <c r="BD671" s="15"/>
      <c r="BE671" s="15"/>
      <c r="BF671" s="15"/>
      <c r="BG671" s="15"/>
      <c r="BH671" s="15"/>
      <c r="BI671" s="15"/>
      <c r="BJ671" s="15"/>
      <c r="BK671" s="15"/>
      <c r="BL671" s="15"/>
      <c r="BM671" s="15"/>
      <c r="BN671" s="15"/>
      <c r="BO671" s="15"/>
      <c r="BP671" s="15"/>
      <c r="BQ671" s="15"/>
      <c r="BR671" s="15"/>
      <c r="BS671" s="15"/>
      <c r="BT671" s="15"/>
    </row>
    <row r="672" spans="1:90" s="8" customFormat="1" ht="12.75" customHeight="1" x14ac:dyDescent="0.25">
      <c r="A672"/>
      <c r="B672" s="58"/>
      <c r="C672" s="58"/>
      <c r="D672" s="58"/>
      <c r="E672" s="58"/>
      <c r="F672" s="58"/>
      <c r="G672" s="252" t="s">
        <v>122</v>
      </c>
      <c r="H672" s="253"/>
      <c r="I672" s="22">
        <f>P672/1000</f>
        <v>1956.5818720000002</v>
      </c>
      <c r="J672" s="21">
        <f>I672/M672</f>
        <v>7.3675973035684565</v>
      </c>
      <c r="K672" s="254" t="s">
        <v>244</v>
      </c>
      <c r="L672" s="255"/>
      <c r="M672" s="59">
        <v>265.56580000000002</v>
      </c>
      <c r="N672" s="60"/>
      <c r="O672" s="15"/>
      <c r="P672" s="161">
        <f>SUM(P128:P669)</f>
        <v>1956581.8720000002</v>
      </c>
      <c r="R672" s="48"/>
      <c r="S672" s="49"/>
      <c r="T672" s="132">
        <f>SUM(T129:T669)</f>
        <v>0</v>
      </c>
      <c r="U672" s="53"/>
      <c r="V672" s="157">
        <f>SUM(V128:V669)</f>
        <v>1377457.281</v>
      </c>
      <c r="W672" s="15"/>
      <c r="X672" s="15"/>
      <c r="Y672" s="15"/>
      <c r="Z672" s="15"/>
      <c r="AA672" s="15"/>
      <c r="AB672" s="15"/>
      <c r="AC672" s="15"/>
      <c r="AD672" s="15"/>
      <c r="AE672" s="15"/>
      <c r="AF672" s="15"/>
      <c r="AG672" s="15"/>
      <c r="AH672" s="15"/>
      <c r="AI672" s="15"/>
      <c r="AJ672" s="15"/>
      <c r="AK672" s="15"/>
      <c r="AL672" s="15"/>
      <c r="AM672" s="15"/>
      <c r="AN672" s="15"/>
      <c r="AO672" s="15"/>
      <c r="AP672" s="15"/>
      <c r="AQ672" s="15"/>
      <c r="AR672" s="15"/>
      <c r="AS672" s="15"/>
      <c r="AT672" s="15"/>
      <c r="AU672" s="15"/>
      <c r="AV672" s="15"/>
      <c r="AW672" s="15"/>
      <c r="AX672" s="15"/>
      <c r="AY672" s="15"/>
      <c r="AZ672" s="15"/>
      <c r="BA672" s="15"/>
      <c r="BB672" s="15"/>
      <c r="BC672" s="15"/>
      <c r="BD672" s="15"/>
      <c r="BE672" s="15"/>
      <c r="BF672" s="15"/>
      <c r="BG672" s="15"/>
      <c r="BH672" s="15"/>
      <c r="BI672" s="15"/>
      <c r="BJ672" s="15"/>
      <c r="BK672" s="15"/>
      <c r="BL672" s="15"/>
      <c r="BM672" s="15"/>
      <c r="BN672" s="15"/>
      <c r="BO672" s="15"/>
      <c r="BP672" s="15"/>
      <c r="BQ672" s="15"/>
      <c r="BR672" s="15"/>
      <c r="BS672" s="15"/>
      <c r="BT672" s="15"/>
      <c r="BU672" s="15"/>
      <c r="BV672" s="15"/>
      <c r="BW672" s="15"/>
      <c r="BX672" s="15"/>
      <c r="BY672" s="15"/>
      <c r="BZ672" s="15"/>
      <c r="CA672" s="15"/>
      <c r="CB672" s="15"/>
      <c r="CC672" s="15"/>
      <c r="CD672" s="15"/>
      <c r="CE672" s="15"/>
      <c r="CF672" s="15"/>
      <c r="CG672" s="15"/>
      <c r="CH672" s="15"/>
      <c r="CI672" s="15"/>
      <c r="CJ672" s="15"/>
      <c r="CK672" s="15"/>
      <c r="CL672" s="15"/>
    </row>
    <row r="673" spans="1:87" ht="12.75" customHeight="1" x14ac:dyDescent="0.25">
      <c r="B673" s="259" t="s">
        <v>250</v>
      </c>
      <c r="C673" s="259"/>
      <c r="D673" s="259"/>
      <c r="E673" s="259"/>
      <c r="F673" s="259"/>
      <c r="G673" s="259"/>
      <c r="H673" s="259"/>
      <c r="I673" s="259"/>
      <c r="J673" s="259"/>
      <c r="K673" s="259"/>
      <c r="L673" s="259"/>
      <c r="M673" s="259"/>
      <c r="N673" s="259"/>
      <c r="P673" s="162">
        <f>[1]moon_meteorites_list_alpha!$Y$871</f>
        <v>1956581.872</v>
      </c>
      <c r="Q673" s="54" t="s">
        <v>204</v>
      </c>
      <c r="R673" s="48"/>
      <c r="S673" s="49"/>
      <c r="V673" s="156"/>
      <c r="BR673" s="9">
        <f>SUM(BR130:BR672)</f>
        <v>648</v>
      </c>
      <c r="BT673" s="63" t="s">
        <v>319</v>
      </c>
    </row>
    <row r="674" spans="1:87" ht="67.5" customHeight="1" x14ac:dyDescent="0.25">
      <c r="B674" s="259" t="s">
        <v>471</v>
      </c>
      <c r="C674" s="259"/>
      <c r="D674" s="259"/>
      <c r="E674" s="259"/>
      <c r="F674" s="259"/>
      <c r="G674" s="259"/>
      <c r="H674" s="259"/>
      <c r="I674" s="259"/>
      <c r="J674" s="259"/>
      <c r="K674" s="259"/>
      <c r="L674" s="259"/>
      <c r="M674" s="259"/>
      <c r="N674" s="259"/>
      <c r="P674" s="163">
        <f>P672-P673</f>
        <v>0</v>
      </c>
      <c r="Q674" s="117" t="s">
        <v>533</v>
      </c>
      <c r="V674" s="50">
        <f>V672-V673</f>
        <v>1377457.281</v>
      </c>
      <c r="W674" s="50"/>
    </row>
    <row r="675" spans="1:87" ht="15" x14ac:dyDescent="0.25">
      <c r="B675" s="95"/>
      <c r="C675" s="95"/>
      <c r="D675" s="95"/>
      <c r="E675" s="95"/>
      <c r="F675" s="95"/>
      <c r="G675" s="95"/>
      <c r="H675" s="95"/>
      <c r="I675" s="95"/>
      <c r="J675" s="95"/>
      <c r="K675" s="95"/>
      <c r="L675" s="95"/>
      <c r="M675" s="95"/>
      <c r="N675" s="95"/>
      <c r="P675" s="164">
        <f>SUM(J128:J669)</f>
        <v>1977558.0320000001</v>
      </c>
      <c r="Q675" s="55" t="s">
        <v>581</v>
      </c>
    </row>
    <row r="676" spans="1:87" ht="12.75" customHeight="1" x14ac:dyDescent="0.25">
      <c r="B676" s="259" t="s">
        <v>356</v>
      </c>
      <c r="C676" s="259"/>
      <c r="D676" s="259"/>
      <c r="E676" s="259"/>
      <c r="F676" s="259"/>
      <c r="G676" s="259"/>
      <c r="H676" s="259"/>
      <c r="I676" s="259"/>
      <c r="J676" s="259"/>
      <c r="K676" s="259"/>
      <c r="L676" s="259"/>
      <c r="M676" s="259"/>
      <c r="N676" s="259"/>
      <c r="P676" s="165">
        <f>P675-P672</f>
        <v>20976.159999999916</v>
      </c>
      <c r="Q676" s="117" t="s">
        <v>533</v>
      </c>
    </row>
    <row r="677" spans="1:87" ht="12.75" customHeight="1" x14ac:dyDescent="0.25">
      <c r="B677" s="260" t="s">
        <v>398</v>
      </c>
      <c r="C677" s="260"/>
      <c r="D677" s="260"/>
      <c r="E677" s="260"/>
      <c r="F677" s="260"/>
      <c r="G677" s="260"/>
      <c r="H677" s="260"/>
      <c r="I677" s="260"/>
      <c r="J677" s="260"/>
      <c r="K677" s="260"/>
      <c r="L677" s="260"/>
      <c r="M677" s="260"/>
      <c r="N677" s="260"/>
      <c r="P677" s="165"/>
    </row>
    <row r="678" spans="1:87" ht="12.75" customHeight="1" x14ac:dyDescent="0.25">
      <c r="B678" s="96"/>
      <c r="C678" s="96"/>
      <c r="D678" s="96"/>
      <c r="E678" s="96"/>
      <c r="F678" s="96"/>
      <c r="G678" s="96"/>
      <c r="H678" s="96"/>
      <c r="I678" s="96"/>
      <c r="J678" s="96"/>
      <c r="K678" s="96"/>
      <c r="L678" s="96"/>
      <c r="M678" s="96"/>
      <c r="N678" s="96"/>
    </row>
    <row r="679" spans="1:87" ht="12.75" customHeight="1" x14ac:dyDescent="0.25">
      <c r="B679" s="262" t="s">
        <v>113</v>
      </c>
      <c r="C679" s="262"/>
      <c r="D679" s="261" t="s">
        <v>112</v>
      </c>
      <c r="E679" s="261"/>
      <c r="F679" s="261" t="str">
        <f>HYPERLINK("https://sites.wustl.edu/meteoritesite/items/japanese-national-institute-of-polar-research-meteorite-locations/","Japanese (NIPR) locations")</f>
        <v>Japanese (NIPR) locations</v>
      </c>
      <c r="G679" s="261"/>
      <c r="H679" s="261" t="str">
        <f>HYPERLINK("https://sites.wustl.edu/meteoritesite/items/schematic-maps-of-the-find-locations-of-the-lunar-meteoritesoman/","Oman locations")</f>
        <v>Oman locations</v>
      </c>
      <c r="I679" s="261"/>
      <c r="J679" s="74"/>
      <c r="K679" s="74"/>
      <c r="L679" s="74"/>
      <c r="M679" s="75"/>
      <c r="N679" s="75"/>
    </row>
    <row r="680" spans="1:87" ht="12.75" customHeight="1" x14ac:dyDescent="0.25">
      <c r="B680" s="95"/>
      <c r="C680" s="95"/>
      <c r="D680" s="69"/>
      <c r="E680" s="69"/>
      <c r="F680" s="69"/>
      <c r="G680" s="69"/>
      <c r="H680" s="69"/>
      <c r="I680" s="69"/>
      <c r="J680" s="10"/>
      <c r="K680" s="10"/>
      <c r="L680" s="10"/>
      <c r="M680" s="41"/>
      <c r="N680" s="41"/>
    </row>
    <row r="681" spans="1:87" s="8" customFormat="1" ht="12.75" customHeight="1" x14ac:dyDescent="0.25">
      <c r="A681"/>
      <c r="B681" s="260" t="s">
        <v>537</v>
      </c>
      <c r="C681" s="260"/>
      <c r="D681" s="260"/>
      <c r="E681" s="260"/>
      <c r="F681" s="260"/>
      <c r="G681" s="260"/>
      <c r="H681" s="260"/>
      <c r="I681" s="260"/>
      <c r="J681" s="260"/>
      <c r="K681" s="260"/>
      <c r="L681" s="260"/>
      <c r="M681" s="260"/>
      <c r="N681" s="260"/>
      <c r="O681" s="15"/>
      <c r="P681" s="127"/>
      <c r="Q681" s="26"/>
      <c r="R681" s="15"/>
      <c r="S681" s="15"/>
      <c r="T681" s="50"/>
      <c r="U681" s="9"/>
      <c r="V681" s="9"/>
      <c r="W681" s="9"/>
      <c r="X681" s="9"/>
      <c r="Y681" s="9"/>
      <c r="Z681" s="9"/>
      <c r="AA681" s="9"/>
      <c r="AB681" s="9"/>
      <c r="AC681" s="9"/>
      <c r="AD681" s="9"/>
      <c r="AE681" s="9"/>
      <c r="AF681" s="9"/>
      <c r="AG681" s="9"/>
      <c r="AH681" s="9"/>
      <c r="AI681" s="9"/>
      <c r="AJ681" s="9"/>
      <c r="AK681" s="9"/>
      <c r="AL681" s="9"/>
      <c r="AM681" s="9"/>
      <c r="AN681" s="9"/>
      <c r="AO681" s="9"/>
      <c r="AP681" s="9"/>
      <c r="AQ681" s="9"/>
      <c r="AR681" s="9"/>
      <c r="AS681" s="9"/>
      <c r="AT681" s="9"/>
      <c r="AU681" s="9"/>
      <c r="AV681" s="9"/>
      <c r="AW681" s="9"/>
      <c r="AX681" s="9"/>
      <c r="AY681" s="9"/>
      <c r="AZ681" s="9"/>
      <c r="BA681" s="9"/>
      <c r="BB681" s="9"/>
      <c r="BC681" s="9"/>
      <c r="BD681" s="9"/>
      <c r="BE681" s="9"/>
      <c r="BF681" s="9"/>
      <c r="BG681" s="9"/>
      <c r="BH681" s="9"/>
      <c r="BI681" s="9"/>
      <c r="BJ681" s="9"/>
      <c r="BK681" s="9"/>
      <c r="BL681" s="9"/>
      <c r="BM681" s="9"/>
      <c r="BN681" s="9"/>
      <c r="BO681" s="9"/>
      <c r="BP681" s="9"/>
      <c r="BQ681" s="9"/>
      <c r="BR681" s="9"/>
      <c r="BS681" s="9"/>
      <c r="BT681" s="53"/>
      <c r="BU681" s="25" t="s">
        <v>230</v>
      </c>
      <c r="BV681" s="15"/>
      <c r="BW681" s="15"/>
      <c r="BX681" s="15"/>
      <c r="BY681" s="15"/>
      <c r="BZ681" s="15"/>
      <c r="CA681" s="15"/>
      <c r="CB681" s="15"/>
      <c r="CC681" s="15"/>
      <c r="CD681" s="15"/>
      <c r="CE681" s="15"/>
      <c r="CF681" s="15"/>
      <c r="CG681" s="15"/>
      <c r="CH681" s="15"/>
      <c r="CI681" s="15"/>
    </row>
    <row r="682" spans="1:87" ht="12.75" customHeight="1" x14ac:dyDescent="0.25">
      <c r="B682" s="260" t="s">
        <v>79</v>
      </c>
      <c r="C682" s="260"/>
      <c r="D682" s="260"/>
      <c r="E682" s="260"/>
      <c r="F682" s="260"/>
      <c r="G682" s="260"/>
      <c r="H682" s="260"/>
      <c r="I682" s="260"/>
      <c r="J682" s="260"/>
      <c r="K682" s="260"/>
      <c r="L682" s="260"/>
      <c r="M682" s="260"/>
      <c r="N682" s="260"/>
    </row>
    <row r="683" spans="1:87" ht="12.75" customHeight="1" x14ac:dyDescent="0.25">
      <c r="B683" s="259"/>
      <c r="C683" s="259"/>
      <c r="D683" s="259"/>
      <c r="E683" s="259"/>
      <c r="F683" s="259"/>
      <c r="G683" s="259"/>
      <c r="H683" s="259"/>
      <c r="I683" s="259"/>
      <c r="J683" s="259"/>
      <c r="K683" s="259"/>
      <c r="L683" s="259"/>
      <c r="M683" s="259"/>
      <c r="N683" s="259"/>
      <c r="P683" s="133"/>
    </row>
    <row r="684" spans="1:87" ht="12.75" customHeight="1" x14ac:dyDescent="0.25">
      <c r="B684" s="258" t="s">
        <v>397</v>
      </c>
      <c r="C684" s="258"/>
      <c r="D684" s="258"/>
      <c r="E684" s="258"/>
      <c r="F684" s="258"/>
      <c r="G684" s="258"/>
      <c r="H684" s="258"/>
      <c r="I684" s="258"/>
      <c r="J684" s="258"/>
      <c r="K684" s="258"/>
      <c r="L684" s="258"/>
      <c r="M684" s="258"/>
      <c r="N684" s="258"/>
      <c r="P684" s="133"/>
    </row>
    <row r="685" spans="1:87" ht="12.75" customHeight="1" x14ac:dyDescent="0.25">
      <c r="B685" s="259" t="s">
        <v>755</v>
      </c>
      <c r="C685" s="259"/>
      <c r="D685" s="259"/>
      <c r="E685" s="259"/>
      <c r="F685" s="259"/>
      <c r="G685" s="259"/>
      <c r="H685" s="259"/>
      <c r="I685" s="259"/>
      <c r="J685" s="259"/>
      <c r="K685" s="259"/>
      <c r="L685" s="259"/>
      <c r="M685" s="259"/>
      <c r="N685" s="259"/>
      <c r="P685" s="133"/>
    </row>
    <row r="686" spans="1:87" ht="12.75" customHeight="1" x14ac:dyDescent="0.25">
      <c r="B686" s="259" t="s">
        <v>754</v>
      </c>
      <c r="C686" s="259"/>
      <c r="D686" s="259"/>
      <c r="E686" s="259"/>
      <c r="F686" s="259"/>
      <c r="G686" s="259"/>
      <c r="H686" s="259"/>
      <c r="I686" s="259"/>
      <c r="J686" s="259"/>
      <c r="K686" s="259"/>
      <c r="L686" s="259"/>
      <c r="M686" s="259"/>
      <c r="N686" s="259"/>
      <c r="P686" s="133"/>
    </row>
    <row r="687" spans="1:87" ht="12.75" customHeight="1" x14ac:dyDescent="0.25">
      <c r="B687" s="259" t="s">
        <v>80</v>
      </c>
      <c r="C687" s="259"/>
      <c r="D687" s="259"/>
      <c r="E687" s="259"/>
      <c r="F687" s="259"/>
      <c r="G687" s="259"/>
      <c r="H687" s="259"/>
      <c r="I687" s="259"/>
      <c r="J687" s="259"/>
      <c r="K687" s="259"/>
      <c r="L687" s="259"/>
      <c r="M687" s="259"/>
      <c r="N687" s="259"/>
      <c r="P687" s="134"/>
      <c r="Q687" s="79"/>
      <c r="R687" s="79"/>
      <c r="S687" s="79"/>
      <c r="T687" s="79"/>
      <c r="U687" s="79"/>
      <c r="V687" s="79"/>
      <c r="W687" s="79"/>
      <c r="X687" s="79"/>
      <c r="Y687" s="79"/>
      <c r="Z687" s="79"/>
      <c r="AA687" s="79"/>
      <c r="AB687" s="79"/>
    </row>
    <row r="688" spans="1:87" ht="12.75" customHeight="1" x14ac:dyDescent="0.25">
      <c r="B688" s="95"/>
      <c r="C688" s="95"/>
      <c r="D688" s="95"/>
      <c r="E688" s="95"/>
      <c r="F688" s="95"/>
      <c r="G688" s="95"/>
      <c r="H688" s="95"/>
      <c r="I688" s="95"/>
      <c r="J688" s="344" t="s">
        <v>416</v>
      </c>
      <c r="K688" s="344"/>
      <c r="L688" s="344"/>
      <c r="M688" s="344"/>
      <c r="N688" s="344"/>
      <c r="P688" s="133"/>
    </row>
    <row r="689" spans="2:28" ht="12.75" customHeight="1" x14ac:dyDescent="0.25">
      <c r="B689" s="256" t="s">
        <v>399</v>
      </c>
      <c r="C689" s="256"/>
      <c r="D689" s="256"/>
      <c r="E689" s="257">
        <f ca="1">NOW()</f>
        <v>45922.389981250002</v>
      </c>
      <c r="F689" s="257"/>
      <c r="G689" s="94"/>
      <c r="H689" s="94"/>
      <c r="I689" s="70"/>
      <c r="J689" s="344" t="s">
        <v>417</v>
      </c>
      <c r="K689" s="344"/>
      <c r="L689" s="344"/>
      <c r="M689" s="344"/>
      <c r="N689" s="344"/>
      <c r="P689" s="133"/>
    </row>
    <row r="690" spans="2:28" ht="12.75" customHeight="1" x14ac:dyDescent="0.25">
      <c r="B690" s="256"/>
      <c r="C690" s="256"/>
      <c r="D690" s="256"/>
      <c r="E690" s="257"/>
      <c r="F690" s="257"/>
      <c r="G690" s="94"/>
      <c r="H690" s="94"/>
      <c r="I690" s="70"/>
      <c r="J690" s="344" t="s">
        <v>753</v>
      </c>
      <c r="K690" s="344"/>
      <c r="L690" s="344"/>
      <c r="M690" s="344"/>
      <c r="N690" s="344"/>
      <c r="P690" s="133"/>
    </row>
    <row r="691" spans="2:28" ht="12.75" customHeight="1" x14ac:dyDescent="0.25">
      <c r="B691" s="95"/>
      <c r="C691" s="95"/>
      <c r="D691" s="95"/>
      <c r="E691" s="95"/>
      <c r="F691" s="95"/>
      <c r="G691" s="95"/>
      <c r="H691" s="95"/>
      <c r="I691" s="95"/>
      <c r="J691" s="95"/>
      <c r="K691" s="95"/>
      <c r="L691" s="95"/>
      <c r="M691" s="95"/>
      <c r="N691" s="95"/>
      <c r="P691" s="133"/>
    </row>
    <row r="692" spans="2:28" ht="12.75" customHeight="1" x14ac:dyDescent="0.25">
      <c r="M692" s="15"/>
      <c r="N692" s="15"/>
    </row>
    <row r="693" spans="2:28" ht="12.75" customHeight="1" x14ac:dyDescent="0.25">
      <c r="P693" s="134"/>
      <c r="Q693" s="79"/>
      <c r="R693" s="79"/>
      <c r="S693" s="79"/>
      <c r="T693" s="79"/>
      <c r="U693" s="79"/>
      <c r="V693" s="79"/>
      <c r="W693" s="79"/>
      <c r="X693" s="79"/>
      <c r="Y693" s="79"/>
      <c r="Z693" s="79"/>
      <c r="AA693" s="79"/>
      <c r="AB693" s="79"/>
    </row>
    <row r="695" spans="2:28" ht="12.75" customHeight="1" x14ac:dyDescent="0.25">
      <c r="B695" s="15">
        <v>6</v>
      </c>
      <c r="C695" s="15">
        <v>6</v>
      </c>
      <c r="D695" s="15">
        <v>12</v>
      </c>
      <c r="E695" s="15">
        <v>12</v>
      </c>
      <c r="F695" s="15">
        <v>12</v>
      </c>
      <c r="G695" s="15">
        <v>12</v>
      </c>
      <c r="H695" s="15">
        <v>12</v>
      </c>
      <c r="I695" s="15">
        <v>12</v>
      </c>
      <c r="J695" s="15">
        <v>12</v>
      </c>
      <c r="K695" s="15">
        <v>12</v>
      </c>
      <c r="L695" s="15">
        <v>12</v>
      </c>
      <c r="M695" s="42">
        <v>12</v>
      </c>
      <c r="N695" s="42">
        <v>12</v>
      </c>
    </row>
  </sheetData>
  <sortState xmlns:xlrd2="http://schemas.microsoft.com/office/spreadsheetml/2017/richdata2" ref="A588:DC595">
    <sortCondition ref="M92:M94"/>
  </sortState>
  <mergeCells count="1871">
    <mergeCell ref="C649:F649"/>
    <mergeCell ref="H649:I649"/>
    <mergeCell ref="K649:L649"/>
    <mergeCell ref="K642:L642"/>
    <mergeCell ref="C643:F643"/>
    <mergeCell ref="H643:I643"/>
    <mergeCell ref="K643:L643"/>
    <mergeCell ref="B17:C17"/>
    <mergeCell ref="F24:H24"/>
    <mergeCell ref="C320:F320"/>
    <mergeCell ref="H320:I320"/>
    <mergeCell ref="K320:L320"/>
    <mergeCell ref="C341:F341"/>
    <mergeCell ref="H341:I341"/>
    <mergeCell ref="K341:L341"/>
    <mergeCell ref="K629:L629"/>
    <mergeCell ref="C629:F629"/>
    <mergeCell ref="H629:I629"/>
    <mergeCell ref="C631:F631"/>
    <mergeCell ref="H631:I631"/>
    <mergeCell ref="K631:L631"/>
    <mergeCell ref="B73:C73"/>
    <mergeCell ref="B67:C67"/>
    <mergeCell ref="B63:C63"/>
    <mergeCell ref="K345:L345"/>
    <mergeCell ref="C589:F589"/>
    <mergeCell ref="K367:L367"/>
    <mergeCell ref="H288:I288"/>
    <mergeCell ref="C630:F630"/>
    <mergeCell ref="H630:I630"/>
    <mergeCell ref="K630:L630"/>
    <mergeCell ref="B23:C23"/>
    <mergeCell ref="C324:F324"/>
    <mergeCell ref="H324:I324"/>
    <mergeCell ref="K324:L324"/>
    <mergeCell ref="H536:I536"/>
    <mergeCell ref="K536:L536"/>
    <mergeCell ref="C514:F514"/>
    <mergeCell ref="H514:I514"/>
    <mergeCell ref="L27:N27"/>
    <mergeCell ref="B70:C70"/>
    <mergeCell ref="B71:C71"/>
    <mergeCell ref="B72:C72"/>
    <mergeCell ref="B78:C78"/>
    <mergeCell ref="B61:N61"/>
    <mergeCell ref="B75:C75"/>
    <mergeCell ref="B66:C66"/>
    <mergeCell ref="C270:F270"/>
    <mergeCell ref="K295:L295"/>
    <mergeCell ref="B68:N68"/>
    <mergeCell ref="L32:N32"/>
    <mergeCell ref="C295:F295"/>
    <mergeCell ref="C288:F288"/>
    <mergeCell ref="K292:L292"/>
    <mergeCell ref="H293:I293"/>
    <mergeCell ref="K502:L502"/>
    <mergeCell ref="K514:L514"/>
    <mergeCell ref="K323:L323"/>
    <mergeCell ref="K419:L419"/>
    <mergeCell ref="H394:I394"/>
    <mergeCell ref="H511:I511"/>
    <mergeCell ref="H377:I377"/>
    <mergeCell ref="C357:F357"/>
    <mergeCell ref="H357:I357"/>
    <mergeCell ref="K357:L357"/>
    <mergeCell ref="B77:C77"/>
    <mergeCell ref="B85:C85"/>
    <mergeCell ref="K404:L404"/>
    <mergeCell ref="H406:I406"/>
    <mergeCell ref="K407:L407"/>
    <mergeCell ref="K409:L409"/>
    <mergeCell ref="H364:I364"/>
    <mergeCell ref="K347:L347"/>
    <mergeCell ref="C351:F351"/>
    <mergeCell ref="H351:I351"/>
    <mergeCell ref="K368:L368"/>
    <mergeCell ref="K369:L369"/>
    <mergeCell ref="K370:L370"/>
    <mergeCell ref="H322:I322"/>
    <mergeCell ref="K322:L322"/>
    <mergeCell ref="C318:F318"/>
    <mergeCell ref="H313:I313"/>
    <mergeCell ref="H314:I314"/>
    <mergeCell ref="K311:L311"/>
    <mergeCell ref="K321:L321"/>
    <mergeCell ref="C312:F312"/>
    <mergeCell ref="H372:I372"/>
    <mergeCell ref="C407:F407"/>
    <mergeCell ref="K382:L382"/>
    <mergeCell ref="B21:C21"/>
    <mergeCell ref="K596:L596"/>
    <mergeCell ref="H596:I596"/>
    <mergeCell ref="C596:F596"/>
    <mergeCell ref="K599:L599"/>
    <mergeCell ref="H599:I599"/>
    <mergeCell ref="C599:F599"/>
    <mergeCell ref="F57:H57"/>
    <mergeCell ref="I15:K15"/>
    <mergeCell ref="I58:K58"/>
    <mergeCell ref="F51:H51"/>
    <mergeCell ref="L58:N58"/>
    <mergeCell ref="B54:E54"/>
    <mergeCell ref="N281:N282"/>
    <mergeCell ref="C308:F308"/>
    <mergeCell ref="C280:F280"/>
    <mergeCell ref="K308:L308"/>
    <mergeCell ref="C307:F307"/>
    <mergeCell ref="K344:L344"/>
    <mergeCell ref="C322:F322"/>
    <mergeCell ref="B22:E22"/>
    <mergeCell ref="H312:I312"/>
    <mergeCell ref="B106:C106"/>
    <mergeCell ref="B107:C107"/>
    <mergeCell ref="H271:I272"/>
    <mergeCell ref="B52:C52"/>
    <mergeCell ref="C336:F336"/>
    <mergeCell ref="B64:C64"/>
    <mergeCell ref="B76:C76"/>
    <mergeCell ref="B65:C65"/>
    <mergeCell ref="B62:C62"/>
    <mergeCell ref="B69:C69"/>
    <mergeCell ref="L23:N23"/>
    <mergeCell ref="K270:L270"/>
    <mergeCell ref="J271:J272"/>
    <mergeCell ref="B690:D690"/>
    <mergeCell ref="E690:F690"/>
    <mergeCell ref="J688:N688"/>
    <mergeCell ref="J689:N689"/>
    <mergeCell ref="J690:N690"/>
    <mergeCell ref="C344:F344"/>
    <mergeCell ref="C331:F331"/>
    <mergeCell ref="H331:I331"/>
    <mergeCell ref="K331:L331"/>
    <mergeCell ref="C506:F506"/>
    <mergeCell ref="H506:I506"/>
    <mergeCell ref="K506:L506"/>
    <mergeCell ref="C530:F530"/>
    <mergeCell ref="H530:I530"/>
    <mergeCell ref="K530:L530"/>
    <mergeCell ref="C536:F536"/>
    <mergeCell ref="C314:F314"/>
    <mergeCell ref="K318:L318"/>
    <mergeCell ref="C329:F329"/>
    <mergeCell ref="C502:F502"/>
    <mergeCell ref="C358:F358"/>
    <mergeCell ref="C330:F330"/>
    <mergeCell ref="C313:F313"/>
    <mergeCell ref="C367:F367"/>
    <mergeCell ref="H329:I329"/>
    <mergeCell ref="L34:N34"/>
    <mergeCell ref="L35:N35"/>
    <mergeCell ref="I57:K57"/>
    <mergeCell ref="K600:L600"/>
    <mergeCell ref="B51:E51"/>
    <mergeCell ref="B302:N302"/>
    <mergeCell ref="H323:I323"/>
    <mergeCell ref="B74:C74"/>
    <mergeCell ref="K376:L376"/>
    <mergeCell ref="K391:L391"/>
    <mergeCell ref="H391:I391"/>
    <mergeCell ref="H392:I392"/>
    <mergeCell ref="K392:L392"/>
    <mergeCell ref="K360:L360"/>
    <mergeCell ref="C349:F349"/>
    <mergeCell ref="C359:F359"/>
    <mergeCell ref="H374:I374"/>
    <mergeCell ref="C373:F373"/>
    <mergeCell ref="H363:I363"/>
    <mergeCell ref="C363:F363"/>
    <mergeCell ref="C386:F386"/>
    <mergeCell ref="C387:F387"/>
    <mergeCell ref="H355:I355"/>
    <mergeCell ref="K349:L349"/>
    <mergeCell ref="K366:L366"/>
    <mergeCell ref="C340:F340"/>
    <mergeCell ref="C347:F347"/>
    <mergeCell ref="K340:L340"/>
    <mergeCell ref="B101:C101"/>
    <mergeCell ref="B102:C102"/>
    <mergeCell ref="B103:C103"/>
    <mergeCell ref="B104:C104"/>
    <mergeCell ref="B105:C105"/>
    <mergeCell ref="K293:L293"/>
    <mergeCell ref="C298:F298"/>
    <mergeCell ref="H292:I292"/>
    <mergeCell ref="C408:F408"/>
    <mergeCell ref="C412:F412"/>
    <mergeCell ref="K389:L389"/>
    <mergeCell ref="H337:I337"/>
    <mergeCell ref="C290:F290"/>
    <mergeCell ref="H290:I290"/>
    <mergeCell ref="H310:I310"/>
    <mergeCell ref="K330:L330"/>
    <mergeCell ref="C334:F334"/>
    <mergeCell ref="C321:F321"/>
    <mergeCell ref="H348:I348"/>
    <mergeCell ref="H422:I422"/>
    <mergeCell ref="C413:F413"/>
    <mergeCell ref="K363:L363"/>
    <mergeCell ref="K315:L316"/>
    <mergeCell ref="C360:F360"/>
    <mergeCell ref="H360:I360"/>
    <mergeCell ref="K313:L313"/>
    <mergeCell ref="H311:I311"/>
    <mergeCell ref="H339:I339"/>
    <mergeCell ref="K359:L359"/>
    <mergeCell ref="C350:F350"/>
    <mergeCell ref="C335:F335"/>
    <mergeCell ref="H335:I335"/>
    <mergeCell ref="K335:L335"/>
    <mergeCell ref="C339:F339"/>
    <mergeCell ref="H347:I347"/>
    <mergeCell ref="H318:I318"/>
    <mergeCell ref="C323:F323"/>
    <mergeCell ref="H327:I327"/>
    <mergeCell ref="H412:I412"/>
    <mergeCell ref="C393:F393"/>
    <mergeCell ref="H398:I398"/>
    <mergeCell ref="K388:L388"/>
    <mergeCell ref="C343:F343"/>
    <mergeCell ref="K303:L303"/>
    <mergeCell ref="C300:F301"/>
    <mergeCell ref="H304:I304"/>
    <mergeCell ref="K314:L314"/>
    <mergeCell ref="C353:F353"/>
    <mergeCell ref="K291:L291"/>
    <mergeCell ref="K337:L337"/>
    <mergeCell ref="K356:L356"/>
    <mergeCell ref="H343:I343"/>
    <mergeCell ref="H342:I342"/>
    <mergeCell ref="K406:L406"/>
    <mergeCell ref="C403:F403"/>
    <mergeCell ref="H383:I383"/>
    <mergeCell ref="K373:L373"/>
    <mergeCell ref="C389:F389"/>
    <mergeCell ref="H387:I387"/>
    <mergeCell ref="J401:J402"/>
    <mergeCell ref="K401:L402"/>
    <mergeCell ref="H397:I397"/>
    <mergeCell ref="H373:I373"/>
    <mergeCell ref="K353:L353"/>
    <mergeCell ref="C388:F388"/>
    <mergeCell ref="K386:L386"/>
    <mergeCell ref="C379:F379"/>
    <mergeCell ref="H390:I390"/>
    <mergeCell ref="K390:L390"/>
    <mergeCell ref="K327:L327"/>
    <mergeCell ref="K343:L343"/>
    <mergeCell ref="H344:I344"/>
    <mergeCell ref="K342:L342"/>
    <mergeCell ref="K364:L364"/>
    <mergeCell ref="C356:F356"/>
    <mergeCell ref="K355:L355"/>
    <mergeCell ref="H361:I361"/>
    <mergeCell ref="C337:F337"/>
    <mergeCell ref="H349:I349"/>
    <mergeCell ref="H325:I325"/>
    <mergeCell ref="K325:L325"/>
    <mergeCell ref="C325:F325"/>
    <mergeCell ref="H328:I328"/>
    <mergeCell ref="K328:L328"/>
    <mergeCell ref="H330:I330"/>
    <mergeCell ref="H358:I358"/>
    <mergeCell ref="H334:I334"/>
    <mergeCell ref="H336:I336"/>
    <mergeCell ref="K336:L336"/>
    <mergeCell ref="K346:L346"/>
    <mergeCell ref="C348:F348"/>
    <mergeCell ref="C374:F374"/>
    <mergeCell ref="C391:F391"/>
    <mergeCell ref="K362:L362"/>
    <mergeCell ref="H368:I368"/>
    <mergeCell ref="H369:I369"/>
    <mergeCell ref="H370:I370"/>
    <mergeCell ref="H367:I367"/>
    <mergeCell ref="C368:F368"/>
    <mergeCell ref="C354:F354"/>
    <mergeCell ref="K329:L329"/>
    <mergeCell ref="N401:N402"/>
    <mergeCell ref="C327:F327"/>
    <mergeCell ref="H359:I359"/>
    <mergeCell ref="K372:L372"/>
    <mergeCell ref="C366:F366"/>
    <mergeCell ref="H366:I366"/>
    <mergeCell ref="C342:F342"/>
    <mergeCell ref="K351:L351"/>
    <mergeCell ref="K398:L398"/>
    <mergeCell ref="C377:F377"/>
    <mergeCell ref="C399:F399"/>
    <mergeCell ref="C396:F396"/>
    <mergeCell ref="H376:I376"/>
    <mergeCell ref="H379:I379"/>
    <mergeCell ref="K383:L383"/>
    <mergeCell ref="K348:L348"/>
    <mergeCell ref="H340:I340"/>
    <mergeCell ref="C346:F346"/>
    <mergeCell ref="H346:I346"/>
    <mergeCell ref="C355:F355"/>
    <mergeCell ref="C398:F398"/>
    <mergeCell ref="H362:I362"/>
    <mergeCell ref="K379:L379"/>
    <mergeCell ref="K361:L361"/>
    <mergeCell ref="K365:L365"/>
    <mergeCell ref="H353:I353"/>
    <mergeCell ref="C345:F345"/>
    <mergeCell ref="H345:I345"/>
    <mergeCell ref="C362:F362"/>
    <mergeCell ref="C369:F369"/>
    <mergeCell ref="C370:F370"/>
    <mergeCell ref="H356:I356"/>
    <mergeCell ref="K276:L276"/>
    <mergeCell ref="C289:F289"/>
    <mergeCell ref="H275:I275"/>
    <mergeCell ref="B273:N273"/>
    <mergeCell ref="M271:M272"/>
    <mergeCell ref="N271:N272"/>
    <mergeCell ref="B271:B272"/>
    <mergeCell ref="K271:L272"/>
    <mergeCell ref="K289:L289"/>
    <mergeCell ref="K278:L278"/>
    <mergeCell ref="H277:I277"/>
    <mergeCell ref="K277:L277"/>
    <mergeCell ref="K274:L274"/>
    <mergeCell ref="C364:F364"/>
    <mergeCell ref="K306:L306"/>
    <mergeCell ref="C311:F311"/>
    <mergeCell ref="C361:F361"/>
    <mergeCell ref="B281:B282"/>
    <mergeCell ref="M281:M282"/>
    <mergeCell ref="H285:I285"/>
    <mergeCell ref="C285:F285"/>
    <mergeCell ref="C372:F372"/>
    <mergeCell ref="H287:I287"/>
    <mergeCell ref="G281:G282"/>
    <mergeCell ref="H281:I282"/>
    <mergeCell ref="J281:J282"/>
    <mergeCell ref="K290:L290"/>
    <mergeCell ref="C291:F291"/>
    <mergeCell ref="H319:I319"/>
    <mergeCell ref="K319:L319"/>
    <mergeCell ref="K312:L312"/>
    <mergeCell ref="H299:I299"/>
    <mergeCell ref="C319:F319"/>
    <mergeCell ref="C278:F278"/>
    <mergeCell ref="H267:I267"/>
    <mergeCell ref="H268:I268"/>
    <mergeCell ref="C265:F265"/>
    <mergeCell ref="K268:L268"/>
    <mergeCell ref="H265:I265"/>
    <mergeCell ref="K288:L288"/>
    <mergeCell ref="C310:F310"/>
    <mergeCell ref="K296:L296"/>
    <mergeCell ref="C299:F299"/>
    <mergeCell ref="K299:L299"/>
    <mergeCell ref="G300:G301"/>
    <mergeCell ref="K310:L310"/>
    <mergeCell ref="H297:I297"/>
    <mergeCell ref="C305:F305"/>
    <mergeCell ref="C304:F304"/>
    <mergeCell ref="C297:F297"/>
    <mergeCell ref="B257:N257"/>
    <mergeCell ref="H258:I258"/>
    <mergeCell ref="C259:F259"/>
    <mergeCell ref="C306:F306"/>
    <mergeCell ref="C309:F309"/>
    <mergeCell ref="K304:L304"/>
    <mergeCell ref="H305:I305"/>
    <mergeCell ref="H259:I259"/>
    <mergeCell ref="M380:M381"/>
    <mergeCell ref="N380:N381"/>
    <mergeCell ref="H384:I384"/>
    <mergeCell ref="C296:F296"/>
    <mergeCell ref="H296:I296"/>
    <mergeCell ref="K284:L284"/>
    <mergeCell ref="H284:I284"/>
    <mergeCell ref="H270:I270"/>
    <mergeCell ref="C284:F284"/>
    <mergeCell ref="K279:L279"/>
    <mergeCell ref="H278:I278"/>
    <mergeCell ref="H276:I276"/>
    <mergeCell ref="H279:I279"/>
    <mergeCell ref="H280:I280"/>
    <mergeCell ref="C281:F282"/>
    <mergeCell ref="C274:F274"/>
    <mergeCell ref="C275:F275"/>
    <mergeCell ref="K275:L275"/>
    <mergeCell ref="K258:L258"/>
    <mergeCell ref="K374:L374"/>
    <mergeCell ref="H350:I350"/>
    <mergeCell ref="K350:L350"/>
    <mergeCell ref="C380:F381"/>
    <mergeCell ref="G380:G381"/>
    <mergeCell ref="M255:M256"/>
    <mergeCell ref="N255:N256"/>
    <mergeCell ref="B315:B316"/>
    <mergeCell ref="K339:L339"/>
    <mergeCell ref="H321:I321"/>
    <mergeCell ref="N315:N316"/>
    <mergeCell ref="K287:L287"/>
    <mergeCell ref="H303:I303"/>
    <mergeCell ref="K297:L297"/>
    <mergeCell ref="K298:L298"/>
    <mergeCell ref="C303:F303"/>
    <mergeCell ref="K294:L294"/>
    <mergeCell ref="M300:M301"/>
    <mergeCell ref="K286:L286"/>
    <mergeCell ref="K281:L282"/>
    <mergeCell ref="C286:F286"/>
    <mergeCell ref="H286:I286"/>
    <mergeCell ref="C277:F277"/>
    <mergeCell ref="C276:F276"/>
    <mergeCell ref="C267:F267"/>
    <mergeCell ref="B283:N283"/>
    <mergeCell ref="J300:J301"/>
    <mergeCell ref="K265:L265"/>
    <mergeCell ref="C266:F266"/>
    <mergeCell ref="H269:I269"/>
    <mergeCell ref="K307:L307"/>
    <mergeCell ref="H298:I298"/>
    <mergeCell ref="K332:L332"/>
    <mergeCell ref="C271:F272"/>
    <mergeCell ref="G271:G272"/>
    <mergeCell ref="K280:L280"/>
    <mergeCell ref="C328:F328"/>
    <mergeCell ref="K228:L228"/>
    <mergeCell ref="C229:F229"/>
    <mergeCell ref="H229:I229"/>
    <mergeCell ref="H235:I235"/>
    <mergeCell ref="K235:L235"/>
    <mergeCell ref="H262:I262"/>
    <mergeCell ref="C235:F235"/>
    <mergeCell ref="C249:F249"/>
    <mergeCell ref="C233:F233"/>
    <mergeCell ref="C294:F294"/>
    <mergeCell ref="H274:I274"/>
    <mergeCell ref="B255:B256"/>
    <mergeCell ref="K261:L261"/>
    <mergeCell ref="K267:L267"/>
    <mergeCell ref="H244:I244"/>
    <mergeCell ref="K244:L244"/>
    <mergeCell ref="C245:F245"/>
    <mergeCell ref="H245:I245"/>
    <mergeCell ref="K247:L247"/>
    <mergeCell ref="K254:L254"/>
    <mergeCell ref="C254:F254"/>
    <mergeCell ref="C269:F269"/>
    <mergeCell ref="K266:L266"/>
    <mergeCell ref="C255:F256"/>
    <mergeCell ref="H266:I266"/>
    <mergeCell ref="H264:I264"/>
    <mergeCell ref="C258:F258"/>
    <mergeCell ref="H263:I263"/>
    <mergeCell ref="K260:L260"/>
    <mergeCell ref="G255:G256"/>
    <mergeCell ref="H255:I256"/>
    <mergeCell ref="C260:F260"/>
    <mergeCell ref="K248:L248"/>
    <mergeCell ref="H248:I248"/>
    <mergeCell ref="C248:F248"/>
    <mergeCell ref="K243:L243"/>
    <mergeCell ref="C250:F250"/>
    <mergeCell ref="H250:I250"/>
    <mergeCell ref="K250:L250"/>
    <mergeCell ref="C209:F209"/>
    <mergeCell ref="C223:F223"/>
    <mergeCell ref="C268:F268"/>
    <mergeCell ref="K217:L217"/>
    <mergeCell ref="C220:F220"/>
    <mergeCell ref="C238:F238"/>
    <mergeCell ref="H238:I238"/>
    <mergeCell ref="K238:L238"/>
    <mergeCell ref="C239:F239"/>
    <mergeCell ref="H239:I239"/>
    <mergeCell ref="K239:L239"/>
    <mergeCell ref="C240:F240"/>
    <mergeCell ref="K231:L231"/>
    <mergeCell ref="C252:F252"/>
    <mergeCell ref="K242:L242"/>
    <mergeCell ref="K245:L245"/>
    <mergeCell ref="C246:F246"/>
    <mergeCell ref="H246:I246"/>
    <mergeCell ref="K246:L246"/>
    <mergeCell ref="C247:F247"/>
    <mergeCell ref="H247:I247"/>
    <mergeCell ref="C231:F231"/>
    <mergeCell ref="H231:I231"/>
    <mergeCell ref="C228:F228"/>
    <mergeCell ref="H228:I228"/>
    <mergeCell ref="H225:I225"/>
    <mergeCell ref="C207:F207"/>
    <mergeCell ref="H207:I207"/>
    <mergeCell ref="K207:L207"/>
    <mergeCell ref="K224:L224"/>
    <mergeCell ref="H208:I208"/>
    <mergeCell ref="C216:F216"/>
    <mergeCell ref="H216:I216"/>
    <mergeCell ref="H234:I234"/>
    <mergeCell ref="K264:L264"/>
    <mergeCell ref="H254:I254"/>
    <mergeCell ref="H249:I249"/>
    <mergeCell ref="K249:L249"/>
    <mergeCell ref="J255:J256"/>
    <mergeCell ref="K255:L256"/>
    <mergeCell ref="H260:I260"/>
    <mergeCell ref="H261:I261"/>
    <mergeCell ref="K262:L262"/>
    <mergeCell ref="C261:F261"/>
    <mergeCell ref="K237:L237"/>
    <mergeCell ref="C236:F236"/>
    <mergeCell ref="K209:L209"/>
    <mergeCell ref="K234:L234"/>
    <mergeCell ref="C243:F243"/>
    <mergeCell ref="H243:I243"/>
    <mergeCell ref="C253:F253"/>
    <mergeCell ref="H253:I253"/>
    <mergeCell ref="K253:L253"/>
    <mergeCell ref="C263:F263"/>
    <mergeCell ref="K251:L251"/>
    <mergeCell ref="C251:F251"/>
    <mergeCell ref="H251:I251"/>
    <mergeCell ref="H198:I198"/>
    <mergeCell ref="H252:I252"/>
    <mergeCell ref="K252:L252"/>
    <mergeCell ref="K241:L241"/>
    <mergeCell ref="C242:F242"/>
    <mergeCell ref="H242:I242"/>
    <mergeCell ref="C244:F244"/>
    <mergeCell ref="H205:I205"/>
    <mergeCell ref="C218:F218"/>
    <mergeCell ref="H218:I218"/>
    <mergeCell ref="H220:I220"/>
    <mergeCell ref="K222:L222"/>
    <mergeCell ref="C208:F208"/>
    <mergeCell ref="B227:N227"/>
    <mergeCell ref="H221:I221"/>
    <mergeCell ref="C237:F237"/>
    <mergeCell ref="K236:L236"/>
    <mergeCell ref="C232:F232"/>
    <mergeCell ref="C234:F234"/>
    <mergeCell ref="K233:L233"/>
    <mergeCell ref="K206:L206"/>
    <mergeCell ref="H237:I237"/>
    <mergeCell ref="K212:L212"/>
    <mergeCell ref="C219:F219"/>
    <mergeCell ref="C214:F214"/>
    <mergeCell ref="H212:I212"/>
    <mergeCell ref="H240:I240"/>
    <mergeCell ref="K240:L240"/>
    <mergeCell ref="C241:F241"/>
    <mergeCell ref="H241:I241"/>
    <mergeCell ref="H232:I232"/>
    <mergeCell ref="K232:L232"/>
    <mergeCell ref="C155:F155"/>
    <mergeCell ref="H217:I217"/>
    <mergeCell ref="K219:L219"/>
    <mergeCell ref="K203:L203"/>
    <mergeCell ref="C196:F196"/>
    <mergeCell ref="K208:L208"/>
    <mergeCell ref="K216:L216"/>
    <mergeCell ref="C193:F193"/>
    <mergeCell ref="H193:I193"/>
    <mergeCell ref="K192:L192"/>
    <mergeCell ref="H236:I236"/>
    <mergeCell ref="C226:F226"/>
    <mergeCell ref="H215:I215"/>
    <mergeCell ref="H201:I201"/>
    <mergeCell ref="C212:F212"/>
    <mergeCell ref="K210:L210"/>
    <mergeCell ref="C211:F211"/>
    <mergeCell ref="H211:I211"/>
    <mergeCell ref="K211:L211"/>
    <mergeCell ref="C213:F213"/>
    <mergeCell ref="H213:I213"/>
    <mergeCell ref="K213:L213"/>
    <mergeCell ref="H209:I209"/>
    <mergeCell ref="C210:F210"/>
    <mergeCell ref="C224:F224"/>
    <mergeCell ref="H223:I223"/>
    <mergeCell ref="K223:L223"/>
    <mergeCell ref="K221:L221"/>
    <mergeCell ref="C222:F222"/>
    <mergeCell ref="K205:L205"/>
    <mergeCell ref="K204:L204"/>
    <mergeCell ref="C203:F203"/>
    <mergeCell ref="C179:F179"/>
    <mergeCell ref="H162:I162"/>
    <mergeCell ref="K160:L160"/>
    <mergeCell ref="H160:I160"/>
    <mergeCell ref="C175:F175"/>
    <mergeCell ref="K175:L175"/>
    <mergeCell ref="K177:L177"/>
    <mergeCell ref="C167:F167"/>
    <mergeCell ref="H167:I167"/>
    <mergeCell ref="H174:I174"/>
    <mergeCell ref="H180:I180"/>
    <mergeCell ref="C177:F177"/>
    <mergeCell ref="C174:F174"/>
    <mergeCell ref="C171:F171"/>
    <mergeCell ref="K174:L174"/>
    <mergeCell ref="C166:F166"/>
    <mergeCell ref="K170:L170"/>
    <mergeCell ref="C170:F170"/>
    <mergeCell ref="C172:F172"/>
    <mergeCell ref="H172:I172"/>
    <mergeCell ref="H166:I166"/>
    <mergeCell ref="H169:I169"/>
    <mergeCell ref="K165:L165"/>
    <mergeCell ref="K139:L139"/>
    <mergeCell ref="K142:L142"/>
    <mergeCell ref="K143:L143"/>
    <mergeCell ref="H152:I152"/>
    <mergeCell ref="H139:I139"/>
    <mergeCell ref="H151:I151"/>
    <mergeCell ref="C191:F191"/>
    <mergeCell ref="K183:L183"/>
    <mergeCell ref="H182:I182"/>
    <mergeCell ref="H179:I179"/>
    <mergeCell ref="C181:F181"/>
    <mergeCell ref="K176:L176"/>
    <mergeCell ref="C176:F176"/>
    <mergeCell ref="K178:L178"/>
    <mergeCell ref="K181:L181"/>
    <mergeCell ref="H164:I164"/>
    <mergeCell ref="K164:L164"/>
    <mergeCell ref="C165:F165"/>
    <mergeCell ref="H165:I165"/>
    <mergeCell ref="C164:F164"/>
    <mergeCell ref="K179:L179"/>
    <mergeCell ref="H171:I171"/>
    <mergeCell ref="K171:L171"/>
    <mergeCell ref="C168:F168"/>
    <mergeCell ref="C158:F158"/>
    <mergeCell ref="H158:I158"/>
    <mergeCell ref="K158:L158"/>
    <mergeCell ref="K168:L168"/>
    <mergeCell ref="H175:I175"/>
    <mergeCell ref="K152:L152"/>
    <mergeCell ref="H188:I188"/>
    <mergeCell ref="H181:I181"/>
    <mergeCell ref="K140:L140"/>
    <mergeCell ref="C140:F140"/>
    <mergeCell ref="H138:I138"/>
    <mergeCell ref="K144:L144"/>
    <mergeCell ref="K141:L141"/>
    <mergeCell ref="C161:F161"/>
    <mergeCell ref="K162:L162"/>
    <mergeCell ref="C163:F163"/>
    <mergeCell ref="H141:I141"/>
    <mergeCell ref="C138:F138"/>
    <mergeCell ref="K137:L137"/>
    <mergeCell ref="K145:L145"/>
    <mergeCell ref="K166:L166"/>
    <mergeCell ref="H210:I210"/>
    <mergeCell ref="C215:F215"/>
    <mergeCell ref="K215:L215"/>
    <mergeCell ref="C197:F197"/>
    <mergeCell ref="C206:F206"/>
    <mergeCell ref="H206:I206"/>
    <mergeCell ref="H197:I197"/>
    <mergeCell ref="K198:L198"/>
    <mergeCell ref="C202:F202"/>
    <mergeCell ref="H202:I202"/>
    <mergeCell ref="K202:L202"/>
    <mergeCell ref="K201:L201"/>
    <mergeCell ref="C204:F204"/>
    <mergeCell ref="H204:I204"/>
    <mergeCell ref="H203:I203"/>
    <mergeCell ref="C194:F194"/>
    <mergeCell ref="H194:I194"/>
    <mergeCell ref="K194:L194"/>
    <mergeCell ref="C142:F142"/>
    <mergeCell ref="I13:K13"/>
    <mergeCell ref="K197:L197"/>
    <mergeCell ref="H190:I190"/>
    <mergeCell ref="H185:I185"/>
    <mergeCell ref="C187:F187"/>
    <mergeCell ref="C186:F186"/>
    <mergeCell ref="C157:F157"/>
    <mergeCell ref="C151:F151"/>
    <mergeCell ref="K156:L156"/>
    <mergeCell ref="K138:L138"/>
    <mergeCell ref="H137:I137"/>
    <mergeCell ref="C145:F145"/>
    <mergeCell ref="K182:L182"/>
    <mergeCell ref="H173:I173"/>
    <mergeCell ref="B96:C96"/>
    <mergeCell ref="B99:C99"/>
    <mergeCell ref="B83:C83"/>
    <mergeCell ref="B84:C84"/>
    <mergeCell ref="K130:L130"/>
    <mergeCell ref="K132:L132"/>
    <mergeCell ref="B95:C95"/>
    <mergeCell ref="B91:C91"/>
    <mergeCell ref="B92:C92"/>
    <mergeCell ref="B93:C93"/>
    <mergeCell ref="B124:N124"/>
    <mergeCell ref="C133:F133"/>
    <mergeCell ref="C149:F149"/>
    <mergeCell ref="H148:I148"/>
    <mergeCell ref="C148:F148"/>
    <mergeCell ref="H153:I153"/>
    <mergeCell ref="K148:L148"/>
    <mergeCell ref="C152:F152"/>
    <mergeCell ref="B32:E32"/>
    <mergeCell ref="F49:H49"/>
    <mergeCell ref="B81:C81"/>
    <mergeCell ref="B79:C79"/>
    <mergeCell ref="B97:C97"/>
    <mergeCell ref="B125:B126"/>
    <mergeCell ref="H195:I195"/>
    <mergeCell ref="K195:L195"/>
    <mergeCell ref="C195:F195"/>
    <mergeCell ref="C125:F126"/>
    <mergeCell ref="B100:C100"/>
    <mergeCell ref="B94:C94"/>
    <mergeCell ref="B47:C47"/>
    <mergeCell ref="B39:C39"/>
    <mergeCell ref="B38:E38"/>
    <mergeCell ref="B37:C37"/>
    <mergeCell ref="B34:E34"/>
    <mergeCell ref="L48:N48"/>
    <mergeCell ref="B44:E44"/>
    <mergeCell ref="C128:F128"/>
    <mergeCell ref="H128:I128"/>
    <mergeCell ref="K128:L128"/>
    <mergeCell ref="G125:G126"/>
    <mergeCell ref="H136:I136"/>
    <mergeCell ref="C136:F136"/>
    <mergeCell ref="H135:I135"/>
    <mergeCell ref="H129:I129"/>
    <mergeCell ref="K129:L129"/>
    <mergeCell ref="B108:C108"/>
    <mergeCell ref="B109:C109"/>
    <mergeCell ref="B110:C110"/>
    <mergeCell ref="K136:L136"/>
    <mergeCell ref="B14:C14"/>
    <mergeCell ref="F34:H34"/>
    <mergeCell ref="F28:H28"/>
    <mergeCell ref="F26:H26"/>
    <mergeCell ref="I21:K21"/>
    <mergeCell ref="F39:H39"/>
    <mergeCell ref="I56:K56"/>
    <mergeCell ref="I37:K37"/>
    <mergeCell ref="I43:K43"/>
    <mergeCell ref="B29:E29"/>
    <mergeCell ref="B49:E49"/>
    <mergeCell ref="B50:C50"/>
    <mergeCell ref="L40:N40"/>
    <mergeCell ref="L41:N41"/>
    <mergeCell ref="I35:K35"/>
    <mergeCell ref="B33:E33"/>
    <mergeCell ref="L54:N54"/>
    <mergeCell ref="F43:H43"/>
    <mergeCell ref="F32:H32"/>
    <mergeCell ref="B46:C46"/>
    <mergeCell ref="I51:K51"/>
    <mergeCell ref="I48:K48"/>
    <mergeCell ref="L51:N51"/>
    <mergeCell ref="F47:H47"/>
    <mergeCell ref="I38:K38"/>
    <mergeCell ref="F36:H36"/>
    <mergeCell ref="B31:E31"/>
    <mergeCell ref="I33:K33"/>
    <mergeCell ref="L30:N30"/>
    <mergeCell ref="F41:H41"/>
    <mergeCell ref="I54:K54"/>
    <mergeCell ref="L19:N19"/>
    <mergeCell ref="L13:N13"/>
    <mergeCell ref="L36:N36"/>
    <mergeCell ref="I59:K59"/>
    <mergeCell ref="F55:H55"/>
    <mergeCell ref="L47:N47"/>
    <mergeCell ref="F30:H30"/>
    <mergeCell ref="B19:E19"/>
    <mergeCell ref="B26:E26"/>
    <mergeCell ref="B2:N2"/>
    <mergeCell ref="M3:N3"/>
    <mergeCell ref="B43:E43"/>
    <mergeCell ref="F45:H45"/>
    <mergeCell ref="I39:K39"/>
    <mergeCell ref="B28:E28"/>
    <mergeCell ref="B13:E13"/>
    <mergeCell ref="B4:D4"/>
    <mergeCell ref="E4:L4"/>
    <mergeCell ref="B9:D9"/>
    <mergeCell ref="B5:D5"/>
    <mergeCell ref="B6:D6"/>
    <mergeCell ref="E7:L7"/>
    <mergeCell ref="B8:D8"/>
    <mergeCell ref="B7:D7"/>
    <mergeCell ref="E5:L5"/>
    <mergeCell ref="E6:L6"/>
    <mergeCell ref="B10:D10"/>
    <mergeCell ref="E9:L9"/>
    <mergeCell ref="E10:L10"/>
    <mergeCell ref="B12:N12"/>
    <mergeCell ref="B11:N11"/>
    <mergeCell ref="I34:K34"/>
    <mergeCell ref="I31:K31"/>
    <mergeCell ref="B15:E15"/>
    <mergeCell ref="I17:K17"/>
    <mergeCell ref="F50:H50"/>
    <mergeCell ref="I25:K25"/>
    <mergeCell ref="B55:E55"/>
    <mergeCell ref="B56:E56"/>
    <mergeCell ref="B25:E25"/>
    <mergeCell ref="I28:K28"/>
    <mergeCell ref="B18:E18"/>
    <mergeCell ref="F20:H20"/>
    <mergeCell ref="F18:H18"/>
    <mergeCell ref="B48:C48"/>
    <mergeCell ref="B20:E20"/>
    <mergeCell ref="M125:M126"/>
    <mergeCell ref="B89:C89"/>
    <mergeCell ref="B90:C90"/>
    <mergeCell ref="B80:C80"/>
    <mergeCell ref="B82:C82"/>
    <mergeCell ref="L15:N15"/>
    <mergeCell ref="B45:E45"/>
    <mergeCell ref="B16:C16"/>
    <mergeCell ref="L38:N38"/>
    <mergeCell ref="L46:N46"/>
    <mergeCell ref="F46:H46"/>
    <mergeCell ref="B53:E53"/>
    <mergeCell ref="B30:E30"/>
    <mergeCell ref="I23:K23"/>
    <mergeCell ref="I19:K19"/>
    <mergeCell ref="F27:H27"/>
    <mergeCell ref="B24:E24"/>
    <mergeCell ref="B27:C27"/>
    <mergeCell ref="L25:N25"/>
    <mergeCell ref="B86:C86"/>
    <mergeCell ref="B87:C87"/>
    <mergeCell ref="B88:C88"/>
    <mergeCell ref="N125:N126"/>
    <mergeCell ref="K150:L150"/>
    <mergeCell ref="C199:F199"/>
    <mergeCell ref="H199:I199"/>
    <mergeCell ref="B122:N122"/>
    <mergeCell ref="C132:F132"/>
    <mergeCell ref="H131:I131"/>
    <mergeCell ref="C131:F131"/>
    <mergeCell ref="H132:I132"/>
    <mergeCell ref="H125:I126"/>
    <mergeCell ref="J125:J126"/>
    <mergeCell ref="C130:F130"/>
    <mergeCell ref="K133:L133"/>
    <mergeCell ref="K186:L186"/>
    <mergeCell ref="H186:I186"/>
    <mergeCell ref="B111:C111"/>
    <mergeCell ref="B112:C112"/>
    <mergeCell ref="K153:L153"/>
    <mergeCell ref="H144:I144"/>
    <mergeCell ref="K167:L167"/>
    <mergeCell ref="C162:F162"/>
    <mergeCell ref="C189:F189"/>
    <mergeCell ref="H189:I189"/>
    <mergeCell ref="K189:L189"/>
    <mergeCell ref="K185:L185"/>
    <mergeCell ref="K190:L190"/>
    <mergeCell ref="C182:F182"/>
    <mergeCell ref="C183:F183"/>
    <mergeCell ref="K184:L184"/>
    <mergeCell ref="C144:F144"/>
    <mergeCell ref="B300:B301"/>
    <mergeCell ref="C287:F287"/>
    <mergeCell ref="C292:F292"/>
    <mergeCell ref="H309:I309"/>
    <mergeCell ref="K285:L285"/>
    <mergeCell ref="B127:N127"/>
    <mergeCell ref="K125:L126"/>
    <mergeCell ref="B98:C98"/>
    <mergeCell ref="B123:N123"/>
    <mergeCell ref="C129:F129"/>
    <mergeCell ref="H130:I130"/>
    <mergeCell ref="H214:I214"/>
    <mergeCell ref="C200:F200"/>
    <mergeCell ref="H150:I150"/>
    <mergeCell ref="K131:L131"/>
    <mergeCell ref="K229:L229"/>
    <mergeCell ref="C230:F230"/>
    <mergeCell ref="H230:I230"/>
    <mergeCell ref="K230:L230"/>
    <mergeCell ref="K218:L218"/>
    <mergeCell ref="C225:F225"/>
    <mergeCell ref="H224:I224"/>
    <mergeCell ref="H219:I219"/>
    <mergeCell ref="H226:I226"/>
    <mergeCell ref="K226:L226"/>
    <mergeCell ref="C221:F221"/>
    <mergeCell ref="C217:F217"/>
    <mergeCell ref="K309:L309"/>
    <mergeCell ref="K305:L305"/>
    <mergeCell ref="H300:I301"/>
    <mergeCell ref="H307:I307"/>
    <mergeCell ref="C141:F141"/>
    <mergeCell ref="H145:I145"/>
    <mergeCell ref="K180:L180"/>
    <mergeCell ref="H308:I308"/>
    <mergeCell ref="H134:I134"/>
    <mergeCell ref="H187:I187"/>
    <mergeCell ref="K188:L188"/>
    <mergeCell ref="C185:F185"/>
    <mergeCell ref="C153:F153"/>
    <mergeCell ref="C154:F154"/>
    <mergeCell ref="H154:I154"/>
    <mergeCell ref="H142:I142"/>
    <mergeCell ref="C137:F137"/>
    <mergeCell ref="H143:I143"/>
    <mergeCell ref="C143:F143"/>
    <mergeCell ref="H140:I140"/>
    <mergeCell ref="H146:I146"/>
    <mergeCell ref="C150:F150"/>
    <mergeCell ref="C146:F146"/>
    <mergeCell ref="C139:F139"/>
    <mergeCell ref="C190:F190"/>
    <mergeCell ref="C188:F188"/>
    <mergeCell ref="C184:F184"/>
    <mergeCell ref="H163:I163"/>
    <mergeCell ref="H183:I183"/>
    <mergeCell ref="H168:I168"/>
    <mergeCell ref="C169:F169"/>
    <mergeCell ref="C262:F262"/>
    <mergeCell ref="K146:L146"/>
    <mergeCell ref="K147:L147"/>
    <mergeCell ref="H147:I147"/>
    <mergeCell ref="C147:F147"/>
    <mergeCell ref="H233:I233"/>
    <mergeCell ref="K196:L196"/>
    <mergeCell ref="H196:I196"/>
    <mergeCell ref="C201:F201"/>
    <mergeCell ref="H294:I294"/>
    <mergeCell ref="H295:I295"/>
    <mergeCell ref="K397:L397"/>
    <mergeCell ref="H306:I306"/>
    <mergeCell ref="H133:I133"/>
    <mergeCell ref="C198:F198"/>
    <mergeCell ref="K375:L375"/>
    <mergeCell ref="K214:L214"/>
    <mergeCell ref="K220:L220"/>
    <mergeCell ref="H222:I222"/>
    <mergeCell ref="K225:L225"/>
    <mergeCell ref="C279:F279"/>
    <mergeCell ref="K269:L269"/>
    <mergeCell ref="K134:L134"/>
    <mergeCell ref="H184:I184"/>
    <mergeCell ref="C134:F134"/>
    <mergeCell ref="K135:L135"/>
    <mergeCell ref="C135:F135"/>
    <mergeCell ref="K199:L199"/>
    <mergeCell ref="H200:I200"/>
    <mergeCell ref="K200:L200"/>
    <mergeCell ref="K259:L259"/>
    <mergeCell ref="K263:L263"/>
    <mergeCell ref="C264:F264"/>
    <mergeCell ref="C293:F293"/>
    <mergeCell ref="H289:I289"/>
    <mergeCell ref="H291:I291"/>
    <mergeCell ref="H155:I155"/>
    <mergeCell ref="C156:F156"/>
    <mergeCell ref="H156:I156"/>
    <mergeCell ref="H192:I192"/>
    <mergeCell ref="K187:L187"/>
    <mergeCell ref="K193:L193"/>
    <mergeCell ref="H191:I191"/>
    <mergeCell ref="K191:L191"/>
    <mergeCell ref="C205:F205"/>
    <mergeCell ref="K169:L169"/>
    <mergeCell ref="K149:L149"/>
    <mergeCell ref="H149:I149"/>
    <mergeCell ref="K151:L151"/>
    <mergeCell ref="C192:F192"/>
    <mergeCell ref="H159:I159"/>
    <mergeCell ref="K163:L163"/>
    <mergeCell ref="H161:I161"/>
    <mergeCell ref="K161:L161"/>
    <mergeCell ref="H177:I177"/>
    <mergeCell ref="K173:L173"/>
    <mergeCell ref="K172:L172"/>
    <mergeCell ref="C178:F178"/>
    <mergeCell ref="H178:I178"/>
    <mergeCell ref="K159:L159"/>
    <mergeCell ref="C160:F160"/>
    <mergeCell ref="H170:I170"/>
    <mergeCell ref="C173:F173"/>
    <mergeCell ref="C159:F159"/>
    <mergeCell ref="H157:I157"/>
    <mergeCell ref="K157:L157"/>
    <mergeCell ref="K154:L154"/>
    <mergeCell ref="K155:L155"/>
    <mergeCell ref="C180:F180"/>
    <mergeCell ref="C375:F375"/>
    <mergeCell ref="H404:I404"/>
    <mergeCell ref="K403:L403"/>
    <mergeCell ref="B317:N317"/>
    <mergeCell ref="M315:M316"/>
    <mergeCell ref="C315:F316"/>
    <mergeCell ref="G315:G316"/>
    <mergeCell ref="H315:I316"/>
    <mergeCell ref="J315:J316"/>
    <mergeCell ref="K300:L301"/>
    <mergeCell ref="H389:I389"/>
    <mergeCell ref="K400:L400"/>
    <mergeCell ref="C365:F365"/>
    <mergeCell ref="H365:I365"/>
    <mergeCell ref="K358:L358"/>
    <mergeCell ref="C390:F390"/>
    <mergeCell ref="H382:I382"/>
    <mergeCell ref="K378:L378"/>
    <mergeCell ref="H375:I375"/>
    <mergeCell ref="H399:I399"/>
    <mergeCell ref="K395:L395"/>
    <mergeCell ref="C376:F376"/>
    <mergeCell ref="N300:N301"/>
    <mergeCell ref="B401:B402"/>
    <mergeCell ref="M401:M402"/>
    <mergeCell ref="K334:L334"/>
    <mergeCell ref="K387:L387"/>
    <mergeCell ref="K377:L377"/>
    <mergeCell ref="C394:F394"/>
    <mergeCell ref="H385:I385"/>
    <mergeCell ref="B380:B381"/>
    <mergeCell ref="H395:I395"/>
    <mergeCell ref="H396:I396"/>
    <mergeCell ref="H378:I378"/>
    <mergeCell ref="C378:F378"/>
    <mergeCell ref="C392:F392"/>
    <mergeCell ref="C383:F383"/>
    <mergeCell ref="K394:L394"/>
    <mergeCell ref="H408:I408"/>
    <mergeCell ref="K411:L411"/>
    <mergeCell ref="K408:L408"/>
    <mergeCell ref="H403:I403"/>
    <mergeCell ref="H388:I388"/>
    <mergeCell ref="C424:F424"/>
    <mergeCell ref="K421:L421"/>
    <mergeCell ref="H410:I410"/>
    <mergeCell ref="K417:L417"/>
    <mergeCell ref="C406:F406"/>
    <mergeCell ref="K414:L414"/>
    <mergeCell ref="H409:I409"/>
    <mergeCell ref="H413:I413"/>
    <mergeCell ref="K413:L413"/>
    <mergeCell ref="H411:I411"/>
    <mergeCell ref="K412:L412"/>
    <mergeCell ref="K410:L410"/>
    <mergeCell ref="H400:I400"/>
    <mergeCell ref="C400:F400"/>
    <mergeCell ref="C384:F384"/>
    <mergeCell ref="K399:L399"/>
    <mergeCell ref="H405:I405"/>
    <mergeCell ref="C419:F419"/>
    <mergeCell ref="C417:F417"/>
    <mergeCell ref="C416:F416"/>
    <mergeCell ref="K405:L405"/>
    <mergeCell ref="K537:L537"/>
    <mergeCell ref="H537:I537"/>
    <mergeCell ref="C537:F537"/>
    <mergeCell ref="K513:L513"/>
    <mergeCell ref="H513:I513"/>
    <mergeCell ref="C513:F513"/>
    <mergeCell ref="K666:L666"/>
    <mergeCell ref="B689:D689"/>
    <mergeCell ref="E689:F689"/>
    <mergeCell ref="B684:N684"/>
    <mergeCell ref="B673:N673"/>
    <mergeCell ref="B674:N674"/>
    <mergeCell ref="B683:N683"/>
    <mergeCell ref="B677:N677"/>
    <mergeCell ref="B682:N682"/>
    <mergeCell ref="B681:N681"/>
    <mergeCell ref="B676:N676"/>
    <mergeCell ref="H679:I679"/>
    <mergeCell ref="B687:N687"/>
    <mergeCell ref="B685:N685"/>
    <mergeCell ref="B686:N686"/>
    <mergeCell ref="D679:E679"/>
    <mergeCell ref="F679:G679"/>
    <mergeCell ref="B679:C679"/>
    <mergeCell ref="C635:F635"/>
    <mergeCell ref="H635:I635"/>
    <mergeCell ref="K635:L635"/>
    <mergeCell ref="C636:F636"/>
    <mergeCell ref="H636:I636"/>
    <mergeCell ref="K636:L636"/>
    <mergeCell ref="C640:F640"/>
    <mergeCell ref="H640:I640"/>
    <mergeCell ref="K455:L455"/>
    <mergeCell ref="K438:L438"/>
    <mergeCell ref="C444:F444"/>
    <mergeCell ref="C662:F662"/>
    <mergeCell ref="C667:F667"/>
    <mergeCell ref="H667:I667"/>
    <mergeCell ref="K667:L667"/>
    <mergeCell ref="N670:N671"/>
    <mergeCell ref="G672:H672"/>
    <mergeCell ref="K670:L671"/>
    <mergeCell ref="C669:F669"/>
    <mergeCell ref="M670:M671"/>
    <mergeCell ref="K669:L669"/>
    <mergeCell ref="H670:I671"/>
    <mergeCell ref="J670:J671"/>
    <mergeCell ref="C666:F666"/>
    <mergeCell ref="H498:I498"/>
    <mergeCell ref="C498:F498"/>
    <mergeCell ref="C665:F665"/>
    <mergeCell ref="H504:I504"/>
    <mergeCell ref="K504:L504"/>
    <mergeCell ref="K498:L498"/>
    <mergeCell ref="K655:L655"/>
    <mergeCell ref="K672:L672"/>
    <mergeCell ref="K656:L656"/>
    <mergeCell ref="K665:L665"/>
    <mergeCell ref="H665:I665"/>
    <mergeCell ref="C657:F657"/>
    <mergeCell ref="H657:I657"/>
    <mergeCell ref="K657:L657"/>
    <mergeCell ref="K663:L663"/>
    <mergeCell ref="C663:F663"/>
    <mergeCell ref="C656:F656"/>
    <mergeCell ref="H446:I446"/>
    <mergeCell ref="K648:L648"/>
    <mergeCell ref="C648:F648"/>
    <mergeCell ref="H648:I648"/>
    <mergeCell ref="H465:I465"/>
    <mergeCell ref="K465:L465"/>
    <mergeCell ref="H669:I669"/>
    <mergeCell ref="H507:I507"/>
    <mergeCell ref="H455:I455"/>
    <mergeCell ref="H656:I656"/>
    <mergeCell ref="C431:F431"/>
    <mergeCell ref="H431:I431"/>
    <mergeCell ref="K493:L493"/>
    <mergeCell ref="C467:F467"/>
    <mergeCell ref="H467:I467"/>
    <mergeCell ref="K467:L467"/>
    <mergeCell ref="K539:L539"/>
    <mergeCell ref="H539:I539"/>
    <mergeCell ref="C539:F539"/>
    <mergeCell ref="C540:F540"/>
    <mergeCell ref="K540:L540"/>
    <mergeCell ref="H540:I540"/>
    <mergeCell ref="C458:F458"/>
    <mergeCell ref="C454:F454"/>
    <mergeCell ref="H454:I454"/>
    <mergeCell ref="C456:F456"/>
    <mergeCell ref="H456:I456"/>
    <mergeCell ref="K456:L456"/>
    <mergeCell ref="K454:L454"/>
    <mergeCell ref="C455:F455"/>
    <mergeCell ref="C435:F435"/>
    <mergeCell ref="H451:I451"/>
    <mergeCell ref="H475:I475"/>
    <mergeCell ref="K468:L468"/>
    <mergeCell ref="C471:F471"/>
    <mergeCell ref="K464:L464"/>
    <mergeCell ref="C477:F477"/>
    <mergeCell ref="K481:L481"/>
    <mergeCell ref="B670:B671"/>
    <mergeCell ref="C670:F671"/>
    <mergeCell ref="K460:L460"/>
    <mergeCell ref="K461:L461"/>
    <mergeCell ref="K463:L463"/>
    <mergeCell ref="H438:I438"/>
    <mergeCell ref="H441:I441"/>
    <mergeCell ref="C438:F438"/>
    <mergeCell ref="G670:G671"/>
    <mergeCell ref="K658:L658"/>
    <mergeCell ref="H658:I658"/>
    <mergeCell ref="C658:F658"/>
    <mergeCell ref="C518:F518"/>
    <mergeCell ref="K520:L520"/>
    <mergeCell ref="H520:I520"/>
    <mergeCell ref="C520:F520"/>
    <mergeCell ref="C515:F515"/>
    <mergeCell ref="H515:I515"/>
    <mergeCell ref="K515:L515"/>
    <mergeCell ref="K489:L489"/>
    <mergeCell ref="K487:L487"/>
    <mergeCell ref="C527:F527"/>
    <mergeCell ref="K528:L528"/>
    <mergeCell ref="H666:I666"/>
    <mergeCell ref="H663:I663"/>
    <mergeCell ref="C545:F545"/>
    <mergeCell ref="H544:I544"/>
    <mergeCell ref="H545:I545"/>
    <mergeCell ref="K545:L545"/>
    <mergeCell ref="C487:F487"/>
    <mergeCell ref="H488:I488"/>
    <mergeCell ref="C442:F442"/>
    <mergeCell ref="H449:I449"/>
    <mergeCell ref="H442:I442"/>
    <mergeCell ref="C449:F449"/>
    <mergeCell ref="K449:L449"/>
    <mergeCell ref="K459:L459"/>
    <mergeCell ref="K473:L473"/>
    <mergeCell ref="C470:F470"/>
    <mergeCell ref="C476:F476"/>
    <mergeCell ref="C483:F483"/>
    <mergeCell ref="K457:L457"/>
    <mergeCell ref="H457:I457"/>
    <mergeCell ref="C457:F457"/>
    <mergeCell ref="K469:L469"/>
    <mergeCell ref="H471:I471"/>
    <mergeCell ref="C465:F465"/>
    <mergeCell ref="K462:L462"/>
    <mergeCell ref="K452:L452"/>
    <mergeCell ref="K453:L453"/>
    <mergeCell ref="C450:F450"/>
    <mergeCell ref="H450:I450"/>
    <mergeCell ref="C472:F472"/>
    <mergeCell ref="H472:I472"/>
    <mergeCell ref="K472:L472"/>
    <mergeCell ref="H448:I448"/>
    <mergeCell ref="K448:L448"/>
    <mergeCell ref="K435:L435"/>
    <mergeCell ref="K436:L436"/>
    <mergeCell ref="C418:F418"/>
    <mergeCell ref="H419:I419"/>
    <mergeCell ref="K420:L420"/>
    <mergeCell ref="H425:I425"/>
    <mergeCell ref="C427:F427"/>
    <mergeCell ref="K426:L426"/>
    <mergeCell ref="C420:F420"/>
    <mergeCell ref="C426:F426"/>
    <mergeCell ref="C422:F422"/>
    <mergeCell ref="H443:I443"/>
    <mergeCell ref="K443:L443"/>
    <mergeCell ref="C443:F443"/>
    <mergeCell ref="K431:L431"/>
    <mergeCell ref="H437:I437"/>
    <mergeCell ref="H436:I436"/>
    <mergeCell ref="K424:L424"/>
    <mergeCell ref="C432:F432"/>
    <mergeCell ref="H426:I426"/>
    <mergeCell ref="H427:I427"/>
    <mergeCell ref="K427:L427"/>
    <mergeCell ref="C425:F425"/>
    <mergeCell ref="H421:I421"/>
    <mergeCell ref="K422:L422"/>
    <mergeCell ref="C430:F430"/>
    <mergeCell ref="H429:I429"/>
    <mergeCell ref="C423:F423"/>
    <mergeCell ref="H420:I420"/>
    <mergeCell ref="K434:L434"/>
    <mergeCell ref="C445:F445"/>
    <mergeCell ref="C448:F448"/>
    <mergeCell ref="K484:L484"/>
    <mergeCell ref="K444:L444"/>
    <mergeCell ref="K445:L445"/>
    <mergeCell ref="K451:L451"/>
    <mergeCell ref="C451:F451"/>
    <mergeCell ref="K437:L437"/>
    <mergeCell ref="H463:I463"/>
    <mergeCell ref="K432:L432"/>
    <mergeCell ref="H428:I428"/>
    <mergeCell ref="H424:I424"/>
    <mergeCell ref="C460:F460"/>
    <mergeCell ref="H433:I433"/>
    <mergeCell ref="K433:L433"/>
    <mergeCell ref="C433:F433"/>
    <mergeCell ref="H430:I430"/>
    <mergeCell ref="K428:L428"/>
    <mergeCell ref="C447:F447"/>
    <mergeCell ref="C446:F446"/>
    <mergeCell ref="H444:I444"/>
    <mergeCell ref="C453:F453"/>
    <mergeCell ref="K450:L450"/>
    <mergeCell ref="C429:F429"/>
    <mergeCell ref="C436:F436"/>
    <mergeCell ref="C437:F437"/>
    <mergeCell ref="H435:I435"/>
    <mergeCell ref="C441:F441"/>
    <mergeCell ref="H432:I432"/>
    <mergeCell ref="C428:F428"/>
    <mergeCell ref="K429:L429"/>
    <mergeCell ref="K442:L442"/>
    <mergeCell ref="H447:I447"/>
    <mergeCell ref="K447:L447"/>
    <mergeCell ref="H460:I460"/>
    <mergeCell ref="H483:I483"/>
    <mergeCell ref="C475:F475"/>
    <mergeCell ref="K474:L474"/>
    <mergeCell ref="C474:F474"/>
    <mergeCell ref="H474:I474"/>
    <mergeCell ref="K475:L475"/>
    <mergeCell ref="H476:I476"/>
    <mergeCell ref="K476:L476"/>
    <mergeCell ref="H469:I469"/>
    <mergeCell ref="H470:I470"/>
    <mergeCell ref="C469:F469"/>
    <mergeCell ref="H464:I464"/>
    <mergeCell ref="C461:F461"/>
    <mergeCell ref="C463:F463"/>
    <mergeCell ref="C464:F464"/>
    <mergeCell ref="C462:F462"/>
    <mergeCell ref="C466:F466"/>
    <mergeCell ref="H466:I466"/>
    <mergeCell ref="H453:I453"/>
    <mergeCell ref="H481:I481"/>
    <mergeCell ref="K470:L470"/>
    <mergeCell ref="K471:L471"/>
    <mergeCell ref="H468:I468"/>
    <mergeCell ref="H473:I473"/>
    <mergeCell ref="C452:F452"/>
    <mergeCell ref="H452:I452"/>
    <mergeCell ref="H461:I461"/>
    <mergeCell ref="H458:I458"/>
    <mergeCell ref="K458:L458"/>
    <mergeCell ref="C491:F491"/>
    <mergeCell ref="H496:I497"/>
    <mergeCell ref="J496:J497"/>
    <mergeCell ref="K496:L497"/>
    <mergeCell ref="K441:L441"/>
    <mergeCell ref="C481:F481"/>
    <mergeCell ref="K482:L482"/>
    <mergeCell ref="H482:I482"/>
    <mergeCell ref="C492:F492"/>
    <mergeCell ref="H491:I491"/>
    <mergeCell ref="K492:L492"/>
    <mergeCell ref="K488:L488"/>
    <mergeCell ref="K485:L485"/>
    <mergeCell ref="C489:F489"/>
    <mergeCell ref="K490:L490"/>
    <mergeCell ref="H490:I490"/>
    <mergeCell ref="K491:L491"/>
    <mergeCell ref="H477:I477"/>
    <mergeCell ref="H478:I478"/>
    <mergeCell ref="C478:F478"/>
    <mergeCell ref="H487:I487"/>
    <mergeCell ref="K480:L480"/>
    <mergeCell ref="H480:I480"/>
    <mergeCell ref="C480:F480"/>
    <mergeCell ref="C485:F485"/>
    <mergeCell ref="H489:I489"/>
    <mergeCell ref="K477:L477"/>
    <mergeCell ref="C488:F488"/>
    <mergeCell ref="C482:F482"/>
    <mergeCell ref="C486:F486"/>
    <mergeCell ref="H445:I445"/>
    <mergeCell ref="K446:L446"/>
    <mergeCell ref="H380:I381"/>
    <mergeCell ref="J380:J381"/>
    <mergeCell ref="K380:L381"/>
    <mergeCell ref="K393:L393"/>
    <mergeCell ref="H393:I393"/>
    <mergeCell ref="C382:F382"/>
    <mergeCell ref="C434:F434"/>
    <mergeCell ref="H417:I417"/>
    <mergeCell ref="C405:F405"/>
    <mergeCell ref="K385:L385"/>
    <mergeCell ref="K396:L396"/>
    <mergeCell ref="C395:F395"/>
    <mergeCell ref="C385:F385"/>
    <mergeCell ref="C401:F402"/>
    <mergeCell ref="G401:G402"/>
    <mergeCell ref="H401:I402"/>
    <mergeCell ref="C411:F411"/>
    <mergeCell ref="C421:F421"/>
    <mergeCell ref="H414:I414"/>
    <mergeCell ref="K415:L415"/>
    <mergeCell ref="C414:F414"/>
    <mergeCell ref="K416:L416"/>
    <mergeCell ref="K418:L418"/>
    <mergeCell ref="H407:I407"/>
    <mergeCell ref="C404:F404"/>
    <mergeCell ref="K425:L425"/>
    <mergeCell ref="H418:I418"/>
    <mergeCell ref="H415:I415"/>
    <mergeCell ref="H416:I416"/>
    <mergeCell ref="K430:L430"/>
    <mergeCell ref="H434:I434"/>
    <mergeCell ref="C410:F410"/>
    <mergeCell ref="C490:F490"/>
    <mergeCell ref="B439:B440"/>
    <mergeCell ref="C439:F440"/>
    <mergeCell ref="G439:G440"/>
    <mergeCell ref="H439:I440"/>
    <mergeCell ref="J439:J440"/>
    <mergeCell ref="K439:L440"/>
    <mergeCell ref="M439:M440"/>
    <mergeCell ref="N439:N440"/>
    <mergeCell ref="C397:F397"/>
    <mergeCell ref="H423:I423"/>
    <mergeCell ref="K423:L423"/>
    <mergeCell ref="K516:L516"/>
    <mergeCell ref="H493:I493"/>
    <mergeCell ref="H508:I508"/>
    <mergeCell ref="K508:L508"/>
    <mergeCell ref="K503:L503"/>
    <mergeCell ref="C499:F499"/>
    <mergeCell ref="C494:F494"/>
    <mergeCell ref="H494:I494"/>
    <mergeCell ref="H492:I492"/>
    <mergeCell ref="K478:L478"/>
    <mergeCell ref="H501:I501"/>
    <mergeCell ref="K501:L501"/>
    <mergeCell ref="H495:I495"/>
    <mergeCell ref="H499:I499"/>
    <mergeCell ref="K499:L499"/>
    <mergeCell ref="C504:F504"/>
    <mergeCell ref="H500:I500"/>
    <mergeCell ref="C501:F501"/>
    <mergeCell ref="K500:L500"/>
    <mergeCell ref="C509:F509"/>
    <mergeCell ref="H502:I502"/>
    <mergeCell ref="H512:I512"/>
    <mergeCell ref="C512:F512"/>
    <mergeCell ref="C468:F468"/>
    <mergeCell ref="K494:L494"/>
    <mergeCell ref="H485:I485"/>
    <mergeCell ref="K466:L466"/>
    <mergeCell ref="C459:F459"/>
    <mergeCell ref="H459:I459"/>
    <mergeCell ref="H518:I518"/>
    <mergeCell ref="H510:I510"/>
    <mergeCell ref="C500:F500"/>
    <mergeCell ref="H462:I462"/>
    <mergeCell ref="C503:F503"/>
    <mergeCell ref="H503:I503"/>
    <mergeCell ref="C505:F505"/>
    <mergeCell ref="H505:I505"/>
    <mergeCell ref="K505:L505"/>
    <mergeCell ref="C496:F497"/>
    <mergeCell ref="G496:G497"/>
    <mergeCell ref="C517:F517"/>
    <mergeCell ref="K511:L511"/>
    <mergeCell ref="H516:I516"/>
    <mergeCell ref="C508:F508"/>
    <mergeCell ref="C484:F484"/>
    <mergeCell ref="H484:I484"/>
    <mergeCell ref="K483:L483"/>
    <mergeCell ref="K479:L479"/>
    <mergeCell ref="H479:I479"/>
    <mergeCell ref="C479:F479"/>
    <mergeCell ref="K486:L486"/>
    <mergeCell ref="H486:I486"/>
    <mergeCell ref="H525:I525"/>
    <mergeCell ref="C531:F531"/>
    <mergeCell ref="K518:L518"/>
    <mergeCell ref="C511:F511"/>
    <mergeCell ref="C534:F534"/>
    <mergeCell ref="K517:L517"/>
    <mergeCell ref="H517:I517"/>
    <mergeCell ref="K509:L509"/>
    <mergeCell ref="H509:I509"/>
    <mergeCell ref="C516:F516"/>
    <mergeCell ref="C507:F507"/>
    <mergeCell ref="K507:L507"/>
    <mergeCell ref="H528:I528"/>
    <mergeCell ref="C528:F528"/>
    <mergeCell ref="C521:F521"/>
    <mergeCell ref="H521:I521"/>
    <mergeCell ref="K521:L521"/>
    <mergeCell ref="C510:F510"/>
    <mergeCell ref="K646:L647"/>
    <mergeCell ref="K565:L565"/>
    <mergeCell ref="C567:F567"/>
    <mergeCell ref="H567:I567"/>
    <mergeCell ref="K567:L567"/>
    <mergeCell ref="C568:F568"/>
    <mergeCell ref="H568:I568"/>
    <mergeCell ref="K568:L568"/>
    <mergeCell ref="K554:L554"/>
    <mergeCell ref="C555:F555"/>
    <mergeCell ref="H555:I555"/>
    <mergeCell ref="K555:L555"/>
    <mergeCell ref="K560:L560"/>
    <mergeCell ref="C583:F583"/>
    <mergeCell ref="C554:F554"/>
    <mergeCell ref="H554:I554"/>
    <mergeCell ref="H560:I560"/>
    <mergeCell ref="K628:L628"/>
    <mergeCell ref="H627:I627"/>
    <mergeCell ref="H628:I628"/>
    <mergeCell ref="C627:F627"/>
    <mergeCell ref="C628:F628"/>
    <mergeCell ref="K557:L557"/>
    <mergeCell ref="K558:L558"/>
    <mergeCell ref="C559:F559"/>
    <mergeCell ref="H559:I559"/>
    <mergeCell ref="K559:L559"/>
    <mergeCell ref="C622:F622"/>
    <mergeCell ref="H622:I622"/>
    <mergeCell ref="K640:L640"/>
    <mergeCell ref="C642:F642"/>
    <mergeCell ref="H642:I642"/>
    <mergeCell ref="B605:B606"/>
    <mergeCell ref="C581:F581"/>
    <mergeCell ref="C655:F655"/>
    <mergeCell ref="H655:I655"/>
    <mergeCell ref="C570:F570"/>
    <mergeCell ref="H653:I653"/>
    <mergeCell ref="K653:L653"/>
    <mergeCell ref="C653:F653"/>
    <mergeCell ref="C582:F582"/>
    <mergeCell ref="H582:I582"/>
    <mergeCell ref="K582:L582"/>
    <mergeCell ref="C586:F586"/>
    <mergeCell ref="H586:I586"/>
    <mergeCell ref="K586:L586"/>
    <mergeCell ref="H580:I580"/>
    <mergeCell ref="H581:I581"/>
    <mergeCell ref="C579:F579"/>
    <mergeCell ref="C580:F580"/>
    <mergeCell ref="C621:F621"/>
    <mergeCell ref="H621:I621"/>
    <mergeCell ref="K621:L621"/>
    <mergeCell ref="C587:F587"/>
    <mergeCell ref="H587:I587"/>
    <mergeCell ref="K587:L587"/>
    <mergeCell ref="K593:L593"/>
    <mergeCell ref="H651:I651"/>
    <mergeCell ref="K651:L651"/>
    <mergeCell ref="C575:F575"/>
    <mergeCell ref="C600:F600"/>
    <mergeCell ref="H600:I600"/>
    <mergeCell ref="B646:B647"/>
    <mergeCell ref="C646:F647"/>
    <mergeCell ref="C664:F664"/>
    <mergeCell ref="H664:I664"/>
    <mergeCell ref="K664:L664"/>
    <mergeCell ref="H662:I662"/>
    <mergeCell ref="K662:L662"/>
    <mergeCell ref="C546:F546"/>
    <mergeCell ref="H546:I546"/>
    <mergeCell ref="H570:I570"/>
    <mergeCell ref="K570:L570"/>
    <mergeCell ref="C571:F571"/>
    <mergeCell ref="H571:I571"/>
    <mergeCell ref="K571:L571"/>
    <mergeCell ref="K573:L573"/>
    <mergeCell ref="H573:I573"/>
    <mergeCell ref="C573:F573"/>
    <mergeCell ref="C563:F563"/>
    <mergeCell ref="H563:I563"/>
    <mergeCell ref="K564:L564"/>
    <mergeCell ref="C565:F565"/>
    <mergeCell ref="H565:I565"/>
    <mergeCell ref="K594:L594"/>
    <mergeCell ref="H583:I583"/>
    <mergeCell ref="K580:L580"/>
    <mergeCell ref="C593:F593"/>
    <mergeCell ref="H589:I589"/>
    <mergeCell ref="K589:L589"/>
    <mergeCell ref="H593:I593"/>
    <mergeCell ref="C572:F572"/>
    <mergeCell ref="H576:I576"/>
    <mergeCell ref="H577:I577"/>
    <mergeCell ref="K577:L577"/>
    <mergeCell ref="C578:F578"/>
    <mergeCell ref="C659:F659"/>
    <mergeCell ref="H659:I659"/>
    <mergeCell ref="K659:L659"/>
    <mergeCell ref="C574:F574"/>
    <mergeCell ref="C547:F547"/>
    <mergeCell ref="C576:F576"/>
    <mergeCell ref="H547:I547"/>
    <mergeCell ref="K576:L576"/>
    <mergeCell ref="K563:L563"/>
    <mergeCell ref="C564:F564"/>
    <mergeCell ref="K532:L532"/>
    <mergeCell ref="K533:L533"/>
    <mergeCell ref="K534:L534"/>
    <mergeCell ref="C538:F538"/>
    <mergeCell ref="H531:I531"/>
    <mergeCell ref="H532:I532"/>
    <mergeCell ref="H533:I533"/>
    <mergeCell ref="H534:I534"/>
    <mergeCell ref="H538:I538"/>
    <mergeCell ref="K547:L547"/>
    <mergeCell ref="H553:I553"/>
    <mergeCell ref="C553:F553"/>
    <mergeCell ref="C550:F550"/>
    <mergeCell ref="H550:I550"/>
    <mergeCell ref="K550:L550"/>
    <mergeCell ref="C551:F551"/>
    <mergeCell ref="H551:I551"/>
    <mergeCell ref="K551:L551"/>
    <mergeCell ref="C558:F558"/>
    <mergeCell ref="H558:I558"/>
    <mergeCell ref="C557:F557"/>
    <mergeCell ref="H557:I557"/>
    <mergeCell ref="M496:M497"/>
    <mergeCell ref="N496:N497"/>
    <mergeCell ref="C523:F523"/>
    <mergeCell ref="H523:I523"/>
    <mergeCell ref="K523:L523"/>
    <mergeCell ref="K524:L524"/>
    <mergeCell ref="C526:F526"/>
    <mergeCell ref="H526:I526"/>
    <mergeCell ref="K526:L526"/>
    <mergeCell ref="H386:I386"/>
    <mergeCell ref="K384:L384"/>
    <mergeCell ref="C409:F409"/>
    <mergeCell ref="C415:F415"/>
    <mergeCell ref="M548:M549"/>
    <mergeCell ref="K512:L512"/>
    <mergeCell ref="C495:F495"/>
    <mergeCell ref="K495:L495"/>
    <mergeCell ref="C493:F493"/>
    <mergeCell ref="C473:F473"/>
    <mergeCell ref="C541:F541"/>
    <mergeCell ref="H541:I541"/>
    <mergeCell ref="K541:L541"/>
    <mergeCell ref="C532:F532"/>
    <mergeCell ref="C533:F533"/>
    <mergeCell ref="K538:L538"/>
    <mergeCell ref="K522:L522"/>
    <mergeCell ref="K531:L531"/>
    <mergeCell ref="K525:L525"/>
    <mergeCell ref="K510:L510"/>
    <mergeCell ref="K527:L527"/>
    <mergeCell ref="H527:I527"/>
    <mergeCell ref="C525:F525"/>
    <mergeCell ref="K583:L583"/>
    <mergeCell ref="C584:F584"/>
    <mergeCell ref="H584:I584"/>
    <mergeCell ref="K584:L584"/>
    <mergeCell ref="H572:I572"/>
    <mergeCell ref="K572:L572"/>
    <mergeCell ref="C569:F569"/>
    <mergeCell ref="H569:I569"/>
    <mergeCell ref="K569:L569"/>
    <mergeCell ref="H574:I574"/>
    <mergeCell ref="K574:L574"/>
    <mergeCell ref="H566:I566"/>
    <mergeCell ref="K566:L566"/>
    <mergeCell ref="C594:F594"/>
    <mergeCell ref="H594:I594"/>
    <mergeCell ref="H598:I598"/>
    <mergeCell ref="N548:N549"/>
    <mergeCell ref="K552:L552"/>
    <mergeCell ref="H552:I552"/>
    <mergeCell ref="C552:F552"/>
    <mergeCell ref="K553:L553"/>
    <mergeCell ref="K561:L561"/>
    <mergeCell ref="H564:I564"/>
    <mergeCell ref="C561:F561"/>
    <mergeCell ref="H561:I561"/>
    <mergeCell ref="C556:F556"/>
    <mergeCell ref="H556:I556"/>
    <mergeCell ref="K556:L556"/>
    <mergeCell ref="C562:F562"/>
    <mergeCell ref="C566:F566"/>
    <mergeCell ref="G548:G549"/>
    <mergeCell ref="H548:I549"/>
    <mergeCell ref="F16:H16"/>
    <mergeCell ref="F13:H13"/>
    <mergeCell ref="C326:F326"/>
    <mergeCell ref="H326:I326"/>
    <mergeCell ref="K326:L326"/>
    <mergeCell ref="C338:F338"/>
    <mergeCell ref="H338:I338"/>
    <mergeCell ref="K338:L338"/>
    <mergeCell ref="C597:F597"/>
    <mergeCell ref="H597:I597"/>
    <mergeCell ref="K597:L597"/>
    <mergeCell ref="C577:F577"/>
    <mergeCell ref="C560:F560"/>
    <mergeCell ref="C595:F595"/>
    <mergeCell ref="H595:I595"/>
    <mergeCell ref="K595:L595"/>
    <mergeCell ref="C585:F585"/>
    <mergeCell ref="H585:I585"/>
    <mergeCell ref="K585:L585"/>
    <mergeCell ref="C588:F588"/>
    <mergeCell ref="H588:I588"/>
    <mergeCell ref="K588:L588"/>
    <mergeCell ref="H579:I579"/>
    <mergeCell ref="K581:L581"/>
    <mergeCell ref="K579:L579"/>
    <mergeCell ref="L21:N21"/>
    <mergeCell ref="C529:F529"/>
    <mergeCell ref="B40:C40"/>
    <mergeCell ref="C332:F332"/>
    <mergeCell ref="H332:I332"/>
    <mergeCell ref="B36:E36"/>
    <mergeCell ref="B35:C35"/>
    <mergeCell ref="N646:N647"/>
    <mergeCell ref="C616:F616"/>
    <mergeCell ref="H616:I616"/>
    <mergeCell ref="C609:F609"/>
    <mergeCell ref="H609:I609"/>
    <mergeCell ref="K609:L609"/>
    <mergeCell ref="K610:L610"/>
    <mergeCell ref="C645:F645"/>
    <mergeCell ref="C590:F590"/>
    <mergeCell ref="C592:F592"/>
    <mergeCell ref="C602:F602"/>
    <mergeCell ref="C603:F603"/>
    <mergeCell ref="C610:F610"/>
    <mergeCell ref="K590:L590"/>
    <mergeCell ref="H590:I590"/>
    <mergeCell ref="K592:L592"/>
    <mergeCell ref="H592:I592"/>
    <mergeCell ref="K602:L602"/>
    <mergeCell ref="H602:I602"/>
    <mergeCell ref="H603:I603"/>
    <mergeCell ref="K603:L603"/>
    <mergeCell ref="H601:I601"/>
    <mergeCell ref="K601:L601"/>
    <mergeCell ref="K622:L622"/>
    <mergeCell ref="M646:M647"/>
    <mergeCell ref="C598:F598"/>
    <mergeCell ref="H614:I614"/>
    <mergeCell ref="K616:L616"/>
    <mergeCell ref="C620:F620"/>
    <mergeCell ref="H620:I620"/>
    <mergeCell ref="K620:L620"/>
    <mergeCell ref="C608:F608"/>
    <mergeCell ref="H652:I652"/>
    <mergeCell ref="C651:F651"/>
    <mergeCell ref="C615:F615"/>
    <mergeCell ref="H615:I615"/>
    <mergeCell ref="K615:L615"/>
    <mergeCell ref="H610:I610"/>
    <mergeCell ref="G605:G606"/>
    <mergeCell ref="H605:I606"/>
    <mergeCell ref="J605:J606"/>
    <mergeCell ref="C611:F611"/>
    <mergeCell ref="H611:I611"/>
    <mergeCell ref="K611:L611"/>
    <mergeCell ref="K607:L607"/>
    <mergeCell ref="C612:F612"/>
    <mergeCell ref="C624:F624"/>
    <mergeCell ref="H624:I624"/>
    <mergeCell ref="K624:L624"/>
    <mergeCell ref="C626:F626"/>
    <mergeCell ref="H626:I626"/>
    <mergeCell ref="K626:L626"/>
    <mergeCell ref="H645:I645"/>
    <mergeCell ref="C605:F606"/>
    <mergeCell ref="C613:F613"/>
    <mergeCell ref="C614:F614"/>
    <mergeCell ref="K612:L612"/>
    <mergeCell ref="H612:I612"/>
    <mergeCell ref="H613:I613"/>
    <mergeCell ref="H608:I608"/>
    <mergeCell ref="K608:L608"/>
    <mergeCell ref="G646:G647"/>
    <mergeCell ref="H646:I647"/>
    <mergeCell ref="J646:J647"/>
    <mergeCell ref="I52:K52"/>
    <mergeCell ref="I50:K50"/>
    <mergeCell ref="I53:K53"/>
    <mergeCell ref="K562:L562"/>
    <mergeCell ref="H562:I562"/>
    <mergeCell ref="B548:B549"/>
    <mergeCell ref="C548:F549"/>
    <mergeCell ref="K543:L543"/>
    <mergeCell ref="C543:F543"/>
    <mergeCell ref="H543:I543"/>
    <mergeCell ref="H542:I542"/>
    <mergeCell ref="K542:L542"/>
    <mergeCell ref="K546:L546"/>
    <mergeCell ref="K544:L544"/>
    <mergeCell ref="H354:I354"/>
    <mergeCell ref="F53:H53"/>
    <mergeCell ref="C352:F352"/>
    <mergeCell ref="H352:I352"/>
    <mergeCell ref="K352:L352"/>
    <mergeCell ref="C544:F544"/>
    <mergeCell ref="H529:I529"/>
    <mergeCell ref="K529:L529"/>
    <mergeCell ref="J548:J549"/>
    <mergeCell ref="K548:L549"/>
    <mergeCell ref="C542:F542"/>
    <mergeCell ref="C535:F535"/>
    <mergeCell ref="H535:I535"/>
    <mergeCell ref="K535:L535"/>
    <mergeCell ref="K354:L354"/>
    <mergeCell ref="C524:F524"/>
    <mergeCell ref="H524:I524"/>
    <mergeCell ref="B496:B497"/>
    <mergeCell ref="K638:L638"/>
    <mergeCell ref="C639:F639"/>
    <mergeCell ref="H639:I639"/>
    <mergeCell ref="K639:L639"/>
    <mergeCell ref="L42:N42"/>
    <mergeCell ref="C660:F660"/>
    <mergeCell ref="H660:I660"/>
    <mergeCell ref="K660:L660"/>
    <mergeCell ref="L44:N44"/>
    <mergeCell ref="K619:L619"/>
    <mergeCell ref="H619:I619"/>
    <mergeCell ref="C619:F619"/>
    <mergeCell ref="K623:L623"/>
    <mergeCell ref="H623:I623"/>
    <mergeCell ref="C623:F623"/>
    <mergeCell ref="M605:M606"/>
    <mergeCell ref="N605:N606"/>
    <mergeCell ref="C591:F591"/>
    <mergeCell ref="H591:I591"/>
    <mergeCell ref="K591:L591"/>
    <mergeCell ref="C601:F601"/>
    <mergeCell ref="K614:L614"/>
    <mergeCell ref="K613:L613"/>
    <mergeCell ref="B119:C119"/>
    <mergeCell ref="B120:C120"/>
    <mergeCell ref="C641:F641"/>
    <mergeCell ref="H641:I641"/>
    <mergeCell ref="C519:F519"/>
    <mergeCell ref="K519:L519"/>
    <mergeCell ref="H519:I519"/>
    <mergeCell ref="H522:I522"/>
    <mergeCell ref="C522:F522"/>
    <mergeCell ref="K641:L641"/>
    <mergeCell ref="C644:F644"/>
    <mergeCell ref="H644:I644"/>
    <mergeCell ref="K644:L644"/>
    <mergeCell ref="C668:F668"/>
    <mergeCell ref="H668:I668"/>
    <mergeCell ref="K668:L668"/>
    <mergeCell ref="K598:L598"/>
    <mergeCell ref="C607:F607"/>
    <mergeCell ref="H607:I607"/>
    <mergeCell ref="H575:I575"/>
    <mergeCell ref="K575:L575"/>
    <mergeCell ref="H578:I578"/>
    <mergeCell ref="K578:L578"/>
    <mergeCell ref="K661:L661"/>
    <mergeCell ref="H661:I661"/>
    <mergeCell ref="C661:F661"/>
    <mergeCell ref="C650:F650"/>
    <mergeCell ref="H650:I650"/>
    <mergeCell ref="K650:L650"/>
    <mergeCell ref="K654:L654"/>
    <mergeCell ref="H654:I654"/>
    <mergeCell ref="K627:L627"/>
    <mergeCell ref="C654:F654"/>
    <mergeCell ref="K605:L606"/>
    <mergeCell ref="K652:L652"/>
    <mergeCell ref="C652:F652"/>
    <mergeCell ref="C637:F637"/>
    <mergeCell ref="H637:I637"/>
    <mergeCell ref="K637:L637"/>
    <mergeCell ref="C638:F638"/>
    <mergeCell ref="H638:I638"/>
    <mergeCell ref="B41:E41"/>
    <mergeCell ref="B42:C42"/>
    <mergeCell ref="K333:L333"/>
    <mergeCell ref="H333:I333"/>
    <mergeCell ref="C333:F333"/>
    <mergeCell ref="K371:L371"/>
    <mergeCell ref="H371:I371"/>
    <mergeCell ref="C371:F371"/>
    <mergeCell ref="K632:L632"/>
    <mergeCell ref="H632:I632"/>
    <mergeCell ref="C632:F632"/>
    <mergeCell ref="C633:F633"/>
    <mergeCell ref="C634:F634"/>
    <mergeCell ref="K633:L633"/>
    <mergeCell ref="H633:I633"/>
    <mergeCell ref="K634:L634"/>
    <mergeCell ref="H634:I634"/>
    <mergeCell ref="K617:L617"/>
    <mergeCell ref="H617:I617"/>
    <mergeCell ref="C617:F617"/>
    <mergeCell ref="K618:L618"/>
    <mergeCell ref="H618:I618"/>
    <mergeCell ref="C618:F618"/>
    <mergeCell ref="K625:L625"/>
    <mergeCell ref="H625:I625"/>
    <mergeCell ref="C625:F625"/>
    <mergeCell ref="B113:C113"/>
    <mergeCell ref="B114:C114"/>
    <mergeCell ref="B115:C115"/>
    <mergeCell ref="B116:C116"/>
    <mergeCell ref="B117:C117"/>
    <mergeCell ref="B118:C118"/>
  </mergeCells>
  <phoneticPr fontId="104" type="noConversion"/>
  <hyperlinks>
    <hyperlink ref="B123:N123" r:id="rId1" display="Meteoritical Bulletin Database" xr:uid="{00000000-0004-0000-0000-000003000000}"/>
    <hyperlink ref="B682" r:id="rId2" display="http://www.imca.cc/mars/martian-meteorites-list.htm" xr:uid="{00000000-0004-0000-0000-000004000000}"/>
    <hyperlink ref="D679:E679" r:id="rId3" location="gsc.tab=0" display="U.S. Antarctic (ANSMET)" xr:uid="{00000000-0004-0000-0000-0000BD000000}"/>
    <hyperlink ref="B284:B297" location="ATOP" display="ATOP" xr:uid="{2AE1BBCF-A2BC-4496-BAF7-5658B6976B6B}"/>
    <hyperlink ref="B259:B270" location="NWA_8046" display="NWA_8046" xr:uid="{94B88D2D-0CBF-4857-BE9D-62BE292856A4}"/>
    <hyperlink ref="B258:B270" location="ATOP" display="ATOP" xr:uid="{2CD33242-4B45-4BFA-A3AC-641A3D7A6556}"/>
    <hyperlink ref="I34" location="moon_meteorites_list_alumina!LYNCH" display="Lynch 002" xr:uid="{D9257314-6555-4463-AE3C-DFBA3914B13F}"/>
    <hyperlink ref="D14" location="ABAR" display="012" xr:uid="{C5CAEC54-F821-442C-90C0-AD73141676C1}"/>
    <hyperlink ref="I36" location="MAC_88" display="88104 " xr:uid="{372B4D1E-79B0-4206-8010-6F8DE73F0FE7}"/>
    <hyperlink ref="J36" location="MAC_88" display="88105" xr:uid="{F8CA9DC2-41F1-4F04-BC0F-08F790247721}"/>
    <hyperlink ref="B29" location="ALHA_81005" display="A81005" xr:uid="{7774AE01-D184-4FB7-AACC-4B144CA69BE4}"/>
    <hyperlink ref="I38" location="MET_01210" display="01210" xr:uid="{1C9CA2BB-CE30-409D-AF31-029D2AA5BAA6}"/>
    <hyperlink ref="I40" location="MIL_05035" display="05035" xr:uid="{4EEDD103-BA8E-4CBC-9658-B406FFAFEDB0}"/>
    <hyperlink ref="J40" location="MIL_07006" display="07006" xr:uid="{BAB39396-79D1-421F-8423-10586A82ED15}"/>
    <hyperlink ref="I41" location="MIL_090036" display="090036" xr:uid="{0ABABE7B-6767-4C0A-BC0C-5837FA955944}"/>
    <hyperlink ref="I42" location="MIL_13317" display="MIL_13317" xr:uid="{B0802E06-E435-4C7B-A6FA-6F22A6282124}"/>
    <hyperlink ref="K40" location="MIL_090034" display="090034" xr:uid="{EFD0238D-6E81-48A3-B114-44A1E7736A10}"/>
    <hyperlink ref="J41" location="MIL_090034" display="090034" xr:uid="{2A807E2E-E7B9-4574-A249-4DA32E336CA7}"/>
    <hyperlink ref="K41" location="MIL_090034" display="090034" xr:uid="{E8A0120B-0DF2-4D43-A58A-E953D79A0F12}"/>
    <hyperlink ref="B44" location="Asuka" display="881757" xr:uid="{A6C57771-8383-4ABB-B86F-DEB7208FEE76}"/>
    <hyperlink ref="I44" location="NEA_001" display="001" xr:uid="{2E901747-B9A8-4EB2-B279-D872B362864C}"/>
    <hyperlink ref="J44" location="NEA_003" display="003" xr:uid="{3AA4447A-A322-4239-8B25-FCD895AF179A}"/>
    <hyperlink ref="B54:E54" location="moon_meteorites_list_alumina!CALCR" display="Calcalong Creek" xr:uid="{4B2B685B-040F-43BD-92C6-0FF3C5E1E756}"/>
    <hyperlink ref="B31" location="NWA_773" display="Anoual" xr:uid="{FBD55644-B230-42E3-B728-EB419C42F4BD}"/>
    <hyperlink ref="F46" location="GRA_06157" display="06157" xr:uid="{ECD925BE-65D5-44F8-973A-CD50DF23F950}"/>
    <hyperlink ref="G35" location="Errachidia" display="Errachidia" xr:uid="{60002DC8-0651-4513-AF03-C199EDEAE6D2}"/>
    <hyperlink ref="B33" location="ArPe007" display="007" xr:uid="{EC0D032D-E461-4CF0-A3D5-83E80DE86C5A}"/>
    <hyperlink ref="J32:K32" location="LAR_06638" display="Larkman Nunatak  06638" xr:uid="{558737D8-547F-4F37-B51D-CDB0BBDF39C7}"/>
    <hyperlink ref="B677:N677" r:id="rId4" display="Lunar Sourcebook (1991) G. H. Heiken, D. T. Vaniman, and B. M. French, eds., Cambridge University Press" xr:uid="{DDF2BB87-D30D-415C-937F-43CF405F445D}"/>
    <hyperlink ref="B687" r:id="rId5" display="http://eps.wustl.edu/" xr:uid="{63FCC226-32A3-470B-B150-C37E6C96F25A}"/>
    <hyperlink ref="B687:N687" r:id="rId6" display="Washington University in St. Louis" xr:uid="{176B5787-457C-4E76-A949-48764223310B}"/>
    <hyperlink ref="G21" location="DOM_18262" display="18244" xr:uid="{469436B1-E5D7-4F43-9400-E382C8647DA7}"/>
    <hyperlink ref="H21" location="DOM_18262" display="18262" xr:uid="{01EA3A3B-4412-4CE9-A6C3-013E8067D7DC}"/>
    <hyperlink ref="G22" location="DOM_18262" display="18543" xr:uid="{6D7F58DD-5FA6-4B4F-82E2-B0EEB27D478C}"/>
    <hyperlink ref="B62" location="DHO_025" display="025" xr:uid="{DF208AB9-6DFD-49F4-B143-0984C92DD5F5}"/>
    <hyperlink ref="B65" location="DHO_081" display="081" xr:uid="{9BBBB53F-BB15-4E3D-A534-FDF60ABC3B2C}"/>
    <hyperlink ref="B64" location="DHO_081" display="081" xr:uid="{1028068A-5297-43DA-A68A-368DB1400F53}"/>
    <hyperlink ref="B66" location="DHO_287" display="DHO_287" xr:uid="{9316E9C6-0291-4F34-8254-1AC611D56B1F}"/>
    <hyperlink ref="B63" location="DHO_026" display="026" xr:uid="{F0ED0F53-215E-414A-AD9A-D7E0DDE60931}"/>
    <hyperlink ref="B67" location="DHO_025" display="025" xr:uid="{3BF21E79-EAD0-49A0-A020-BF1E117A21C1}"/>
    <hyperlink ref="B69" location="NWA_032" display="032" xr:uid="{67F079F9-11BE-412A-9BCF-68C1B6E9F011}"/>
    <hyperlink ref="B78" location="NWA_773" display="NWA_773" xr:uid="{0231C91A-8435-4289-B595-F4D96E07E3E5}"/>
    <hyperlink ref="B87" location="NWA_2995" display="NWA_2995" xr:uid="{DF4171D0-3462-4DF9-B640-77E1E4C082BE}"/>
    <hyperlink ref="B96" location="NWA_4884" display="NWA_4884" xr:uid="{B9C02066-B5F1-4A3A-9FEC-516B9AC086C3}"/>
    <hyperlink ref="B70" location="NWA_032" display="NWA_032" xr:uid="{04A6C48D-3D84-41E0-8601-1F4F076BDEE5}"/>
    <hyperlink ref="B79" location="NWA_773" display="NWA_773" xr:uid="{EBD10611-5EC5-4AF9-9A75-958D1608851B}"/>
    <hyperlink ref="B88" location="NWA_773" display="NWA_773" xr:uid="{3C18F7FF-B13C-4664-9F2C-0B756F949BBA}"/>
    <hyperlink ref="B97" location="NWA_4898" display="NWA_4898" xr:uid="{0348F280-5CD7-4890-8523-EDE0ADEB8CB8}"/>
    <hyperlink ref="B71" location="NWA_482" display="NWA_482" xr:uid="{5F5B4406-AA49-4ACE-BA5C-1FDAEE99F128}"/>
    <hyperlink ref="B80" location="NWA_2995" display="NWA_2995" xr:uid="{1E324C42-20C7-480E-BA8C-F723FAF045A0}"/>
    <hyperlink ref="B89" location="NWA_4472" display="NWA_4472" xr:uid="{2602A63F-55DC-46BA-81DD-DBF204263828}"/>
    <hyperlink ref="B98" location="NWA_4932" display="NWA_4932" xr:uid="{EB89A023-5180-4243-ADB0-C553C5560C5B}"/>
    <hyperlink ref="B72" location="NWA_773" display="NWA_773" xr:uid="{72D870A0-7EB4-4AA2-9DE7-76415EC46855}"/>
    <hyperlink ref="B81" location="NWA_2995" display="NWA_2995" xr:uid="{0FD7CC39-934E-43A1-8A5F-7E4AE33C306C}"/>
    <hyperlink ref="B90" location="NWA_3163" display="NWA_3163" xr:uid="{1F831DD5-76C4-431D-9876-E97B1C99F2D2}"/>
    <hyperlink ref="B99" location="NWA_4936" display="NWA_4936" xr:uid="{E55CC3AD-6BD9-492E-8E5C-E67AE540188C}"/>
    <hyperlink ref="B82" location="NWA_2998" display="2998 " xr:uid="{AE9D2D92-EC55-4259-94E5-918B746D671E}"/>
    <hyperlink ref="B73" location="NWA_2200" display="NWA_2200" xr:uid="{3421D1D4-079C-4BED-8649-AAFA40B325DB}"/>
    <hyperlink ref="B91" location="NWA_4472" display="NWA_4472" xr:uid="{2DA337FE-B2DA-4019-88AE-DA7DBC544864}"/>
    <hyperlink ref="B100" location="NWA_5000" display="NWA_5000" xr:uid="{1262EC3F-A1CE-4EAE-8058-C4C70CC99937}"/>
    <hyperlink ref="B92" location="NWA_2995" display="NWA_2995" xr:uid="{B6BB7594-CA75-4E4E-8D25-BD84EEA537C0}"/>
    <hyperlink ref="B83" location="NWA_3136" display="3136 " xr:uid="{F7007AC7-0B89-4920-AB29-D1A1B7AF3C20}"/>
    <hyperlink ref="B74" location="NWA_7611" display="NWA_7611" xr:uid="{89F67134-01D3-433E-B24C-A0EA7DC9BA25}"/>
    <hyperlink ref="B84" location="NWA_773" display="NWA_773" xr:uid="{55AA5153-D86E-4398-A59E-5B7B61F20654}"/>
    <hyperlink ref="B93" location="NWA_4734" display="NWA_4734" xr:uid="{B17E4E38-D4DA-4B64-B508-DEC783D0CB7D}"/>
    <hyperlink ref="B75" location="NWA_2420" display="NWA_2420" xr:uid="{77E6A51F-8F59-4196-9A4B-A7BB9D8F49AD}"/>
    <hyperlink ref="B85" location="NWA_3163" display="NWA_3163" xr:uid="{9BFC63E4-AE5C-4DEC-BDCD-31D294572CFF}"/>
    <hyperlink ref="B94" location="NWA_4819" display="NWA_4819" xr:uid="{D7DCFEE7-B982-44A6-9157-50EFF027E45F}"/>
    <hyperlink ref="B76" location="NWA_8046" display="NWA_8046" xr:uid="{3060C1A5-FDDA-4BED-B385-2A124AC1AF50}"/>
    <hyperlink ref="B77" location="NWA_773" display="NWA_773" xr:uid="{76EBCAB9-FC21-441D-863D-EC546211DDA3}"/>
    <hyperlink ref="B86" location="NWA_773" display="NWA_773" xr:uid="{9C4B1882-0E5E-469C-A248-6D52E9B0659E}"/>
    <hyperlink ref="B95" location="NWA_3163" display="NWA_3163" xr:uid="{B57CA6DD-FCCF-4AC1-9AF2-F51BE1BBCB99}"/>
    <hyperlink ref="B101" location="NWA_2995" display="NWA_2995" xr:uid="{C78EDD5F-7984-4F77-980A-8666C1261F9D}"/>
    <hyperlink ref="B102" location="NWA_2995" display="NWA_2995" xr:uid="{1B005ED4-F8DC-4E0A-8BA2-693D6F9EBE40}"/>
    <hyperlink ref="B103" location="NWA_5153" display="NWA_5153" xr:uid="{E79E8B35-5410-4F44-A9D5-81C1E84E77F4}"/>
    <hyperlink ref="B114" location="NWA_2995" display="NWA_2995" xr:uid="{9748ACD9-5E32-4F09-BC99-0B2967CE29EE}"/>
    <hyperlink ref="B105" location="NWA_4936" display="NWA_4936" xr:uid="{C5114338-9227-42C0-AA91-33B364B32EA9}"/>
    <hyperlink ref="D71" location="NWA_7022" display="NWA_7022" xr:uid="{A9F252B6-A416-4AD6-8376-B844BD3BA738}"/>
    <hyperlink ref="D80" location="NWA_7959" display="NWA_7959" xr:uid="{FD2C42B5-0521-4DAB-8003-BE281FA0FE39}"/>
    <hyperlink ref="B115" location="NWA_4936" display="NWA_4936" xr:uid="{E6AFB026-95FB-4FE7-B09A-C9B696FC4760}"/>
    <hyperlink ref="D72" location="NWA_4936" display="NWA_4936" xr:uid="{FFBAA3C2-F830-4E46-98DE-582A0B8A9509}"/>
    <hyperlink ref="B106" location="NWA_5744" display="NWA_5744" xr:uid="{269A6811-383E-4E2F-A2CC-085256D39CE3}"/>
    <hyperlink ref="B107" location="NWA_4936" display="NWA_4936" xr:uid="{2D835BB1-B7F9-430F-94C8-2EF64BD3CAED}"/>
    <hyperlink ref="B116" location="NWA_6578" display="NWA_6578" xr:uid="{201504D4-3F77-4CF7-9033-1DD5D427191F}"/>
    <hyperlink ref="D73" location="NWA_2998" display="NWA_2998" xr:uid="{A11DC0C1-0BD1-40AE-9BC2-ED5C1A63C8E0}"/>
    <hyperlink ref="B108" location="NWA_2995" display="NWA_2995" xr:uid="{5571CEBE-A76C-414F-A0E8-BA9877941431}"/>
    <hyperlink ref="B117" location="NWA_6687" display="NWA_6687" xr:uid="{2D8E9B1F-B950-40C8-B6BD-DB5F91447819}"/>
    <hyperlink ref="D74" location="NWA_7274" display="7274 " xr:uid="{78F65FFC-A573-4D60-8665-BE9B34F63336}"/>
    <hyperlink ref="B109" location="NWA_3163" display="NWA_3163" xr:uid="{0C2D5CBA-EAE1-4F50-99A9-1100D4C1A442}"/>
    <hyperlink ref="B118" location="NWA_6721" display="NWA_6721" xr:uid="{86659391-73C6-4E53-BC4A-2682F7E53060}"/>
    <hyperlink ref="D75" location="NWA_7493" display="NWA_7493" xr:uid="{F4DD9FF3-CAEA-4550-8C6E-B17A70C2D113}"/>
    <hyperlink ref="B110" location="NWA_4936" display="NWA_4936" xr:uid="{08BF49DE-D31F-4321-A2EB-047B062453E7}"/>
    <hyperlink ref="D76" location="NWA_7611" display="NWA_7611" xr:uid="{6849939F-1C08-4782-A148-1376412F0DBF}"/>
    <hyperlink ref="B119" location="NWA_6831" display="NWA_6831" xr:uid="{593CCC3F-7354-4538-9F67-6FFCD8C21B25}"/>
    <hyperlink ref="B111" location="NWA_4936" display="NWA_4936" xr:uid="{5ECD4B87-0C1B-4D45-A798-1B5531D7C8F9}"/>
    <hyperlink ref="B120" location="NWA_6888" display="NWA_6888" xr:uid="{D0C98EC4-237F-4CE5-9F2B-C65842262708}"/>
    <hyperlink ref="D77" location="NWA_7834" display="NWA_7834" xr:uid="{7FC24A17-7938-40B2-9799-CDB4C2B256AF}"/>
    <hyperlink ref="D69" location="NWA_773" display="NWA_773" xr:uid="{EA21AEAA-A75F-4FD3-8DD3-1B19B4ECBB36}"/>
    <hyperlink ref="B112" location="NWA_6481" display="NWA_6481" xr:uid="{C2929D2C-7E33-4682-AC47-6D33828388C6}"/>
    <hyperlink ref="D78" location="NWA_7931" display="NWA_7931" xr:uid="{9D744718-1FB4-45ED-8B10-F96A8A38CF74}"/>
    <hyperlink ref="D70" location="NWA_773" display="NWA_773" xr:uid="{A36666E1-7B51-4A3C-8AA2-7037B598066C}"/>
    <hyperlink ref="B113" location="NWA_2995" display="NWA_2995" xr:uid="{AF6BD212-5655-4693-B8BD-EB6D43A4BF30}"/>
    <hyperlink ref="B104" location="NWA_5207" display="NWA_5207" xr:uid="{9F5D2764-A986-4B2D-AFF9-3E3D746FC067}"/>
    <hyperlink ref="D79" location="NWA_7834" display="NWA_7834" xr:uid="{B6A9BD01-EB0F-4EB0-B087-62104C5F10B8}"/>
    <hyperlink ref="D81" location="NWA_4936" display="NWA_4936" xr:uid="{8FD1C002-B77C-4781-9A70-EEDBEDABA4A8}"/>
    <hyperlink ref="D82" location="NWA_8001" display="NWA_8001" xr:uid="{E42F2A36-C191-4FA8-8BE8-4B24964DA81B}"/>
    <hyperlink ref="D83" location="NWA_8010" display="NWA_8010" xr:uid="{4589ACAE-9567-4D2C-BA54-49E317F82558}"/>
    <hyperlink ref="D84" location="NWA_8022" display="NWA_8022" xr:uid="{25BAE109-4B15-4D63-BCE6-4B0BC1A32D2C}"/>
    <hyperlink ref="D85" location="NWA_8046" display="NWA_8046" xr:uid="{614E65BF-343A-4A94-9CCE-21D2FE0C17F0}"/>
    <hyperlink ref="D86" location="NWA_8055" display="NWA_8055" xr:uid="{99D39B08-8ACD-4D86-95CF-E2D5492730E2}"/>
    <hyperlink ref="D89" location="NWA_8182" display="NWA_8182" xr:uid="{9F98F937-4A25-4FED-BC72-8209DE8259DF}"/>
    <hyperlink ref="D98" location="NWA_8632" display="NWA_8632" xr:uid="{286A55D6-BED9-44E4-87E3-F79AC69E3D34}"/>
    <hyperlink ref="D107" location="NWA_8673" display="NWA_8673" xr:uid="{4BA94F0F-FA08-4EAE-BD57-8B34520DC1F5}"/>
    <hyperlink ref="D90" location="NWA_8222" display="NWA_8222" xr:uid="{C8467CF8-3066-4B77-88C3-583B01C545AD}"/>
    <hyperlink ref="D99" location="NWA_8641" display="NWA_8641" xr:uid="{0A1298B4-268A-4103-9216-16B1E6F1EF26}"/>
    <hyperlink ref="D108" location="NWA_8673" display="NWA_8673" xr:uid="{34F17F26-5B16-4A59-AF66-0757BCDD410D}"/>
    <hyperlink ref="D100" location="NWA_8455" display="NWA_8455" xr:uid="{B26907C9-BD88-4F11-A2B9-52C04A00B084}"/>
    <hyperlink ref="D91" location="NWA_7611" display="NWA_7611" xr:uid="{16942173-E757-485A-AD39-68B3F0C54556}"/>
    <hyperlink ref="D109" location="NWA_8753" display="NWA_8753" xr:uid="{9AEE7DE4-4B23-4F09-9697-A65755B4602E}"/>
    <hyperlink ref="D92" location="NWA_7834" display="NWA_7834" xr:uid="{1FF7DAF5-537F-469B-AD18-EABCF73AD138}"/>
    <hyperlink ref="D101" location="NWA_8455" display="NWA_8455" xr:uid="{64D01C94-1F7E-473F-AED5-BAE1F113CA59}"/>
    <hyperlink ref="D110" location="NWA_8455" display="NWA_8455" xr:uid="{12FFE6F4-8932-44BF-A742-6747093B1D26}"/>
    <hyperlink ref="D93" location="NWA_8455" display="NWA_8455" xr:uid="{977AFFEC-3132-4272-B13E-154FA975825E}"/>
    <hyperlink ref="D102" location="NWA_8673" display="NWA_8673" xr:uid="{C8EC965B-70B9-4A5F-911A-C464F6E98C33}"/>
    <hyperlink ref="D111" location="NWA_8673" display="NWA_8673" xr:uid="{FB40B693-7E6C-4562-8FC9-020CBCCBA9EA}"/>
    <hyperlink ref="D94" location="NWA_8586" display="NWA_8586" xr:uid="{E3D5A88D-F172-4526-B3A9-CD8CB8D6439E}"/>
    <hyperlink ref="D103" location="NWA_8641" display="NWA_8641" xr:uid="{169A9E3D-7447-4072-8728-D1C879EACA7A}"/>
    <hyperlink ref="D112" location="NWA_8641" display="NWA_8641" xr:uid="{289E8557-C68D-485B-810F-B4B31BD70728}"/>
    <hyperlink ref="D95" location="NWA_5744" display="NWA_5744" xr:uid="{6D3C84D2-7277-4DD9-8804-028582458AE0}"/>
    <hyperlink ref="D104" location="NWA_5744" display="NWA_5744" xr:uid="{62A3E901-F1B6-404E-B150-F59449ECF9F3}"/>
    <hyperlink ref="D87" location="NWA_773" display="NWA_773" xr:uid="{D36B8C4B-A9D8-40C5-8851-8AA2D555614B}"/>
    <hyperlink ref="D96" location="NWA_8455" display="NWA_8455" xr:uid="{F7D22008-2538-4942-B422-773674425C5C}"/>
    <hyperlink ref="D105" location="NWA_8701" display="NWA_8701" xr:uid="{A0470AC8-7E8E-4506-B74F-9A1FF7998C7C}"/>
    <hyperlink ref="D88" location="NWA_4936" display="NWA_4936" xr:uid="{A514DAB4-102C-4E0C-83B2-E1CB66102835}"/>
    <hyperlink ref="D97" location="NWA_8455" display="NWA_8455" xr:uid="{C06FCDFF-DBC4-428A-98DA-8DE906F48911}"/>
    <hyperlink ref="D106" location="NWA_8455" display="NWA_8455" xr:uid="{356C1286-5357-408F-B4AE-6DC798A59EBC}"/>
    <hyperlink ref="D116" location="NWA_8022" display="NWA_8022" xr:uid="{5DE64974-A546-4734-BF47-068D99B17C89}"/>
    <hyperlink ref="D117" location="NWA_8673" display="NWA_8673" xr:uid="{5E044D9C-665E-47EB-B2F5-0F4CC9BE6D31}"/>
    <hyperlink ref="D118" location="NWA_8455" display="NWA_8455" xr:uid="{24A61711-4CFE-4B85-B092-802036BD4FD6}"/>
    <hyperlink ref="D119" location="NWA_8641" display="NWA_8641" xr:uid="{FE8AEA45-81B6-4E3B-9B86-B94E0F301214}"/>
    <hyperlink ref="D120" location="NWA_5744" display="NWA_5744" xr:uid="{AFAC6C45-3214-451A-A3E1-9DD9DE8045DF}"/>
    <hyperlink ref="E69" location="NWA_10141" display="NWA_10141" xr:uid="{B960985A-9F2A-4723-92AF-0A0DCA579A3C}"/>
    <hyperlink ref="D113" location="NWA_8673" display="NWA_8673" xr:uid="{28A7642A-8934-4C48-B211-F808BDEA6EF6}"/>
    <hyperlink ref="D114" location="NWA_10073" display="NWA_10073" xr:uid="{C710467D-1D20-44DF-9696-DC646D4E6083}"/>
    <hyperlink ref="D115" location="NWA_8641" display="NWA_8641" xr:uid="{7ECF70AF-8914-49F7-B70A-0F73DCF15382}"/>
    <hyperlink ref="E73" location="NWA_5744" display="NWA_5744" xr:uid="{5BA502A4-8812-4796-A02D-0F84010A1BA0}"/>
    <hyperlink ref="E82" location="NWA_7834" display="NWA_7834" xr:uid="{73491E41-B57F-4A70-ADAD-B3DC8E29BE8F}"/>
    <hyperlink ref="E91" location="NWA_10495" display="NWA_10495" xr:uid="{9ACEF9E2-2942-4CFF-BFFD-793CF595B258}"/>
    <hyperlink ref="E83" location="NWA_5744" display="NWA_5744" xr:uid="{3264A61E-5239-4AD7-B654-62B64D875BEB}"/>
    <hyperlink ref="E92" location="NWA_10509" display="NWA_10509" xr:uid="{3D789826-E32C-4D72-BD02-6752CA1C0CA8}"/>
    <hyperlink ref="E74" location="NWA_7834" display="NWA_7834" xr:uid="{A4DB13BF-BDA6-4421-8D5C-9A283473ADB0}"/>
    <hyperlink ref="E75" location="NWA_8455" display="NWA_8455" xr:uid="{9FFB1129-227B-4183-A8AD-04D104B48981}"/>
    <hyperlink ref="E84" location="NWA_7834" display="NWA_7834" xr:uid="{71A878A1-5B5D-44C2-B1BB-8D1F7EB98449}"/>
    <hyperlink ref="E85" location="NWA_5744" display="NWA_5744" xr:uid="{015537DE-0441-43B7-8DBB-A38DA4490EF2}"/>
    <hyperlink ref="E76" location="NWA_7834" display="NWA_7834" xr:uid="{EABF6B4E-533B-4414-BB39-121CC317F415}"/>
    <hyperlink ref="E86" location="NWA_10404" display="NWA_10404" xr:uid="{882FF547-11BC-4925-A3F8-E69750DD56C0}"/>
    <hyperlink ref="E77" location="NWA_7834" display="NWA_7834" xr:uid="{53468DDF-F501-4F18-8BBA-18A3B61552A7}"/>
    <hyperlink ref="E78" location="NWA_7834" display="NWA_7834" xr:uid="{484AE1F8-ADCD-4EBC-8A8D-7D46DC5AA577}"/>
    <hyperlink ref="E87" location="NWA_10141" display="NWA_10141" xr:uid="{FDB11308-B162-4DF6-BE4C-4F4824DB334C}"/>
    <hyperlink ref="E70" location="NWA_10141" display="NWA_10141" xr:uid="{A17BCF12-E2DD-4700-913B-033123CEC840}"/>
    <hyperlink ref="E79" location="NWA_7834" display="NWA_7834" xr:uid="{B2ED133C-751B-4286-8FB5-FB33A026B3A3}"/>
    <hyperlink ref="E88" location="NWA_10447" display="NWA_10447" xr:uid="{4E8B6345-4B62-4A1C-A9E3-35C083D1D7F5}"/>
    <hyperlink ref="E89" location="NWA_8046" display="NWA_8046" xr:uid="{A5435526-6713-4116-859C-54FF4BE7CD26}"/>
    <hyperlink ref="E71" location="NWA_7834" display="NWA_7834" xr:uid="{61D913E4-2077-410B-B645-79240AE3A8A2}"/>
    <hyperlink ref="E80" location="NWA_7834" display="NWA_7834" xr:uid="{6C74B958-FD4C-4D56-9115-F11B003D6DC9}"/>
    <hyperlink ref="E81" location="NWA_8046" display="NWA_8046" xr:uid="{079C3847-15CF-4AF1-B656-5561242C80F3}"/>
    <hyperlink ref="E90" location="NWA_7611" display="NWA_7611" xr:uid="{9AD5CBE6-9ADB-42A7-8275-C9435D649471}"/>
    <hyperlink ref="E72" location="NWA_7834" display="NWA_7834" xr:uid="{BDBDC8DC-893E-48EB-A8BA-02952DCDFBCF}"/>
    <hyperlink ref="E100" location="NWA_10626" display="NWA_10626" xr:uid="{EDC2398C-18DF-40B6-8587-0AC23466FF5E}"/>
    <hyperlink ref="E101" location="NWA_8046" display="NWA_8046" xr:uid="{9A844217-09C3-4AA4-9718-307D2E27E76A}"/>
    <hyperlink ref="E93" location="NWA_7834" display="NWA_7834" xr:uid="{F7E66BCD-0B40-4B03-9270-62C990131359}"/>
    <hyperlink ref="E102" location="NWA_7834" display="NWA_7834" xr:uid="{39DD483A-268D-4081-A991-F05C3B92B11A}"/>
    <hyperlink ref="E103" location="NWA_8046" display="NWA_8046" xr:uid="{D186162E-B8FD-48B1-8609-4856E4D975C4}"/>
    <hyperlink ref="E94" location="NWA_7611" display="NWA_7611" xr:uid="{36D853C0-6E45-4C44-BCE8-FF4919A95663}"/>
    <hyperlink ref="E104" location="NWA_773" display="NWA_773" xr:uid="{A8B48BD4-4778-4F83-8719-E1987B1376A0}"/>
    <hyperlink ref="E95" location="NWA_4734" display="NWA_4734" xr:uid="{53834198-F646-4884-AF97-C8A3E9D5F1F2}"/>
    <hyperlink ref="E96" location="NWA_7834" display="NWA_7834" xr:uid="{001FA943-4A65-4386-9D15-EB6159CEC429}"/>
    <hyperlink ref="E97" location="NWA_10608" display="NWA_10608" xr:uid="{0DBD669B-7145-4805-8A62-20706A8753BF}"/>
    <hyperlink ref="E98" location="NWA_8046" display="NWA_8046" xr:uid="{DC23119C-37ED-447C-BEDD-B7900B05E2B7}"/>
    <hyperlink ref="E99" location="NWA_8455" display="NWA_8455" xr:uid="{C7C04A24-4BF5-4CC5-8136-06FC5A293454}"/>
    <hyperlink ref="E109" location="NWA_7834" display="NWA_7834" xr:uid="{70C4238B-B996-4F91-AED6-4DA3EFD871D0}"/>
    <hyperlink ref="E118" location="NWA_8673" display="NWA_8673" xr:uid="{287D45F8-9DE7-4274-BCC3-13D5DE9018C4}"/>
    <hyperlink ref="E110" location="NWA_10783" display="NWA_10783" xr:uid="{81F007C3-E7E8-4D6C-9498-D225E80E6D59}"/>
    <hyperlink ref="E119" location="NWA_10973" display="NWA_10973" xr:uid="{99EAF99B-489A-4184-9D44-A0EB11C74B84}"/>
    <hyperlink ref="E111" location="NWA_10509" display="NWA_10509" xr:uid="{E896567E-7F96-4F42-9C9E-2437E4B5820F}"/>
    <hyperlink ref="E120" location="NWA_773" display="NWA_773" xr:uid="{3C36D4DF-36DD-4F90-95CC-41B898A36369}"/>
    <hyperlink ref="E112" location="NWA_7834" display="NWA_7834" xr:uid="{ABB5F2A2-3DAD-4EAB-97CD-52A2453E6074}"/>
    <hyperlink ref="F69" location="NWA_10509" display="NWA_10509" xr:uid="{F60C0466-40A6-4676-9603-9CF25A0ADC22}"/>
    <hyperlink ref="E113" location="NWA_8046" display="NWA_8046" xr:uid="{ACD3076D-5D02-4AD2-A0F0-08321712F538}"/>
    <hyperlink ref="F70" location="NWA_7834" display="NWA_7834" xr:uid="{222ACBE5-B9DB-4111-A461-5298AD5B0F1E}"/>
    <hyperlink ref="E105" location="NWA_10665" display="NWA_10665" xr:uid="{DDD761FA-4082-494A-A01B-D49C97250590}"/>
    <hyperlink ref="E114" location="NWA_8222" display="NWA_8222" xr:uid="{8F48C704-9E84-4A03-9C28-692291FAB871}"/>
    <hyperlink ref="F71" location="NWA_11006" display="NWA_11006" xr:uid="{4AF7418B-C065-44E8-B288-31630BA57DEE}"/>
    <hyperlink ref="E106" location="NWA_10678" display="NWA_10678" xr:uid="{09B3BCB9-A1E7-424B-A607-42096E495163}"/>
    <hyperlink ref="E115" location="NWA_8046" display="NWA_8046" xr:uid="{FF93D37A-A6A9-4467-BDFA-0C0A38D3C30A}"/>
    <hyperlink ref="F72" location="NWA_8046" display="NWA_8046" xr:uid="{F11F040E-DBD7-40F3-8B7F-929B4938C099}"/>
    <hyperlink ref="E107" location="NWA_10713" display="NWA_10713" xr:uid="{7A2CA9D2-24AC-4543-B01F-497139C9B7D4}"/>
    <hyperlink ref="E116" location="NWA_8673" display="NWA_8673" xr:uid="{B79880CD-B29F-4B88-8436-966A16F3569E}"/>
    <hyperlink ref="E108" location="NWA_8046" display="NWA_8046" xr:uid="{ED9A87A2-CD17-4566-BF7E-60C578D6A069}"/>
    <hyperlink ref="E117" location="NWA_8455" display="NWA_8455" xr:uid="{23F411E0-CE37-48DD-BC37-C2DD7FB84922}"/>
    <hyperlink ref="F75" location="NWA_7834" display="NWA_7834" xr:uid="{6AE4A485-6061-4016-8836-942A396610E1}"/>
    <hyperlink ref="F84" location="NWA_8673" display="NWA_8673" xr:uid="{920EDA76-FC37-4350-B23A-2182BF39795F}"/>
    <hyperlink ref="F76" location="NWA_8673" display="NWA_8673" xr:uid="{8695EBE4-EA6A-449D-B89E-4304E0E3790B}"/>
    <hyperlink ref="F85" location="NWA_11223" display="NWA_11223" xr:uid="{F2390C73-811D-4D31-BEF6-1EE0BA962989}"/>
    <hyperlink ref="F77" location="NWA_10141" display="NWA_10141" xr:uid="{79321A89-3253-4237-AEF7-AFC29121FE68}"/>
    <hyperlink ref="F86" location="NWA_8673" display="NWA_8673" xr:uid="{810A3530-7AA4-49A1-94C1-8ADDCCFADE50}"/>
    <hyperlink ref="F78" location="NWA_11127" display="NWA_11127" xr:uid="{2460C731-2011-4600-8151-C9BA8D888407}"/>
    <hyperlink ref="F87" location="NWA_8222" display="NWA_8222" xr:uid="{D1C51DC5-D07A-4DDD-ACE9-8D0AE6BF8E20}"/>
    <hyperlink ref="F79" location="NWA_11159" display="NWA_11159" xr:uid="{237E2691-F79B-4F52-9B3F-E7A45358AF14}"/>
    <hyperlink ref="F80" location="NWA_11182" display="NWA_11182" xr:uid="{B8817717-451A-47CD-AD6B-B1002B70695A}"/>
    <hyperlink ref="F81" location="NWA_7834" display="NWA_7834" xr:uid="{A74503BE-BE0E-4B68-94D9-A44722DB9B7C}"/>
    <hyperlink ref="F73" location="NWA_11061" display="NWA_11061" xr:uid="{B945E4CB-3E76-4E0C-89B4-D2C290AC241C}"/>
    <hyperlink ref="F82" location="NWA_8673" display="NWA_8673" xr:uid="{500EB9BF-B9FC-41D8-B047-EEA7F067CAE4}"/>
    <hyperlink ref="F74" location="NWA_11077" display="NWA_11077" xr:uid="{DFD1CD86-9779-44B9-BDB8-73DBF10210BC}"/>
    <hyperlink ref="F83" location="NWA_8222" display="NWA_8222" xr:uid="{A3E5A07C-7B16-474F-9492-A4D257F79129}"/>
    <hyperlink ref="F102" location="NWA_8046" display="NWA_8046" xr:uid="{EEA1DD19-4182-4163-A72F-BBDE4EFE4569}"/>
    <hyperlink ref="F93" location="NWA_8046" display="NWA_8046" xr:uid="{3307A000-DF13-4DDA-8941-386F2A9CCB02}"/>
    <hyperlink ref="F94" location="NWA_8046" display="NWA_8046" xr:uid="{040D793B-2079-4F7D-A6D4-6A5832047913}"/>
    <hyperlink ref="F103" location="NWA_11457" display="NWA_11457" xr:uid="{1B07EF8C-135D-4F06-A761-587CCD96AAB4}"/>
    <hyperlink ref="F95" location="NWA_8046" display="NWA_8046" xr:uid="{A0F866B0-25C4-4505-ACEC-D02DBCF5C939}"/>
    <hyperlink ref="F104" location="NWA_8046" display="NWA_8046" xr:uid="{3F47D57B-67F8-484E-A7B3-4986536A3567}"/>
    <hyperlink ref="F96" location="NWA_11352" display="NWA_11352" xr:uid="{B08A4D2D-ECEC-4C59-BFD6-A73B9A32B767}"/>
    <hyperlink ref="F88" location="NWA_11243" display="NWA_11243" xr:uid="{172BDA90-27D7-4648-85A0-105EA8971A34}"/>
    <hyperlink ref="F97" location="NWA_11367" display="NWA_11367" xr:uid="{CFC08825-4E03-4AC4-8C1E-58C0876E782D}"/>
    <hyperlink ref="F89" location="NWA_7834" display="NWA_7834" xr:uid="{507EEA3A-E56E-4965-BA19-C4F0FA375F4A}"/>
    <hyperlink ref="F98" location="NWA_8046" display="NWA_8046" xr:uid="{F7D55A53-AD94-4AD1-97E4-35A622F78482}"/>
    <hyperlink ref="F90" location="NWA_5744" display="NWA_5744" xr:uid="{2BB60128-3B78-4FD5-876C-9E1ED63753CE}"/>
    <hyperlink ref="F99" location="NWA_8046" display="NWA_8046" xr:uid="{040BB25B-4AE0-4ACD-9813-2F1D98CD6356}"/>
    <hyperlink ref="F100" location="NWA_8046" display="NWA_8046" xr:uid="{D4D86434-20AF-41B3-8466-483042F2F50A}"/>
    <hyperlink ref="F91" location="NWA_8046" display="NWA_8046" xr:uid="{6DA2FADF-E393-4D0D-8A21-6271C47E6439}"/>
    <hyperlink ref="F92" location="NWA_8046" display="NWA_8046" xr:uid="{5140B524-0180-491A-9D2D-D549866D489D}"/>
    <hyperlink ref="F101" location="NWA_8046" display="NWA_8046" xr:uid="{78B5CDA4-E601-44B8-9238-5D467EE87274}"/>
    <hyperlink ref="F120" location="NWA_8673" display="NWA_8673" xr:uid="{ECFDC8B2-E006-4D7D-92B7-A30D50829DF7}"/>
    <hyperlink ref="F111" location="NWA_11524" display="NWA_11524" xr:uid="{9D17CB4E-C162-4240-B10F-4F38B8035E1B}"/>
    <hyperlink ref="F112" location="NWA_8046" display="NWA_8046" xr:uid="{646B68F7-3BE9-469B-98CC-8B94B2EEE8BA}"/>
    <hyperlink ref="G69" location="NWA_8046" display="NWA_8046" xr:uid="{E464B21B-8AD3-49BD-BD8B-D48C1CB280FE}"/>
    <hyperlink ref="G70" location="nwa_11801" display="nwa_11801" xr:uid="{FA9CBABB-C03C-413B-A4AE-E62B6BFB8747}"/>
    <hyperlink ref="F113" location="NWA_7834" display="NWA_7834" xr:uid="{06C61BD5-39EC-4CC9-AE0E-4AB9527737D1}"/>
    <hyperlink ref="F114" location="NWA_773" display="NWA_773" xr:uid="{4A26882F-7EF4-4614-92CB-3063B82BDC58}"/>
    <hyperlink ref="F105" location="NWA_11472" display="NWA_11472" xr:uid="{14727CA4-A86C-4FBF-91E5-5B5DDC361D1D}"/>
    <hyperlink ref="F115" location="NWA_8046" display="NWA_8046" xr:uid="{FCDCCB1C-1F54-4F24-BBD2-5CCC5B25FC77}"/>
    <hyperlink ref="F106" location="NWA_11474" display="NWA_11474" xr:uid="{DC93E5EF-B3CF-428C-8A18-72B94EA836DD}"/>
    <hyperlink ref="F116" location="NWA_773" display="NWA_773" xr:uid="{07B7FB26-2EBA-4C75-94E5-5C1CAD20DA1D}"/>
    <hyperlink ref="F107" location="NWA_8046" display="NWA_8046" xr:uid="{B088887D-3F54-42BC-907F-8205E6BDE2EC}"/>
    <hyperlink ref="F117" location="NWA_773" display="NWA_773" xr:uid="{1DFC8504-F3D5-432A-AA77-B3AA1DD4488E}"/>
    <hyperlink ref="F108" location="NWA_8046" display="NWA_8046" xr:uid="{2D696712-6F72-4E70-B903-569FFF0A4844}"/>
    <hyperlink ref="F109" location="NWA_8046" display="NWA_8046" xr:uid="{487CE1B6-09DE-4103-AFB6-98982B6131A8}"/>
    <hyperlink ref="F118" location="NWA_11783" display="NWA_11783" xr:uid="{EA4184EE-DA16-425F-ACA1-5F2DF7F790A2}"/>
    <hyperlink ref="F110" location="NWA_11523" display="NWA_11523" xr:uid="{2403F6F0-6824-47A6-BB77-6A5494E00557}"/>
    <hyperlink ref="F119" location="NWA_8046" display="NWA_8046" xr:uid="{A3E66C8B-9754-4834-932C-4FD53F2ECA64}"/>
    <hyperlink ref="G78" location="NWA_8046" display="NWA_8046" xr:uid="{06CC2D27-1FC0-49DE-BCF0-3ABAD16BC0B7}"/>
    <hyperlink ref="G79" location="NWA_8046" display="NWA_8046" xr:uid="{32F059BB-C6D3-4B19-81AB-2BD60CE067B4}"/>
    <hyperlink ref="G80" location="NWA_12008" display="NWA_12008" xr:uid="{619DF9DB-B4A1-4539-ABB0-ABA29BAFBAC9}"/>
    <hyperlink ref="G72" location="NWA_11828" display="NWA_11828" xr:uid="{51354F49-A3EC-4705-9E44-93B9AF1A97DF}"/>
    <hyperlink ref="G81" location="NWA_12216" display="NWA_12216" xr:uid="{B632AC93-D5EF-4600-8AD1-EA88DA618912}"/>
    <hyperlink ref="G73" location="NWA_11851" display="NWA_11851" xr:uid="{8706921B-0CCB-426E-94F6-CA3210DAF29D}"/>
    <hyperlink ref="G82" location="nwa_12248" display="nwa_12248" xr:uid="{C20BE772-CA08-4FB4-94A5-8E7AB4215219}"/>
    <hyperlink ref="G83" location="NWA_12270" display="NWA_12270" xr:uid="{BAEA0630-7292-4CB3-A4FF-49A618D5691B}"/>
    <hyperlink ref="G74" location="NWA_11871" display="NWA_11871" xr:uid="{8E3B1759-4C64-4A96-BCDF-F1751168DE2A}"/>
    <hyperlink ref="G84" location="NWA_12279" display="NWA_12279" xr:uid="{FAD4681C-1C02-41BA-A28A-DFD43F37DCE5}"/>
    <hyperlink ref="G75" location="NWA_11886" display="NWA_11886" xr:uid="{F8FDE166-6212-4747-B047-97E30961653C}"/>
    <hyperlink ref="G76" location="NWA_8046" display="NWA_8046" xr:uid="{9A590355-3C32-4C11-9805-2D2B60F6CC1F}"/>
    <hyperlink ref="G86" location="NWA_12384" display="NWA_12384" xr:uid="{3166990A-EE35-4264-8B4E-85E44E743D46}"/>
    <hyperlink ref="G96" location="NWA_12643" display="NWA_12643" xr:uid="{DD8EDC29-8EF0-440F-99C6-1A658903F23E}"/>
    <hyperlink ref="G107" location="NWA_12831" display="NWA_12831" xr:uid="{93AC1A02-0B19-41E6-8CF8-4C0D5A467279}"/>
    <hyperlink ref="G87" location="NWA_12393" display="NWA_12393" xr:uid="{6FD72697-E335-4C2E-BFCE-37020E771EFE}"/>
    <hyperlink ref="G97" location="NWA_8046" display="NWA_8046" xr:uid="{74B92054-D2F0-4617-8A32-DE6829DBD5A5}"/>
    <hyperlink ref="G108" location="NWA_12839" display="NWA_12839" xr:uid="{A73A488D-930F-4688-87A2-D062C961CCEA}"/>
    <hyperlink ref="G88" location="nwa_12422" display="nwa_12422" xr:uid="{D7CCB51B-EAE4-480D-804C-67C2B53FBD04}"/>
    <hyperlink ref="G109" location="NWA_12870" display="NWA_12870" xr:uid="{04AFADE6-AC67-435D-959B-8CA94153D78B}"/>
    <hyperlink ref="G95" location="NWA_8046" display="NWA_8046" xr:uid="{F0825A78-5C7D-45E4-9461-7039F2E185D0}"/>
    <hyperlink ref="G89" location="NWA_12427" display="NWA_12427" xr:uid="{CD6E7B51-1D66-43D2-BE8F-F25067E6259E}"/>
    <hyperlink ref="G98" location="NWA_8046" display="NWA_8046" xr:uid="{2FDB7E4C-1094-4070-A48E-72B932F9F37E}"/>
    <hyperlink ref="G90" location="NWA_12428" display="NWA_12428" xr:uid="{C0BE3340-737F-457D-BE4F-4F1B13B8E251}"/>
    <hyperlink ref="G99" location="NWA_12697" display="NWA_12697" xr:uid="{EF4CC536-19D8-43D4-B181-060B461D4ADB}"/>
    <hyperlink ref="G91" location="NWA_12592" display="NWA_12592" xr:uid="{8446CB3D-4565-43A9-9C0D-84FF51E225DF}"/>
    <hyperlink ref="G100" location="NWA_8046" display="NWA_8046" xr:uid="{75B1CAA6-D5AC-43C7-8174-8619B23CA5E1}"/>
    <hyperlink ref="G93" location="NWA_12603" display="NWA_12603" xr:uid="{C6BE05C4-BD77-4DF6-A0AA-DD07411BD23C}"/>
    <hyperlink ref="G85" location="NWA_12368" display="NWA_12368" xr:uid="{142E8526-9992-4E24-A033-23D1655DC125}"/>
    <hyperlink ref="G94" location="NWA_12604" display="NWA_12604" xr:uid="{C06717F9-03CA-4F4F-A704-9066AFEE7C5B}"/>
    <hyperlink ref="G106" location="NWA_12830" display="NWA_12830" xr:uid="{ED1D7042-7829-46F0-BDBC-49873BA6BD2C}"/>
    <hyperlink ref="G116" location="NWA_5744" display="NWA_5744" xr:uid="{38675B8C-6E44-48A5-AF56-D23646E12EFB}"/>
    <hyperlink ref="G117" location="nwa_13036" display="nwa_13036" xr:uid="{592007A5-CE95-476B-B8FC-B1B01B1175F6}"/>
    <hyperlink ref="G118" location="NWA_8046" display="13101" xr:uid="{75FB8D1E-07D7-4385-88C2-DF09FDBD68E9}"/>
    <hyperlink ref="G110" location="NWA_12909" display="NWA_12909" xr:uid="{CF62A605-D7B6-43C5-9BEC-78895FC13E3A}"/>
    <hyperlink ref="G119" location="nwa_13112" display="nwa_13112" xr:uid="{1EDFBAA2-4F13-489E-BB74-A86AB3BCE022}"/>
    <hyperlink ref="G111" location="NWA_12952" display="NWA_12952" xr:uid="{7389F2E9-BC1D-4E34-89FF-59E71A95C81E}"/>
    <hyperlink ref="G112" location="NWA_8046" display="NWA_8046" xr:uid="{E35ABB18-2DDB-49BC-921E-4E2933E212ED}"/>
    <hyperlink ref="G113" location="NWA_12971" display="NWA_12971" xr:uid="{330A2EBD-CC4E-46FF-94EE-0AC01D8DAB3C}"/>
    <hyperlink ref="G114" location="NWA_12980" display="NWA_12980" xr:uid="{51FE6B2B-9ED6-48EA-83A4-E24DA5B38831}"/>
    <hyperlink ref="G115" location="nwa_12985" display="nwa_12985" xr:uid="{8D0FB02A-CD96-420D-828B-ED450B1B1FBB}"/>
    <hyperlink ref="G105" location="NWA_12826" display="12826 " xr:uid="{0489090D-494A-4DE1-881E-9E07E45D3997}"/>
    <hyperlink ref="H69" location="NWA_8046" display="13120" xr:uid="{92055840-20F6-430B-B7BD-E4A7256EC0B4}"/>
    <hyperlink ref="H70" location="nwa_13138" display="nwa_13138" xr:uid="{E5AB5A2C-FD6A-447E-9F5F-695DE89475F4}"/>
    <hyperlink ref="H71" location="nwa_13185" display="nwa_13185" xr:uid="{06EE95B0-5F65-4B4E-9A26-D168689B5601}"/>
    <hyperlink ref="H72" location="NWA_13191" display="NWA_13191" xr:uid="{5E50E824-38AB-479E-89AE-866B5CFF3A07}"/>
    <hyperlink ref="G92" location="NWA_12592" display="NWA_12592" xr:uid="{0CF83080-72B8-4C98-A481-06606904FD15}"/>
    <hyperlink ref="H73" location="NWA_13216" display="NWA_13216" xr:uid="{237BC316-BB4E-4241-AF01-0D18AE2A8975}"/>
    <hyperlink ref="H75" location="NWA_13256" display="NWA_13256" xr:uid="{21B30D7A-B162-4FCB-80FD-E40DF41869CB}"/>
    <hyperlink ref="H76" location="NWA_13259" display="NWA_13259" xr:uid="{5B299578-F93A-43B6-81E9-9CC80E51FE5C}"/>
    <hyperlink ref="H74" location="NWA_13225" display="NWA_13225" xr:uid="{AE79BB93-E462-4BAD-A444-ECAF0B54B3EE}"/>
    <hyperlink ref="B298" location="ATOP" display="ATOP" xr:uid="{87E743C4-D2D8-494F-B4DA-54ED2E196688}"/>
    <hyperlink ref="B299" location="ATOP" display="ATOP" xr:uid="{5F4116FB-7D3C-45B3-8ABF-CFF887A0C79C}"/>
    <hyperlink ref="L49" location="Tisserlitine_001" display="001" xr:uid="{968D8E03-37D2-405A-80CB-0FA8F7C7CD1D}"/>
    <hyperlink ref="L55" location="Y_791197" display="Y_791197" xr:uid="{E95654EE-4AF4-489F-BABE-A99BD425A158}"/>
    <hyperlink ref="M55" location="Y_793169" display="Y_793169" xr:uid="{783CEA3F-909E-4883-A9F5-8B634A032065}"/>
    <hyperlink ref="M56" location="Y_82192" display="Y_82192" xr:uid="{ABE8280C-8BD3-4C95-9E69-1770CCDF84A7}"/>
    <hyperlink ref="N56" location="Y_82192" display="Y_82192" xr:uid="{DB70C266-FB8A-4EBB-AC52-5AF3AFCAB590}"/>
    <hyperlink ref="L57" location="Y_793274" display="Y_793274" xr:uid="{B4D60E99-46CA-4091-94F7-AE9BDB5B9F81}"/>
    <hyperlink ref="M57" location="Y_983885" display="Y_983885" xr:uid="{47204C03-8EE9-43A1-A2A5-0494A0FC8941}"/>
    <hyperlink ref="M59" location="YANAI_1153" display="1153" xr:uid="{EDB3D70F-8B77-4816-94C5-16806BB82F04}"/>
    <hyperlink ref="N55" location="Y_793274" display="Y_793274" xr:uid="{476EED69-854F-4BD1-9AA2-97F11ACADF03}"/>
    <hyperlink ref="L56" location="Y_82192" display="Y_82192" xr:uid="{3C8555F8-B9D9-432A-8551-3E455EFF37B3}"/>
    <hyperlink ref="G120" location="nwa_13119" display="nwa_13119" xr:uid="{F4AFAD39-87A0-4035-864A-B0D4ADDC0EEF}"/>
    <hyperlink ref="B274:B280" location="ATOP" display="ATOP" xr:uid="{271C8855-F12B-4771-B519-AA6A4EF5BFFF}"/>
    <hyperlink ref="H79" location="NWA_13346" display="NWA_13346" xr:uid="{F54CFC8D-4FD6-4C4B-A386-229D2D28688C}"/>
    <hyperlink ref="G42" location="Ghadd_001" display="001" xr:uid="{AAF0CCD3-3FF6-45F9-B0E2-E7DFB982832C}"/>
    <hyperlink ref="H81" location="NWA_13408" display="NWA_13408" xr:uid="{6A7CE24F-9E81-4953-9D6C-1341F68CFBA3}"/>
    <hyperlink ref="H82" location="NWA_8046" display="NWA_8046" xr:uid="{7504FA93-FFEB-4965-A5E6-D97794A04E45}"/>
    <hyperlink ref="K44" location="nea_014" display="014" xr:uid="{A11E65B5-73EC-4EC2-AFC5-B0E791F70E1C}"/>
    <hyperlink ref="B128" location="ATOP" display="ATOP" xr:uid="{DA018F89-FC99-4D03-9A9F-8C53BFC3BBFE}"/>
    <hyperlink ref="B129" location="ATOP" display="ATOP" xr:uid="{16A13789-AB50-42B2-8A90-A057CF72750C}"/>
    <hyperlink ref="B130" location="ATOP" display="ATOP" xr:uid="{75A8D4BF-B4E7-4134-B065-E96DFA746024}"/>
    <hyperlink ref="B131" location="ATOP" display="ATOP" xr:uid="{57B3380F-265E-4770-9788-0AA8DCA52CE8}"/>
    <hyperlink ref="B132" location="ATOP" display="ATOP" xr:uid="{727995DF-ED75-4995-ACA2-61E6BBA2BFAC}"/>
    <hyperlink ref="B133" location="ATOP" display="ATOP" xr:uid="{AA18D3CD-1AA0-4904-8E66-FFD1C55F5D11}"/>
    <hyperlink ref="B134" location="ATOP" display="ATOP" xr:uid="{B6E06DA6-B018-4640-BC38-13A906082F2E}"/>
    <hyperlink ref="B135" location="ATOP" display="ATOP" xr:uid="{E8AE4763-10E8-4D67-B7CE-6A3635F2561A}"/>
    <hyperlink ref="B136" location="ATOP" display="ATOP" xr:uid="{033609ED-0B55-4217-A520-3DE99A990992}"/>
    <hyperlink ref="B137" location="ATOP" display="ATOP" xr:uid="{1D9AFAE4-1ED1-4AED-B298-A2415799BA1A}"/>
    <hyperlink ref="B138" location="ATOP" display="ATOP" xr:uid="{40081B57-5883-49B5-A333-6CC8F49AC702}"/>
    <hyperlink ref="B140" location="ATOP" display="ATOP" xr:uid="{2FABE504-DDFE-477E-A955-B55B84CB5F5A}"/>
    <hyperlink ref="B141" location="ATOP" display="ATOP" xr:uid="{3FE45BB2-CE96-4005-9C18-5FD8AEED213C}"/>
    <hyperlink ref="B142" location="ATOP" display="ATOP" xr:uid="{C6617846-CF91-4A40-B9A0-0554E13AE79C}"/>
    <hyperlink ref="B143" location="ATOP" display="ATOP" xr:uid="{D6BF9CD4-C2F7-4686-9C93-84A233183362}"/>
    <hyperlink ref="B144" location="ATOP" display="ATOP" xr:uid="{C9356603-FFAF-41B3-89A1-B7CC33C0E26B}"/>
    <hyperlink ref="B145" location="ATOP" display="ATOP" xr:uid="{C890BFA1-EB6F-44B2-B75C-561E61503C15}"/>
    <hyperlink ref="B146" location="ATOP" display="ATOP" xr:uid="{4D313305-1D02-44CB-93CA-FD64C3F86216}"/>
    <hyperlink ref="B147" location="ATOP" display="ATOP" xr:uid="{9EFC4A13-1FAD-47BC-9AC7-5910D43DA22C}"/>
    <hyperlink ref="B148" location="ATOP" display="ATOP" xr:uid="{5CC3B9F9-C8AC-4638-A240-087DD9299301}"/>
    <hyperlink ref="B149" location="ATOP" display="ATOP" xr:uid="{B57E8A89-66A5-41A3-A365-E8B053F55183}"/>
    <hyperlink ref="B150" location="ATOP" display="ATOP" xr:uid="{06ECBCA1-C695-487B-9B92-B98C06AA5723}"/>
    <hyperlink ref="B152" location="ATOP" display="ATOP" xr:uid="{F507D856-83D7-4E21-90EE-F012CCDBB69A}"/>
    <hyperlink ref="B153" location="ATOP" display="ATOP" xr:uid="{69551531-FC35-4D34-AFE3-2134AD0BBCAD}"/>
    <hyperlink ref="B154" location="ATOP" display="ATOP" xr:uid="{57D30202-9712-4933-A18A-E54D661621E1}"/>
    <hyperlink ref="B156" location="ATOP" display="ATOP" xr:uid="{421B0D62-3330-44E5-8869-5E2FF01541AE}"/>
    <hyperlink ref="B157" location="ATOP" display="ATOP" xr:uid="{F59AEEBB-ED5A-44D3-8C48-193391D8D2A9}"/>
    <hyperlink ref="B158" location="ATOP" display="ATOP" xr:uid="{65E82079-0A4A-4305-A2ED-531C589CAC68}"/>
    <hyperlink ref="B159" location="ATOP" display="ATOP" xr:uid="{B456B3C6-2447-48EB-8525-74F03383C549}"/>
    <hyperlink ref="B160" location="ATOP" display="ATOP" xr:uid="{FD34CA15-811D-489D-9589-C2081F3E732D}"/>
    <hyperlink ref="B161" location="ATOP" display="ATOP" xr:uid="{AD4FFAA2-0519-44E1-9136-B193A1086BB1}"/>
    <hyperlink ref="B164" location="ATOP" display="ATOP" xr:uid="{58B9050B-B25B-4D8E-89E9-D5D931BBCEEC}"/>
    <hyperlink ref="B165" location="ATOP" display="ATOP" xr:uid="{B19AE883-F63D-4A7F-A1C6-113BF582A90D}"/>
    <hyperlink ref="B166" location="ATOP" display="ATOP" xr:uid="{EC10EBCB-CD66-4230-94D5-1EEF70CA7E1E}"/>
    <hyperlink ref="B167" location="ATOP" display="ATOP" xr:uid="{50CC56A6-2AFD-4FDE-AF17-A9C2563F4747}"/>
    <hyperlink ref="B168" location="ATOP" display="ATOP" xr:uid="{5B65F009-BBA2-41F3-8D1C-C11FA9BE8270}"/>
    <hyperlink ref="B169" location="ATOP" display="ATOP" xr:uid="{94962231-A50B-45B0-8C88-0368990627DD}"/>
    <hyperlink ref="B170" location="ATOP" display="ATOP" xr:uid="{0BCD574D-525A-4366-ACEF-D7F8E1515A96}"/>
    <hyperlink ref="B171" location="ATOP" display="ATOP" xr:uid="{8AD13629-E63C-4099-A3C7-FAE7DB84BD1C}"/>
    <hyperlink ref="B172" location="ATOP" display="ATOP" xr:uid="{13C98DB3-F559-49D5-908C-3F4CFEB63828}"/>
    <hyperlink ref="B173" location="ATOP" display="ATOP" xr:uid="{8DA02E24-34D0-4522-842F-9EDD2D57711B}"/>
    <hyperlink ref="B174" location="ATOP" display="ATOP" xr:uid="{F6AD9DDA-FD23-426D-8493-3B2B30176A67}"/>
    <hyperlink ref="B176" location="ATOP" display="ATOP" xr:uid="{4649F9D1-3067-4B4A-8A65-3B260069A748}"/>
    <hyperlink ref="B177" location="ATOP" display="ATOP" xr:uid="{FA02B5E5-2C24-43E2-9D60-FABA64970151}"/>
    <hyperlink ref="B178" location="ATOP" display="ATOP" xr:uid="{4B7C62FD-77CD-4242-A1EC-59B613F71EA4}"/>
    <hyperlink ref="B179" location="ATOP" display="ATOP" xr:uid="{70D3EC3F-5116-449D-8281-48B73A3BB516}"/>
    <hyperlink ref="B180" location="ATOP" display="ATOP" xr:uid="{3C4DF62D-6FBE-4347-BEC6-7014A12C2584}"/>
    <hyperlink ref="B181" location="ATOP" display="ATOP" xr:uid="{245E3B08-E317-4FEA-9630-05E938CC1C3F}"/>
    <hyperlink ref="B182" location="ATOP" display="ATOP" xr:uid="{5FD7775F-5CE4-466F-B442-E48C8A538C58}"/>
    <hyperlink ref="B183" location="ATOP" display="ATOP" xr:uid="{E16CE0A9-20BE-4057-A507-9026331A239A}"/>
    <hyperlink ref="B184" location="ATOP" display="ATOP" xr:uid="{F123F336-68D3-4DE0-BB81-B9002D147B17}"/>
    <hyperlink ref="B185" location="ATOP" display="ATOP" xr:uid="{188A2241-353F-4007-9C9E-0D7524371D59}"/>
    <hyperlink ref="B186" location="ATOP" display="ATOP" xr:uid="{8760A6CD-349A-4178-9F14-673D13321092}"/>
    <hyperlink ref="B187" location="ATOP" display="ATOP" xr:uid="{0F3F83EA-8AFD-4F66-93F2-B335FCC28125}"/>
    <hyperlink ref="B188" location="ATOP" display="ATOP" xr:uid="{CFAF659D-7C56-4423-817B-EB01C86ACD0B}"/>
    <hyperlink ref="B189" location="ATOP" display="ATOP" xr:uid="{8DD76B73-03D9-4B8C-A967-7310D23DE8C4}"/>
    <hyperlink ref="B190" location="ATOP" display="ATOP" xr:uid="{70E76752-412B-41DD-B054-9953FF8B386A}"/>
    <hyperlink ref="B191" location="ATOP" display="ATOP" xr:uid="{B8FC7D23-745F-440A-BB24-0DFA2545DC86}"/>
    <hyperlink ref="B139" location="ATOP" display="ATOP" xr:uid="{11EF322A-7432-4784-AC6F-590C48617781}"/>
    <hyperlink ref="B151" location="ATOP" display="ATOP" xr:uid="{2786AFC1-4B14-4D90-BB98-67A927E0EF17}"/>
    <hyperlink ref="B155" location="ATOP" display="ATOP" xr:uid="{B33C95DF-2993-4283-9F1B-32C051870FBA}"/>
    <hyperlink ref="B162" location="ATOP" display="ATOP" xr:uid="{91F9E76A-8D0E-45AB-9A55-106B19B0EAE4}"/>
    <hyperlink ref="B163" location="ATOP" display="ATOP" xr:uid="{0E7FF346-6861-4712-8FB4-1E3B8130B5C5}"/>
    <hyperlink ref="H80" location="NWA_8046" display="NWA_8046" xr:uid="{6A16AACB-577D-4C26-9D9B-18A8E9F23801}"/>
    <hyperlink ref="H83" location="NWA_13450" display="NWA_13450" xr:uid="{003B7C60-AD2A-4FEB-8CE0-8701B3066DE3}"/>
    <hyperlink ref="H77" location="NWA_13283" display="NWA_13283" xr:uid="{AE4BFCF5-DC62-41C8-AC34-0A7F6D3AAF84}"/>
    <hyperlink ref="B685:N685" r:id="rId7" display="Randy L. Korotev" xr:uid="{2C37E8DA-206D-48CF-93B0-B888A844080F}"/>
    <hyperlink ref="H84" location="NWA_13478" display="NWA_13478" xr:uid="{3DF3BE3B-1DA5-443D-8148-6CD22928989A}"/>
    <hyperlink ref="G71" location="NWA_11223" display="NWA_11223" xr:uid="{B9A8F1E6-B525-480D-AA76-AAFDEF0BF406}"/>
    <hyperlink ref="H85" location="NWA_13484" display="NWA_13484" xr:uid="{94817403-8DA6-4F40-B634-2B62A15E3D5C}"/>
    <hyperlink ref="H86" location="NWA_13531" display="NWA_13531" xr:uid="{31CAE0E6-42EA-4A00-8273-0A818AFFFFF1}"/>
    <hyperlink ref="H89" location="NWA_13582" display="NWA_13582" xr:uid="{E82C0F88-A9FA-4D3F-93AD-BDBC44EAC26D}"/>
    <hyperlink ref="B246" location="ATOP" display="ATOP" xr:uid="{51310ECD-1FAB-4783-8FCF-8B0E9D75122C}"/>
    <hyperlink ref="B247" location="ATOP" display="ATOP" xr:uid="{279FC629-A020-4647-B33F-A2351656424D}"/>
    <hyperlink ref="H88" location="NWA_13568" display="NWA_13568" xr:uid="{DFC37EC7-D162-41F4-BDB5-EAF2C03E98AA}"/>
    <hyperlink ref="H90" location="Tisserlitine_001" display="Tisserlitine_001" xr:uid="{4194072E-1300-4111-B123-9523B7060EEB}"/>
    <hyperlink ref="H87" location="NWA_13546" display="NWA_13546" xr:uid="{F070A176-FA9B-48A4-9151-38D35836FFB5}"/>
    <hyperlink ref="H91" location="NWA_13625" display="NWA_13625" xr:uid="{9DCCA12B-BCAC-4A25-B610-FBA26B567390}"/>
    <hyperlink ref="H93" location="NWA_13638" display="NWA_13638" xr:uid="{16265A7D-4A21-43F0-B6E5-35621C271281}"/>
    <hyperlink ref="H95" location="NWA_13714" display="NWA_13714" xr:uid="{2DB62BBC-1AEA-4B24-B508-81D76BE3C30E}"/>
    <hyperlink ref="H96" location="NWA_13715" display="NWA_13715" xr:uid="{03906940-D202-4993-BA9E-168F990087DC}"/>
    <hyperlink ref="H97" location="NWA_13717" display="NWA_13717" xr:uid="{DC510DC7-38FC-4761-B1B9-BBEDA3D6B29C}"/>
    <hyperlink ref="H92" location="NWA_8673" display="NWA_8673" xr:uid="{1E004612-6E4F-4C02-8384-F2A057E37F5E}"/>
    <hyperlink ref="H98" location="NWA_8046" display="NWA_8046" xr:uid="{BDD3B014-DABD-46CC-BEE6-B3D5A93587D0}"/>
    <hyperlink ref="H100" location="NWA_13779" display="NWA_13779" xr:uid="{511A569A-980C-4210-B98B-ABB6FD1E7149}"/>
    <hyperlink ref="H94" location="NWA_13676" display="NWA_13676" xr:uid="{6C63B5D8-F834-4CB1-B226-039CD166767B}"/>
    <hyperlink ref="H101" location="nwa_13785" display="nwa_13785" xr:uid="{E8FD4D72-29C6-4E4A-ACC5-6FBA32B6FC57}"/>
    <hyperlink ref="H99" location="NWA_13676" display="NWA_13676" xr:uid="{543669BB-E59B-43AE-BEEF-DA0DF44D28B6}"/>
    <hyperlink ref="H103" location="NWA_13837" display="NWA_13837" xr:uid="{8BC2D3DE-D0B5-4815-9F12-5C9B9399541F}"/>
    <hyperlink ref="H102" location="nwa_13788" display="nwa_13788" xr:uid="{09ADB9F0-019C-44B0-AFD8-CC50E99B3FB5}"/>
    <hyperlink ref="L39" location="Tichiya001" display="Tichiya" xr:uid="{364F1103-F4FC-43CD-B64F-3B074B9F5ACA}"/>
    <hyperlink ref="M39" location="Tichiya_003" display="003" xr:uid="{8B0FDEF7-3A6C-4CC3-BB72-0642300AA59C}"/>
    <hyperlink ref="H108" location="nwa_13907" display="nwa_13907" xr:uid="{3EFA6C5A-46F7-4AFB-AEC3-DE71B5194DFC}"/>
    <hyperlink ref="H104" location="NWA_13859" display="NWA_13859" xr:uid="{EEAB44E2-9F1F-4015-A90D-FDBAC2081361}"/>
    <hyperlink ref="H110" location="NWA_13916" display="NWA_13916" xr:uid="{395DCA75-0774-4509-848C-77E43C5D2137}"/>
    <hyperlink ref="H78" location="NWA_13306" display="NWA_13306" xr:uid="{BCF24D5A-D904-4F63-8D8C-9DFC0EDBD3D4}"/>
    <hyperlink ref="G77" location="NWA_4472" display="NWA_4472" xr:uid="{A95AC0E1-6B0E-49D4-9A96-D1D6EE37B87B}"/>
    <hyperlink ref="H111" location="NWA_13930" display="NWA_13930" xr:uid="{98879D14-7EF1-4786-8745-6014E514AFE8}"/>
    <hyperlink ref="F44" location="GHARD_001" display="001" xr:uid="{1680145A-E4F8-4864-928D-A2F90821D29B}"/>
    <hyperlink ref="G40" location="NWA_7834" display="Galb Inal" xr:uid="{7EF7605C-188B-4EE1-868C-C6E8ADFFA874}"/>
    <hyperlink ref="G37" location="Gad_002" display="002" xr:uid="{8B0D256D-3189-4962-94BE-1166B5B22922}"/>
    <hyperlink ref="L16" location="NWA_8222" display="002" xr:uid="{E78F4649-365D-4D25-AC7C-BC4770F7C34F}"/>
    <hyperlink ref="M16" location="NWA_8222" display="004" xr:uid="{23CFFEE0-9FAC-42D3-AF13-847D3EBB28E7}"/>
    <hyperlink ref="N16" location="NWA_8222" display="005" xr:uid="{FCADBDE6-5A53-472D-B02B-470B3618E6C4}"/>
    <hyperlink ref="L17" location="NWA_8222" display="006" xr:uid="{0EBECB73-67AB-4FF2-BB55-F11527FEC52C}"/>
    <hyperlink ref="M17" location="RS_007" display="007" xr:uid="{3B11A460-8D54-409F-BFAB-2BECADA9B450}"/>
    <hyperlink ref="N17" location="RS_008" display="008" xr:uid="{E9DCBA1D-D4DB-448F-BB0C-75E792914B84}"/>
    <hyperlink ref="L14" location="QUE_93069" display="QUE_93069" xr:uid="{5652EEBD-E315-4035-908F-5C969900D83C}"/>
    <hyperlink ref="M14" location="QUE_93069" display="QUE_93069" xr:uid="{F6BC7A5A-7F48-4487-A2DF-0815ABD5B7F6}"/>
    <hyperlink ref="N14" location="QUE_94281" display="QUE_94281" xr:uid="{27D6185D-A9A6-4F51-B6DD-0ED714D3554D}"/>
    <hyperlink ref="I57:K57" location="PCA_02007" display="02007" xr:uid="{006BD998-0A2F-4275-A36F-46ABFE498A2C}"/>
    <hyperlink ref="I51:K51" location="OUA_001" display="001" xr:uid="{37216481-FDF5-4CBE-8C34-4247735F7632}"/>
    <hyperlink ref="H113" location="NWA_13942" display="NWA_13942" xr:uid="{90319EDE-DE7D-4DAA-AC98-F666011F21C4}"/>
    <hyperlink ref="H112" location="nwa_13937" display="nwa_13937" xr:uid="{80807DBF-E644-4A90-B1F0-C0168B6D98D4}"/>
    <hyperlink ref="H118" location="nwa_13974" display="nwa_13974" xr:uid="{0E19F6CE-4E06-4E35-B179-B7A26FB9816D}"/>
    <hyperlink ref="H119" location="NWA_13979" display="NWA_13979" xr:uid="{B255B60B-302D-46DD-A74A-778E005C6DF8}"/>
    <hyperlink ref="H120" location="NWA_13989" display="NWA_13989" xr:uid="{3B110166-3F74-453A-9684-0BE2007EBFA6}"/>
    <hyperlink ref="I69" location="NWA_13992" display="NWA_13992" xr:uid="{316D1899-B131-4921-8BBA-22CE543816A5}"/>
    <hyperlink ref="I70" location="NWA_14005" display="NWA_14005" xr:uid="{8BF7B5F6-EFC9-494F-A737-B1901A8439E5}"/>
    <hyperlink ref="H114" location="NWA_13951" display="NWA_13951" xr:uid="{5CD30476-3FFA-4406-9B17-9210DFBBFCD8}"/>
    <hyperlink ref="H115" location="NWA_13957" display="NWA_13957" xr:uid="{32ECBCA7-9872-4AAD-9914-ACCB8585FA43}"/>
    <hyperlink ref="H116" location="NWA_13964" display="NWA_13964" xr:uid="{2F8A2F87-EF30-4171-8950-CAAEB03E0E73}"/>
    <hyperlink ref="H109" location="NWA_13676" display="NWA_13676" xr:uid="{A367D4B5-A470-4C6F-92BF-27FAAD24F1B0}"/>
    <hyperlink ref="I73" location="NWA_14035" display="NWA_14035" xr:uid="{F61E1E87-DA04-412F-A92D-7D461838A083}"/>
    <hyperlink ref="I74" location="NWA_14041" display="NWA_14041" xr:uid="{D19EC9C9-B048-4749-8897-336C9FE1E8F1}"/>
    <hyperlink ref="I75" location="NWA_14050" display="NWA_14050" xr:uid="{32C821FB-55E6-45FE-82D1-652BBD8E2247}"/>
    <hyperlink ref="H117" location="nwa_13967" display="nwa_13967" xr:uid="{C199FCE9-E7ED-4492-B804-C7766CDD5CC0}"/>
    <hyperlink ref="I71" location="nwa_14012" display="nwa_14012" xr:uid="{552A9EF6-5CC7-4F21-94CC-7BDC9AAFE426}"/>
    <hyperlink ref="I72" location="NWA_14019" display="NWA_14019" xr:uid="{CDBA9CCC-F496-4CD0-884B-90378AD8FE46}"/>
    <hyperlink ref="B252" location="ATOP" display="ATOP" xr:uid="{39BC249D-6B56-4BB0-BBB6-2E51B6B6225B}"/>
    <hyperlink ref="I76" location="NWA_14063" display="NWA_14063" xr:uid="{FE999450-C1D7-4694-A670-B98598275EEC}"/>
    <hyperlink ref="I77" location="NWA_14063" display="NWA_14063" xr:uid="{B3378028-35A2-4136-A293-AF41FF02AD2F}"/>
    <hyperlink ref="I79" location="NWA_14088" display="NWA_14088" xr:uid="{6FF1A505-02F9-4617-9B94-BB6E297D3E0B}"/>
    <hyperlink ref="I81" location="NWA_14137" display="NWA_14137" xr:uid="{1833C477-BF35-4CE5-8AF6-9AE12BDA0D97}"/>
    <hyperlink ref="I78" location="NWA_14071" display="NWA_14071" xr:uid="{04E41E3E-2541-4871-BA9B-0C86B4B45A30}"/>
    <hyperlink ref="I80" location="NWA_14134" display="NWA_14134" xr:uid="{E8CF12F6-C227-4C73-B6E9-DDF1E2B55C04}"/>
    <hyperlink ref="I82" location="NWA_14140" display="NWA_14140" xr:uid="{F5CC9506-8F7A-4CF1-97D3-B01EFE195937}"/>
    <hyperlink ref="I83" location="NWA_14178" display="NWA_14178" xr:uid="{0F2243E3-0553-4BA0-8042-032B04146F25}"/>
    <hyperlink ref="I85" location="NWA_14202" display="NWA_14202" xr:uid="{F13AD7C1-265F-4E99-BE75-AA7E15799CA5}"/>
    <hyperlink ref="B303" location="ATOP" display="ATOP" xr:uid="{EDD0BB7B-B607-497D-8E87-90F39F549809}"/>
    <hyperlink ref="B304" location="ATOP" display="ATOP" xr:uid="{7A629737-8D63-45B7-9D76-1D9A9C5460F3}"/>
    <hyperlink ref="B305" location="ATOP" display="ATOP" xr:uid="{0A514EFC-C0C5-48E5-BFD6-411994167991}"/>
    <hyperlink ref="B306" location="ATOP" display="ATOP" xr:uid="{B2337137-0F96-4F89-A73E-D59037937FA9}"/>
    <hyperlink ref="B307" location="ATOP" display="ATOP" xr:uid="{0317FF0C-6DB6-4EE1-9DDA-773EEB39F75A}"/>
    <hyperlink ref="B308" location="ATOP" display="ATOP" xr:uid="{26AF7D60-CA48-404B-9125-7F4811F15E79}"/>
    <hyperlink ref="B309" location="ATOP" display="ATOP" xr:uid="{5DE3DD2B-B735-44C4-B333-5F3DEEA74BEE}"/>
    <hyperlink ref="B310" location="ATOP" display="ATOP" xr:uid="{4B803450-C569-4D33-B548-9A6B1B0DA034}"/>
    <hyperlink ref="B311" location="ATOP" display="ATOP" xr:uid="{05C2E506-97FA-4C5E-8BF6-FA1B38F2FFB7}"/>
    <hyperlink ref="B312" location="ATOP" display="ATOP" xr:uid="{7B259513-BC82-499B-929D-FCCE8C75A659}"/>
    <hyperlink ref="B313" location="ATOP" display="ATOP" xr:uid="{A1DD2FF9-9FD8-4C21-BF3F-B16DEA612329}"/>
    <hyperlink ref="B314" location="ATOP" display="ATOP" xr:uid="{10960FCB-CF1A-4F00-A12E-070BFBC8B972}"/>
    <hyperlink ref="L52" location="Touat_004" display="004" xr:uid="{CFB8457E-1520-4F8D-B7A2-F9E921E13238}"/>
    <hyperlink ref="G56" location="HasTou001" display="001" xr:uid="{93B6B2D6-09E2-49CE-BD6A-3FB134E59E76}"/>
    <hyperlink ref="I87" location="NWA_14280" display="NWA_14280" xr:uid="{3AD60F81-C63E-416E-9823-8B030F3A474D}"/>
    <hyperlink ref="I86" location="NWA_14258" display="NWA_14258" xr:uid="{109FE42B-BB73-4A43-8791-749FEC6665D4}"/>
    <hyperlink ref="I90" location="NWA_8046" display="NWA_8046" xr:uid="{E747BF84-85CD-459F-BE78-0F2F3B720305}"/>
    <hyperlink ref="I91" location="NWA_14341" display="NWA_14341" xr:uid="{18321059-44DF-44FB-A988-6F6E4CACE3C7}"/>
    <hyperlink ref="H105" location="NWA_13892" display="NWA_13892" xr:uid="{7250977A-A570-40D7-BC6D-0AF23CEAA70A}"/>
    <hyperlink ref="H106" location="NWA_13896" display="NWA_13896" xr:uid="{7A815621-7162-4F7C-8BAB-6F5235A5C1FC}"/>
    <hyperlink ref="I89" location="NWA_14338" display="NWA_14338" xr:uid="{28C62D6A-FB95-4D1B-8E60-2EC2A6CB1D98}"/>
    <hyperlink ref="I92" location="NWA_14358" display="NWA_14358" xr:uid="{D0303D50-2D5E-4CD4-9F0C-106B6D5ED46F}"/>
    <hyperlink ref="H107" location="NWA_13899" display="NWA_13899" xr:uid="{9A00DEB8-ED6F-4948-BED9-21C41B5815AF}"/>
    <hyperlink ref="B681:N681" r:id="rId8" display="See also alternate list in alphanumeric order." xr:uid="{9FFA9157-E587-4DAD-8959-498B29045243}"/>
    <hyperlink ref="B11:N11" r:id="rId9" display="See also alternate list in alphanumeric order." xr:uid="{62E64636-E53D-4A4A-8802-D53274914275}"/>
    <hyperlink ref="I88" location="NWA_14323" display="NWA_14323" xr:uid="{9AAF6B1E-CB26-474A-946C-9F5EBDDEE38F}"/>
    <hyperlink ref="I95" location="NWA_14446" display="NWA_14446" xr:uid="{1E7B96DA-C6ED-430B-9D09-E4E9DC2D5F81}"/>
    <hyperlink ref="G101" location="NWA_12765" display="NWA_12765" xr:uid="{DC610CD6-C667-4509-ADEC-196C466CC630}"/>
    <hyperlink ref="F37" location="Gad_002" display="002" xr:uid="{AF7C9619-123E-4985-BDEF-C4D2B40EB0F6}"/>
    <hyperlink ref="I93" location="NWA_14372" display="NWA_14372" xr:uid="{E35416EC-DCAE-43DC-BE6E-8855F356EFA7}"/>
    <hyperlink ref="I94" location="NWA_14415" display="NWA_14415" xr:uid="{3D0C930D-CEA7-4D7A-B3D2-BC575A27AE93}"/>
    <hyperlink ref="I96" location="NWA_14523" display="NWA_14523" xr:uid="{30633A8E-47B5-442C-82CB-156EC3BA528F}"/>
    <hyperlink ref="I97" location="NWA_14524" display="NWA_14524" xr:uid="{26EC6E63-CBDF-4B84-A49A-97BF619F7AE2}"/>
    <hyperlink ref="I98" location="NWA_14526" display="NWA_14526" xr:uid="{592AEF17-1D07-4864-81E5-6AF99798966B}"/>
    <hyperlink ref="J20" location="KAL_008" display="009" xr:uid="{CA673FD5-B55B-4669-99CC-98BF7B08948F}"/>
    <hyperlink ref="I20" location="KAL_008" display="008" xr:uid="{40F13C6B-431F-409D-B770-19929852A86F}"/>
    <hyperlink ref="J14" location="InI" display="001" xr:uid="{17FE071C-0662-4FFC-A5ED-B3F851C251E9}"/>
    <hyperlink ref="I103" location="NWA_14576" display="NWA_14576" xr:uid="{E7791996-996E-4325-B665-B54601E104AD}"/>
    <hyperlink ref="I104" location="NWA_14577" display="NWA_14577" xr:uid="{70BC2B28-F7EF-404C-B71B-7D493AFB3DDE}"/>
    <hyperlink ref="I105" location="NWA_14594" display="NWA_14594" xr:uid="{936685D7-EB7E-45F2-8BE1-8F5963EE888B}"/>
    <hyperlink ref="I102" location="NWA_14540" display="NWA_14540" xr:uid="{0210A986-C0EA-466A-942C-6957EDF91D54}"/>
    <hyperlink ref="I100" location="NWA_14531" display="NWA_14531" xr:uid="{B09344A7-DF2F-49FF-8CD4-8C5E73C5949C}"/>
    <hyperlink ref="I101" location="NWA_14531" display="NWA_14531" xr:uid="{FF4829DE-672A-4014-B549-B8F137F0DD27}"/>
    <hyperlink ref="H37" location="Gad_002" display="004" xr:uid="{8F0FDD11-A55C-4044-B969-527C0636920F}"/>
    <hyperlink ref="I26" location="Lahmada_020" display="020" xr:uid="{1BAC4930-8D47-4C85-A466-C65D2DE143DB}"/>
    <hyperlink ref="J26" location="Lahmada_020" display="046" xr:uid="{751BF9DF-B298-43BB-86FF-E2D0269AAB92}"/>
    <hyperlink ref="K26" location="Lahmada_020" display="047" xr:uid="{D9C167EA-1EA6-410F-8382-4BE7847513E2}"/>
    <hyperlink ref="I29:K30" location="LAP_02205" display="02205" xr:uid="{EA4891B6-3A1F-47E7-AE25-CFD8B43FF8AA}"/>
    <hyperlink ref="I22" location="Laay_002" display="002" xr:uid="{06C49538-226C-43F8-B580-580F03DAF981}"/>
    <hyperlink ref="I99" location="NWA_14527" display="NWA_14527" xr:uid="{E9C2D7A5-34D8-4A57-94D6-FAAF09C1A710}"/>
    <hyperlink ref="I108" location="NWA_14686" display="NWA_14686" xr:uid="{CD402203-763A-4ADB-B344-19A247A55DE1}"/>
    <hyperlink ref="I109" location="NWA_14686" display="NWA_14686" xr:uid="{E5739E54-E59B-46F3-8057-5111BC9F0834}"/>
    <hyperlink ref="I112" location="NWA_14703" display="NWA_14703" xr:uid="{CD5340A5-78C5-42EC-8E96-B60B8FF07A1B}"/>
    <hyperlink ref="I110" location="NWA_14687" display="NWA_14687" xr:uid="{EFB82361-E9BE-4EBE-B9F8-C44A518B0464}"/>
    <hyperlink ref="I113" location="NWA_14704" display="NWA_14704" xr:uid="{7E471616-54C4-4588-8121-93B97E64FC95}"/>
    <hyperlink ref="I114" location="NWA_14705" display="NWA_14705" xr:uid="{B77CB7ED-5530-4B13-A1D5-9447C9FD7B55}"/>
    <hyperlink ref="I115" location="NWA_14706" display="NWA_14706" xr:uid="{81CC98D5-0648-408D-A483-DB1EA9F17BAC}"/>
    <hyperlink ref="I116" location="NWA_14727" display="NWA_14727" xr:uid="{623DA732-DCB4-4F80-B38F-43BEC5293298}"/>
    <hyperlink ref="I117" location="NWA_14729" display="NWA_14729" xr:uid="{B4A65EBA-2E2D-408F-A4F0-C8F0EC66000A}"/>
    <hyperlink ref="J69" location="NWA_14747" display="NWA_14747" xr:uid="{CF29F376-18AB-4FAF-9FE9-7A594955018A}"/>
    <hyperlink ref="J70" location="NWA_14755" display="NWA_14755" xr:uid="{C4E09AE3-7A8F-466A-B64F-3CBCD2466FA2}"/>
    <hyperlink ref="J72" location="NWA_14769" display="NWA_14769" xr:uid="{7833CCE4-25C1-4117-91CA-419403726A23}"/>
    <hyperlink ref="I119" location="NWA_14730" display="NWA_14730" xr:uid="{05A206D7-D06F-43CA-9710-CA97DE36B0F9}"/>
    <hyperlink ref="J71" location="NWA_14755" display="NWA_14755" xr:uid="{E2FC3161-8148-464C-B410-A0EF7767BFBE}"/>
    <hyperlink ref="I118" location="NWA_14730" display="NWA_14730" xr:uid="{61714EB8-F348-42A7-A4EA-01B4075834DC}"/>
    <hyperlink ref="I106" location="NWA_14657" display="NWA_14657" xr:uid="{9BFB3DA4-DC16-4FF0-9B98-6FA416FA6962}"/>
    <hyperlink ref="J16" location="Istifane" display="007" xr:uid="{5AFAEC59-8FFF-4136-8D24-B2C4517E6A40}"/>
    <hyperlink ref="J73" location="NWA_14798" display="NWA_14798" xr:uid="{853BEE8D-4A7A-4562-A884-D5F791C95F0A}"/>
    <hyperlink ref="C176:F176" location="NWA_11472" display="Northwest Africa 8046 more possible pairs (below)" xr:uid="{3AC28728-0723-4B7B-8243-ABA372700DBB}"/>
    <hyperlink ref="I84" location="NWA_14188" display="NWA_14188" xr:uid="{93B31543-611B-4710-A56A-F7CFAB5A924B}"/>
    <hyperlink ref="I111" location="NWA_14695" display="NWA_14695" xr:uid="{C739571A-602A-4CD7-98B3-230CE6F46E59}"/>
    <hyperlink ref="J74" location="NWA_14836" display="NWA_14836" xr:uid="{421F12EC-AE03-471E-AFD0-F1A67FC57494}"/>
    <hyperlink ref="J75" location="NWA_14884" display="NWA_14884" xr:uid="{26ECFAC3-79EF-4519-80FC-21C9E06EEE74}"/>
    <hyperlink ref="J76" location="NWA_14900" display="NWA_14900" xr:uid="{764FAF5F-6B10-4C7C-936F-90FA312D13F2}"/>
    <hyperlink ref="J77" location="NWA_14905" display="NWA_14905" xr:uid="{6CA3068A-DFF5-42B5-87D4-1F6F7DABF594}"/>
    <hyperlink ref="J78" location="NWA_14908" display="NWA_14908" xr:uid="{5560389B-6702-449E-AC07-AE5304804F56}"/>
    <hyperlink ref="I59:K59" location="QUEDMYA" display="004" xr:uid="{670A2C46-639F-498C-8F5D-32342E0E1413}"/>
    <hyperlink ref="J79" location="NWA_14969" display="NWA_14969" xr:uid="{2EB07F52-C0DB-415C-9CF5-6736B4C99AF1}"/>
    <hyperlink ref="J80" location="NWA_14977" display="NWA_14977" xr:uid="{AFE0FA0F-DF80-4AFB-A035-498186A01BA2}"/>
    <hyperlink ref="I120" location="NWA_14741" display="NWA_14741" xr:uid="{7D097BDA-6A34-4229-AB33-C841F78061ED}"/>
    <hyperlink ref="J85" location="NWA_15052" display="NWA_15052" xr:uid="{75ECF56B-0313-4DC2-BF35-B436BE427722}"/>
    <hyperlink ref="J89" location="NWA_15069" display="NWA_15069" xr:uid="{AEB47259-D7B2-4969-9AF0-E79124AA7406}"/>
    <hyperlink ref="L22" location="RF_532" display="532" xr:uid="{C66C6AD8-C943-494D-B345-79A0F18C3A6F}"/>
    <hyperlink ref="M20" location="Rafsa_002" display="002" xr:uid="{CA18D9F9-DEFF-42AB-9963-5D0ABDF54E95}"/>
    <hyperlink ref="J84" location="NWA_15051" display="NWA_15051" xr:uid="{A4E83263-C971-407B-B49B-E2735A631DF2}"/>
    <hyperlink ref="J90" location="NWA_15099" display="NWA_15099" xr:uid="{BE6F305A-D6D9-45A7-9BF3-B2E612D05241}"/>
    <hyperlink ref="J82" location="NWA_15018" display="NWA_15018" xr:uid="{2FA6F22E-8437-4586-B928-9ADBC8CD7F96}"/>
    <hyperlink ref="G19" location="DEW_12007" display="12007" xr:uid="{C9B15B95-CE68-47AB-AABB-9C3061FCFE72}"/>
    <hyperlink ref="G15" location="DAG_262" display="DAG_262" xr:uid="{558D5717-A6BD-4826-B836-058640ABB536}"/>
    <hyperlink ref="H15" location="DAG_400" display="DAG_400" xr:uid="{C57FDD0C-EB0C-4BC7-BC0E-E56D62EF1E1C}"/>
    <hyperlink ref="G14" location="DAG_400" display="DAG_400" xr:uid="{9DB2A6D3-7E12-4E8C-A739-8C25FA3CF285}"/>
    <hyperlink ref="H14" location="DAG_262" display="DAG_262" xr:uid="{9F8666E5-B0FB-4C7E-81C6-5630AD462001}"/>
    <hyperlink ref="L41:N41" location="Tifariti_002" display="002" xr:uid="{6E5A3BB9-CF89-4BD9-828A-F2316A3A1A83}"/>
    <hyperlink ref="J83" location="nwa_15026" display="nwa_15026" xr:uid="{85008EA4-7B72-49FC-A655-302BB37D1020}"/>
    <hyperlink ref="J95" location="NWA_10073" display="NWA_10073" xr:uid="{59D230EA-8111-4D36-801D-431015B72EC3}"/>
    <hyperlink ref="H22" location="DOM_18262" display="18543" xr:uid="{B915DAE1-82E1-4109-BB7C-E563B54BC163}"/>
    <hyperlink ref="G23" location="DOM_18262" display="18678" xr:uid="{A16AEA5F-B2AC-4552-83B0-9DEE24227674}"/>
    <hyperlink ref="I107" location="NWA_14681" display="NWA_14681" xr:uid="{3D70FAC3-A92B-423C-8F75-5293F9E86667}"/>
    <hyperlink ref="J92" location="NWA_15172" display="NWA_15172" xr:uid="{AE112A22-09D5-4D95-9013-B17E9D586F6E}"/>
    <hyperlink ref="J96" location="NWA_15286" display="NWA_15286" xr:uid="{B7070FB3-EC99-49DC-98E1-6BF632C30ECD}"/>
    <hyperlink ref="J97" location="NWA_15288" display="NWA_15288" xr:uid="{C2D9571F-5037-43A7-B62E-F239C2C7B52E}"/>
    <hyperlink ref="D46" location="Bechar_003" display="006" xr:uid="{8258D6BD-19BB-4258-A65E-C3C389A4A2A2}"/>
    <hyperlink ref="J93" location="NWA_15172" display="NWA_15172" xr:uid="{21D4E3AB-940D-4ED9-B9DD-36753C6761BE}"/>
    <hyperlink ref="J98" location="NWA_15300" display="NWA_15300" xr:uid="{7F0C27CB-0C46-4CFD-8AB5-EB136CC991C0}"/>
    <hyperlink ref="J102" location="NWA_15349" display="NWA_15349" xr:uid="{B1181772-5150-42DD-8597-F604B8C3A4B4}"/>
    <hyperlink ref="F31" location="EET_87521" display="87521" xr:uid="{943D23D1-7DBF-44B8-9B4D-0E18D1C3B9EC}"/>
    <hyperlink ref="G31" location="EET_87521" display="  96008" xr:uid="{141551DD-FF55-43A7-960D-656B1A659A27}"/>
    <hyperlink ref="F29" location="ElMilhas_001" display="001" xr:uid="{D6E22096-A284-4B84-86C9-EA697CF4238F}"/>
    <hyperlink ref="G29" location="ElMilhas_002" display="002" xr:uid="{D3971F51-69E5-4986-9D86-E37E88044547}"/>
    <hyperlink ref="F27" location="ElH_001" display="001" xr:uid="{ACE1C8B4-86F3-4625-9B97-BD833600B3EA}"/>
    <hyperlink ref="I18" location="JAH_348" display="JAH_348" xr:uid="{D37BEC10-280E-442E-AD29-2B215D00A056}"/>
    <hyperlink ref="J18" location="JAH_838" display="JAH_838" xr:uid="{2ECFF18C-7EFF-47AA-8B78-F8B29037FBDE}"/>
    <hyperlink ref="F38" location="Gad_002" display="006" xr:uid="{8F77542B-678B-4D34-B209-FADAF68FF255}"/>
    <hyperlink ref="B19:E19" location="AgMa001" display="001" xr:uid="{324873B0-DFAB-4F57-9A23-F012F5D79CC6}"/>
    <hyperlink ref="J101" location="NWA_15348" display="NWA_15348" xr:uid="{B7CFF1F0-B87C-4B2E-842F-5A3EA055455E}"/>
    <hyperlink ref="J99" location="NWA_15312" display="NWA_15312" xr:uid="{789811FE-DDFA-4F67-BDA2-6A560FB995DB}"/>
    <hyperlink ref="J105" location="NWA_15368" display="NWA_15368" xr:uid="{644459F0-0F15-43C2-8B3F-953071FA65D3}"/>
    <hyperlink ref="J106" location="NWA_15373" display="NWA_15373" xr:uid="{88C004A1-30DC-4E59-ABD3-B74316052E1B}"/>
    <hyperlink ref="J108" location="NWA_15375" display="NWA_15375" xr:uid="{1C863DBA-B5C0-4286-9101-8BCA36B30DBB}"/>
    <hyperlink ref="J109" location="NWA_15377" display="NWA_15377" xr:uid="{99EB31C4-5BE4-4D84-9E6C-6FAB015A3D37}"/>
    <hyperlink ref="F50:H50" location="GRV_150357" display="GRV_150357" xr:uid="{053D41EB-24C8-48A1-83BA-F2AE1D222793}"/>
    <hyperlink ref="J100" location="NWA_15343" display="NWA_15343" xr:uid="{8DE26D07-F475-4C94-8F04-346BABDCEF04}"/>
    <hyperlink ref="J104" location="NWA_15367" display="NWA_15367" xr:uid="{68A1CF40-8829-41E7-B08A-AAD8379C0680}"/>
    <hyperlink ref="J107" location="NWA_15374" display="NWA_15374" xr:uid="{60EC5F93-C13C-42A5-B852-DBCC3157D542}"/>
    <hyperlink ref="J110" location="NWA_15431" display="NWA_15431" xr:uid="{E51C00DF-4869-4001-B962-F3C77CC2A6D8}"/>
    <hyperlink ref="J112" location="NWA_15433" display="NWA_15433" xr:uid="{953E7CD6-8522-453D-BFF0-6283E854B0E8}"/>
    <hyperlink ref="J103" location="NWA_13676" display="NWA_13676" xr:uid="{65BCC8E3-E96B-4E01-8584-F93849126ADD}"/>
    <hyperlink ref="J111" location="NWA_15432" display="NWA_15432" xr:uid="{2EA4133A-CC94-48B7-B145-72AA59625519}"/>
    <hyperlink ref="J114" location="NWA_15483" display="NWA_15483" xr:uid="{183CC8B7-91B2-4E73-8175-14920B47D887}"/>
    <hyperlink ref="J115" location="NWA_15500" display="NWA_15500" xr:uid="{8E3285CB-730C-4AFC-89FC-416072FF55F5}"/>
    <hyperlink ref="G38" location="Gad_002" display="006" xr:uid="{A160AC1C-6000-4FA0-92A7-CC8CA17C19D9}"/>
    <hyperlink ref="J116" location="NWA_15528" display="NWA_15528" xr:uid="{5D2E0FE9-2179-4ED1-B990-E645B0C3D83A}"/>
    <hyperlink ref="G48" location="Grizim_002" display="002" xr:uid="{3E72224C-9FFD-41C3-9980-DF4263CDD3FF}"/>
    <hyperlink ref="F54" location="HeB_004" display="004" xr:uid="{BE432C94-97D5-490C-B91E-BA67A00371CA}"/>
    <hyperlink ref="J91" location="NWA_15169" display="NWA_15169" xr:uid="{DB53E362-47B2-4BD7-9634-DCFA49748D79}"/>
    <hyperlink ref="J118" location="NWA_15583" display="NWA_15583" xr:uid="{7FA8DAD7-CA42-404F-ADEF-71515FEA064D}"/>
    <hyperlink ref="K73" location="NWA_15655" display="NWA_15655" xr:uid="{83AEEE7A-BE08-45B0-AE99-9EFE7BE7FEC4}"/>
    <hyperlink ref="K72" location="NWA_773" display="NWA_773" xr:uid="{F8275DD0-2B84-42CE-89C2-37FC602D6805}"/>
    <hyperlink ref="B46:C46" location="Bechar_003" display="003" xr:uid="{6D7718F7-9342-4BCC-95D4-2D484FD77A18}"/>
    <hyperlink ref="E46" location="Bechar_003" display="009" xr:uid="{A07A1C7E-8B7C-4659-8886-2B1304BEB5DA}"/>
    <hyperlink ref="G102" location="NWA_12788" display="NWA_12788" xr:uid="{3184DEF6-956A-4C05-850E-B5D2A8DF323B}"/>
    <hyperlink ref="J113" location="nwa_15482" display="nwa_15482" xr:uid="{FE1EC7A2-BDB1-43EA-A69E-D70D1F9DC582}"/>
    <hyperlink ref="J119" location="nwa_15603" display="nwa_15603" xr:uid="{2DDE0D6F-E874-40B1-96AC-90FD0D6C0389}"/>
    <hyperlink ref="J120" location="nwa_15604" display="nwa_15604" xr:uid="{2BFA94C9-291F-4A9A-9CC5-B5DCD1EF85BD}"/>
    <hyperlink ref="K69" location="nwa_15605" display="nwa_15605" xr:uid="{09C40F19-D5F2-4740-ADCE-0364C93DD99A}"/>
    <hyperlink ref="K70" location="nwa_15612" display="nwa_15612" xr:uid="{368938DF-CC15-40EC-BD0B-2E8640E5B8AA}"/>
    <hyperlink ref="K75" location="nwa_15714" display="nwa_15714" xr:uid="{F29E4725-4375-4519-8F19-321CB395182E}"/>
    <hyperlink ref="G103" location="NWA_12789" display="NWA_12789" xr:uid="{3153F4A8-C065-4D99-BCE8-18DAE73047EF}"/>
    <hyperlink ref="G104" location="nwa_12790" display="nwa_12790" xr:uid="{36F3D136-CC15-4166-9CA8-F06D2F18DB46}"/>
    <hyperlink ref="J87" location="NWA_15062" display="NWA_15062" xr:uid="{F8D9869A-D703-4139-BFA4-6418494D8BB6}"/>
    <hyperlink ref="J88" location="NWA_15062" display="NWA_15062" xr:uid="{65541402-3020-4C91-AB9C-32A159746444}"/>
    <hyperlink ref="D47" location="Bechar_003" display="006" xr:uid="{BDDD769A-F284-4CFD-902A-440F082D1F8B}"/>
    <hyperlink ref="B47:C47" location="Bechar_003" display="003" xr:uid="{95FB361C-0B79-4F80-B676-0E3A1EF070DA}"/>
    <hyperlink ref="D39" location="Aridal_019" display="019" xr:uid="{26434A5D-EF3C-4309-AF8B-E97FA2DD4E1E}"/>
    <hyperlink ref="B39:C39" location="NWA_10608" display="017" xr:uid="{C094C0AD-EFD1-489C-B09A-9C9BD75760E5}"/>
    <hyperlink ref="E39" location="Aridal_020" display="020" xr:uid="{AB3ED32B-03FC-44ED-9949-1509823A52D6}"/>
    <hyperlink ref="J94" location="NWA_15192" display="NWA_15192" xr:uid="{65162C33-6788-4DD5-A96C-19A723EB4ADD}"/>
    <hyperlink ref="K74" location="NWA_15686" display="NWA_15686" xr:uid="{A5BB56AE-AACB-4E0E-A866-8E3972A737BA}"/>
    <hyperlink ref="K76" location="NWA_15782" display="NWA_15782" xr:uid="{230FBF6C-E735-4893-85BF-2A17FDC10E21}"/>
    <hyperlink ref="K77" location="NWA_15800" display="NWA_15800" xr:uid="{2503004F-DC89-480B-A9A4-7E3E15CD5308}"/>
    <hyperlink ref="D37" location="Arguin_002" display="001" xr:uid="{F830689A-6B22-4F27-83DA-6544FBCDF7D2}"/>
    <hyperlink ref="E47" location="Bechar_003" display="011" xr:uid="{BE3BCAF6-2F26-40A6-B591-90A10D35BD72}"/>
    <hyperlink ref="B192:B225" location="ATOP" display="ATOP" xr:uid="{119E3F4C-9D75-41E9-A9BC-520EE3775C5E}"/>
    <hyperlink ref="N22" location="RF_600" display="RF_600" xr:uid="{B9F21F19-6551-4FA0-A6D5-D6630E8AD5A8}"/>
    <hyperlink ref="J117" location="NWA_15533" display="NWA_15533" xr:uid="{CA6C0936-D6EA-44E5-A99D-3F56DE30ECD9}"/>
    <hyperlink ref="K78" location="NWA_15806" display="NWA_15806" xr:uid="{AEB62153-AC40-45F3-BE80-C290723B6876}"/>
    <hyperlink ref="K81" location="NWA_15945" display="NWA_15945" xr:uid="{0EF96180-213D-48B8-B34F-8D7E1296BCCB}"/>
    <hyperlink ref="K82" location="NWA_15952" display="NWA_15952" xr:uid="{E0E0EAC1-7146-448A-BD40-C17CA660135F}"/>
    <hyperlink ref="D62" location="DHO_302" display="DHO_302" xr:uid="{36396A52-F134-4CC7-A8AC-9C1E44381F8F}"/>
    <hyperlink ref="D63" location="DHO_303" display="DHO_303" xr:uid="{D01FEC58-C601-428A-9683-FF4DF8953103}"/>
    <hyperlink ref="D64" location="DHO_025" display="DHO_025" xr:uid="{191BAE00-6FC1-474F-AA3D-E8F8384445D9}"/>
    <hyperlink ref="D65" location="DHO_303" display="DHO_303" xr:uid="{CAB6DE92-7646-4F9E-9B6C-31DA6B781417}"/>
    <hyperlink ref="D66" location="DHO_303" display="DHO_303" xr:uid="{0227C525-1D38-49B2-BE04-72852FB3B4A3}"/>
    <hyperlink ref="D67" location="DHO_303" display="DHO_303" xr:uid="{D44B187F-DEE0-4FAD-BB3A-6270685AB443}"/>
    <hyperlink ref="E62" location="DHO_025" display="DHO_025" xr:uid="{1E807B44-9D40-4F56-BDFD-597123C1F395}"/>
    <hyperlink ref="E63" location="DHO_303" display="DHO_303" xr:uid="{E5140579-431D-4D99-8E9C-586AF242DF79}"/>
    <hyperlink ref="E64" location="DHO_303" display="DHO_303" xr:uid="{0159B069-4358-4FA3-AD35-EF8CEA4A795E}"/>
    <hyperlink ref="E65" location="DHO_303" display="DHO_303" xr:uid="{EC639208-FC66-413C-9CB8-2E12153CCF25}"/>
    <hyperlink ref="E66" location="DHO_026" display="DHO_026" xr:uid="{8B3E1826-DD9E-47F0-8817-206DD97C93EC}"/>
    <hyperlink ref="E67" location="DHO_026" display="DHO_026" xr:uid="{9442199B-1AFA-424F-9708-E898F31F65AF}"/>
    <hyperlink ref="F62" location="DHO_026" display="DHO_026" xr:uid="{4F4FC88F-4B63-4B05-897E-047B2226F823}"/>
    <hyperlink ref="F63" location="DHO_026" display="DHO_026" xr:uid="{2F659692-8DB8-46ED-B3CF-06BD0E705103}"/>
    <hyperlink ref="F64" location="DHO_026" display="DHO_026" xr:uid="{711D893B-222B-416E-B68B-723BF6E4FFBF}"/>
    <hyperlink ref="F65" location="DHO_026" display="DHO_026" xr:uid="{8FE7310D-B3E3-4664-8DFE-5C25E9A293DA}"/>
    <hyperlink ref="F66" location="DHO_026" display="DHO_026" xr:uid="{1ECD4976-E004-45A0-AADD-088DABE82F98}"/>
    <hyperlink ref="F67" location="DHO_026" display="DHO_026" xr:uid="{C83FABFD-3ACE-4669-8921-F8616E9D7EED}"/>
    <hyperlink ref="G62" location="DHO_026" display="DHO_026" xr:uid="{EB10951D-2BDC-4ECE-964A-0BFF43A452F4}"/>
    <hyperlink ref="G63" location="DHO_026" display="DHO_026" xr:uid="{6624D1D4-5724-444F-90B4-1C0140BF3573}"/>
    <hyperlink ref="G64" location="DHO_026" display="DHO_026" xr:uid="{4A0FD0FC-3873-4C19-8AAF-81A4A6CA6250}"/>
    <hyperlink ref="G65" location="DHO_026" display="DHO_026" xr:uid="{D50525D0-DAED-4B21-911A-17D3AD8E3A41}"/>
    <hyperlink ref="G66" location="DHO_303" display="DHO_303" xr:uid="{AFA2423D-7253-475E-9744-65EB7277F9CA}"/>
    <hyperlink ref="G67" location="DHO_490" display="DHO_490" xr:uid="{08CB2046-594B-4B79-B77C-7574737A6F1B}"/>
    <hyperlink ref="H62" location="DHO_303" display="DHO_303" xr:uid="{3B58B756-6488-400C-823D-4C84BADC4E05}"/>
    <hyperlink ref="H63" location="DHO_303" display="DHO_303" xr:uid="{0C92F38F-68AE-46B1-BCAC-BAA73F41E8EE}"/>
    <hyperlink ref="H65" location="DHO_303" display="DHO_303" xr:uid="{034BD3CF-F043-4DCF-8BB2-735CBEFAB5B1}"/>
    <hyperlink ref="H66" location="DHO_303" display="DHO_303" xr:uid="{26EB1C6B-65A3-42AF-BD12-23CDCD2017AE}"/>
    <hyperlink ref="H67" location="DHO_081" display="DHO_081" xr:uid="{2E53362C-7C62-4F13-A87C-3A281F0CD07E}"/>
    <hyperlink ref="I62" location="DHO_303" display="DHO_303" xr:uid="{32ACCF7C-DDC5-4DC5-B66D-D1FC0ED20635}"/>
    <hyperlink ref="I63" location="DHO_925" display="DHO_925" xr:uid="{282C6A30-940C-4F40-B3F6-85B1488B4BD1}"/>
    <hyperlink ref="I64" location="DHO_303" display="DHO_303" xr:uid="{48BDBD4A-6B58-4147-B9A5-330E9BE68011}"/>
    <hyperlink ref="I65" location="DHO_925" display="DHO_925" xr:uid="{3F640AF9-D36D-4969-A488-4F7E451AE1B0}"/>
    <hyperlink ref="I66" location="DHO_925" display="DHO_925" xr:uid="{92FA3241-46A5-4646-8121-106F7C0CAEE0}"/>
    <hyperlink ref="I67" location="DHO_490" display="DHO_490" xr:uid="{C217C6F3-068E-41C5-8129-C9C86DA8FE63}"/>
    <hyperlink ref="J62" location="DHO_303" display="DHO_303" xr:uid="{2F9A606B-7ECC-4964-9260-6B0385B65836}"/>
    <hyperlink ref="J63" location="DHO_1180" display="DHO_1180" xr:uid="{0E4D9B84-F847-44EF-80D6-A81C526B3CAA}"/>
    <hyperlink ref="J64" location="DHO_081" display="DHO_081" xr:uid="{DADFBE1D-5DD7-459F-9D63-305C8B03CBFF}"/>
    <hyperlink ref="J65" location="DHO_1428" display="DHO_1428" xr:uid="{49201BEA-B5E7-4F1D-8E4D-FACB24859CF0}"/>
    <hyperlink ref="J66" location="DHO_1436" display="DHO_1436" xr:uid="{06661D0A-8EA3-43E7-B451-4026DEC9C84E}"/>
    <hyperlink ref="J67" location="DHO_1442" display="DHO_1442" xr:uid="{BCBC7FCC-628C-4283-8FB2-A96DE7B9ED07}"/>
    <hyperlink ref="K62" location="DHO_1436" display="DHO_1436" xr:uid="{FCF3C2FB-D40A-4E9B-BD45-2EE6D9F257EC}"/>
    <hyperlink ref="K63" location="DHO_1527" display="DHO_1527" xr:uid="{53398179-FC00-4884-A951-19F463507517}"/>
    <hyperlink ref="K64" location="DHO_1528" display="DHO_1528" xr:uid="{6A5AF66F-7D9F-4AAF-A7B1-7E44593A6593}"/>
    <hyperlink ref="K65" location="DHO_1627" display="DHO_1627" xr:uid="{2F9042B4-EAE0-487C-B762-DF6BEDA62DF7}"/>
    <hyperlink ref="K66" location="DHO_1629" display="DHO_1629" xr:uid="{DB8DEADC-C17F-4423-97B8-6ED188F2DA2B}"/>
    <hyperlink ref="K67" location="DHO_026" display="DHO_026" xr:uid="{3AA15705-B352-4D8C-B3EF-77DD5CBD9839}"/>
    <hyperlink ref="L62" location="DHO_1673" display="DHO_1673" xr:uid="{CE45ED38-6A02-4B00-B4B3-D7EBD989D960}"/>
    <hyperlink ref="L63" location="DHO_733" display="DHO_733" xr:uid="{FF13C9B1-37B6-46D2-B8EF-D5A80004059E}"/>
    <hyperlink ref="L64" location="DHO_1769" display="DHO_1769" xr:uid="{71993C96-4D7E-4D88-A83F-A297947AA02A}"/>
    <hyperlink ref="L65" location="DHO_1627" display="DHO_1627" xr:uid="{42FFF0D8-AFE2-43A8-AC04-7F33857E0691}"/>
    <hyperlink ref="L66" location="DHO_1673" display="DHO_1673" xr:uid="{DB0FFD68-5576-4AE0-BDE1-2ACC67DF0B85}"/>
    <hyperlink ref="L67" location="DHO_1673" display="DHO_1673" xr:uid="{D4D050E6-2798-4ADA-BD5D-F5392ACB4722}"/>
    <hyperlink ref="M62" location="DHO_303" display="DHO_303" xr:uid="{6A77313B-D838-4FB8-BB6C-0753F82EDF49}"/>
    <hyperlink ref="M63" location="DHO_1627" display="DHO_1627" xr:uid="{A7A19CBE-0DC4-40DC-84C1-693799114B3B}"/>
    <hyperlink ref="M64" location="Dho_2122" display="Dho_2122" xr:uid="{DB010ED0-7B02-4564-BB16-85AED82F072B}"/>
    <hyperlink ref="H64" location="DHO_733" display="DHO_733" xr:uid="{CE76D8AA-2CF3-43A4-8841-6DA8ADF02F21}"/>
    <hyperlink ref="L47:N47" location="Tiris_001" display="001" xr:uid="{F1D564C3-7239-4CD6-A1F7-D6AE1989D973}"/>
    <hyperlink ref="M49" location="Tiss_003" display="003" xr:uid="{F87278B2-8C41-4155-BDF6-2DFBE072C2CF}"/>
    <hyperlink ref="B25:E25" location="AlAw" display="Al ’Aweinat" xr:uid="{14BCD0E7-839F-4258-80E5-8339C6E11162}"/>
    <hyperlink ref="K79" location="NWA_15807" display="NWA_15807" xr:uid="{B15C536A-3B6A-4FFA-8F01-A840374E7A7E}"/>
    <hyperlink ref="K87" location="NWA_16095" display="NWA_16095" xr:uid="{44FD3AA1-E88E-4BB0-A2CA-CFAABF6F7CD4}"/>
    <hyperlink ref="K88" location="NWA_16106" display="NWA_16106" xr:uid="{23C6E2AB-DA94-44F9-9177-362FC6E150A6}"/>
    <hyperlink ref="K84" location="NWA_15963" display="NWA_15963" xr:uid="{363F561B-870F-415B-A24E-CD63EC4F4DFD}"/>
    <hyperlink ref="I45" location="NEA_039" display="039" xr:uid="{1E6A2636-913D-4817-B100-029DF43552F9}"/>
    <hyperlink ref="K83" location="NWA_15954" display="NWA_15954" xr:uid="{E6A00F97-C747-47BA-9576-6319672890C0}"/>
    <hyperlink ref="K18" location="JaH_1118" display="JaH_1118" xr:uid="{26B10EE1-9CA4-4D2F-A2B1-03E82D0A9114}"/>
    <hyperlink ref="K80" location="NWA_15859" display="NWA_15859" xr:uid="{BEE72546-F91D-4334-B5CD-E848558C4E68}"/>
    <hyperlink ref="K89" location="NWA_16132" display="NWA_16132" xr:uid="{C82502D4-A15D-4D37-8662-A9055C92F2E2}"/>
    <hyperlink ref="K90" location="NWA_16134" display="NWA_16134" xr:uid="{F345553F-6095-43ED-8BAA-909EAAAC1213}"/>
    <hyperlink ref="K91" location="NWA_16173" display="NWA_16173" xr:uid="{B1411589-E706-4C38-825F-7E6ECC2FA54F}"/>
    <hyperlink ref="G33" location="EA_005" display="005" xr:uid="{0448833E-1AB6-4994-A7E6-8BD53488D6C5}"/>
    <hyperlink ref="J22" location="Laay_002" display="003" xr:uid="{0274B256-B818-4553-ACA8-A10D683F750A}"/>
    <hyperlink ref="K85" location="NWA_16002" display="NWA_16002" xr:uid="{52EA54B6-8F59-4534-890E-15405CF18275}"/>
    <hyperlink ref="K86" location="NWA_16008" display="NWA_16008" xr:uid="{2A4AC036-27AF-4BC8-8D5B-350C20FBDBC6}"/>
    <hyperlink ref="K93" location="NWA_16200" display="NWA_16200" xr:uid="{E418D08D-B714-427C-96C5-8B5A97AD35E9}"/>
    <hyperlink ref="K94" location="NWA_16238" display="NWA_16238" xr:uid="{6C2D3215-55C5-4B44-A20C-508C416814D0}"/>
    <hyperlink ref="D50" location="BiG_003" display="003" xr:uid="{5BB6E3F8-74FE-400B-AF9F-B279DF9D66F3}"/>
    <hyperlink ref="J45" location="NEA_042" display="042" xr:uid="{A369B981-4463-4105-80B5-227535D81468}"/>
    <hyperlink ref="K92" location="NWA_16189" display="NWA_16189" xr:uid="{C6CFCA62-A7DC-47D4-BF43-EDBCDE420133}"/>
    <hyperlink ref="J86" location="NWA_15059" display="NWA_15059" xr:uid="{D8C94862-D4BA-463B-B3DA-320FC85903DF}"/>
    <hyperlink ref="E16" location="Adrar_014" display="014" xr:uid="{1AFB7FA4-0626-4042-9A58-ECC1A9007316}"/>
    <hyperlink ref="B16:C16" location="Adrar_012" display="012" xr:uid="{FA4507E2-FDB9-4CAD-9AFA-5D021CD8DA2F}"/>
    <hyperlink ref="D16" location="Adrar_014" display="013" xr:uid="{7DB528BB-6348-4096-8A41-EF6E612BF60D}"/>
    <hyperlink ref="J55" location="Pake_005" display="004" xr:uid="{617E7ED7-23C5-47D9-9BEE-AFC02ABCC59E}"/>
    <hyperlink ref="G44" location="GHARD_001" display="002" xr:uid="{A751FDAE-DCB7-45C7-997E-376A5912D8D7}"/>
    <hyperlink ref="K114" location="NWA_16507" display="NWA_16507" xr:uid="{2C602F9C-A763-4FE5-B056-B9C2D6408A5C}"/>
    <hyperlink ref="K107" location="NWA_16372" display="NWA_16372" xr:uid="{BCB2D6AF-4996-4930-AD0D-D96C21643C54}"/>
    <hyperlink ref="K113" location="NWA_16484" display="NWA_16484" xr:uid="{E425AC7D-61FB-41E1-8DE6-487907C3D765}"/>
    <hyperlink ref="K112" location="NWA_16470" display="NWA_16470" xr:uid="{C31A95FD-85A9-4C26-82F9-B07AE95DDDD2}"/>
    <hyperlink ref="K109" location="NWA_16460" display="NWA_16460" xr:uid="{97DEBA64-3789-468A-9D7E-B18F387A68DB}"/>
    <hyperlink ref="K111" location="NWA_16470" display="NWA_16470" xr:uid="{AEA57D06-0827-49E3-9ACC-C5B1B803A75B}"/>
    <hyperlink ref="K108" location="NWA_16400" display="NWA_16400" xr:uid="{C33598E9-23F7-41F0-AACF-2D93CB1E8656}"/>
    <hyperlink ref="K106" location="NWA_16366" display="NWA_16366" xr:uid="{6FDCE27A-1E44-4819-A0E2-DC44238B26B7}"/>
    <hyperlink ref="K105" location="NWA_16349" display="NWA_16349" xr:uid="{76F2BFD3-C845-4369-8F34-D6D983B08F3C}"/>
    <hyperlink ref="K101" location="NWA_16286" display="NWA_16286" xr:uid="{39D14D74-EF9D-44B8-8D51-713045565219}"/>
    <hyperlink ref="K97" location="NWA_16277" display="NWA_16277" xr:uid="{F8507BF8-6B34-4E82-86D2-C35984413D4C}"/>
    <hyperlink ref="K103" location="NWA_16294" display="NWA_16294" xr:uid="{42D2849C-157B-42A8-88B9-CE61FF597D00}"/>
    <hyperlink ref="K102" location="NWA_16292" display="NWA_16292" xr:uid="{A6C0AA59-B182-4508-8E4F-A808AE280E52}"/>
    <hyperlink ref="K100" location="NWA_16283" display="NWA_16283" xr:uid="{3B96BDC0-FF24-46BD-ADD4-77FC4DF690E9}"/>
    <hyperlink ref="K99" location="NWA_16282" display="NWA_16282" xr:uid="{2836CE24-5C86-4A83-9C7E-DD94396EB41F}"/>
    <hyperlink ref="K98" location="NWA_16278" display="NWA_16278" xr:uid="{564E9C43-3D9A-480F-9E56-AA4AE4C1F94C}"/>
    <hyperlink ref="K96" location="NWA_16267" display="NWA_16267" xr:uid="{1F1AF412-CDB6-4857-84AE-43EB33D753BA}"/>
    <hyperlink ref="K71" location="NWA_15629" display="NWA_15629" xr:uid="{8F2A1CB9-628B-4584-A0D2-F6DDC9FFB5E0}"/>
    <hyperlink ref="B226" location="ATOP" display="ATOP" xr:uid="{528CFA30-260E-40B1-96BB-F473B981FD3F}"/>
    <hyperlink ref="D48" location="Bechar_003" display="013" xr:uid="{3338E2B0-FD6D-4B85-8A8A-E37F1DD4C9ED}"/>
    <hyperlink ref="K116" location="NWA_16530" display="NWA_16530" xr:uid="{87F763E8-38B4-499A-8D4B-48D7089492A8}"/>
    <hyperlink ref="K117" location="NWA_16531" display="NWA_16531" xr:uid="{841D8D39-FB09-4AAD-912D-7887BD0F1E6D}"/>
    <hyperlink ref="K118" location="NWA_16535" display="NWA_16535" xr:uid="{12B5870D-0057-40D2-A026-072C887E668A}"/>
    <hyperlink ref="I32" location="LAR_06638" display="Larkman Nunatak  06638" xr:uid="{EAF79FAB-09B1-408F-BDAC-B26D0F25D780}"/>
    <hyperlink ref="F21" location="DOM_18262" display="18242" xr:uid="{A8ABD800-C1B3-4AAE-8D86-FF6CB5795F8F}"/>
    <hyperlink ref="F22" location="DOM_18262" display="18509" xr:uid="{6D45B091-C69E-4BB4-A8E3-45DD2926ED63}"/>
    <hyperlink ref="F23" location="DOM_18262" display="18666" xr:uid="{9480B3CA-3E7A-41DF-962A-BE91E0F0E79C}"/>
    <hyperlink ref="D52" location="Bir_Ounane_005" display="005" xr:uid="{C4584DF6-331F-479B-ABDB-BF33924AEA75}"/>
    <hyperlink ref="K110" location="NWA_16470" display="NWA_16470" xr:uid="{24E9A9AE-79E1-478A-8BC8-9D849F54534E}"/>
    <hyperlink ref="B686:N686" r:id="rId10" display="Department of Earth, Environmental, and Planetary Sciences" xr:uid="{832A324C-AFAE-436B-8D9B-0EFAE2D03F85}"/>
    <hyperlink ref="J690:N690" r:id="rId11" display="How Do We Know That It Is a Rock from the Moon?" xr:uid="{F078EC5C-613E-436D-BAEF-1BF95DE6B409}"/>
    <hyperlink ref="K115" location="NWA_16520" display="NWA_16520" xr:uid="{D1BA5522-CF26-4C04-A12A-2D2BFC94D0AD}"/>
    <hyperlink ref="K120" location="NWA_16625" display="NWA_16625" xr:uid="{0AE49CAD-3BE2-413F-87C5-4A3738F69EC4}"/>
    <hyperlink ref="L69" location="NWA_16626" display="NWA_16626" xr:uid="{6A15A81D-C901-47B4-99CC-58CDA280B298}"/>
    <hyperlink ref="L73" location="NWA_16684" display="NWA_16684" xr:uid="{4AE26DC4-CF9A-4A59-8073-05C9C94D5F21}"/>
    <hyperlink ref="H29" location="ElMilhas007" display="007" xr:uid="{E0E2F684-8644-4F23-8E5E-27B54D043D6F}"/>
    <hyperlink ref="G54" location="HeB_004" display="005" xr:uid="{CA29C568-8CC6-4264-86F4-982F4B067B5E}"/>
    <hyperlink ref="L75" location="NWA_16716" display="NWA_16716" xr:uid="{95ACE036-D685-42DE-838B-0C281C3FFB8D}"/>
    <hyperlink ref="L79" location="NWA_16727" display="NWA_16727" xr:uid="{B59D70E0-A5C8-456F-A597-F565FEE843BB}"/>
    <hyperlink ref="L74" location="NWA_16690" display="NWA_16690" xr:uid="{F511E483-65A1-4EFB-9433-F865B3B90FAB}"/>
    <hyperlink ref="L35:N35" location="TH_001" display="Talhat Lihoudi" xr:uid="{F8FDB795-CB18-4B8F-A6F3-D269959EDE43}"/>
    <hyperlink ref="M33" location="Swa_003" display="003" xr:uid="{A77371E9-C669-421A-B1F8-7C8E480CCA90}"/>
    <hyperlink ref="M37" location="Tata_001" display="001" xr:uid="{7860C746-66B2-4ADC-AFD1-8B5C1F52494D}"/>
    <hyperlink ref="L33" location="Swa_001" display="001" xr:uid="{483E9672-D32F-44E8-9DEC-7902156B81E1}"/>
    <hyperlink ref="N33" location="Swa_001" display="004" xr:uid="{196077FA-36CF-4EC8-8816-80348DDCA9B8}"/>
    <hyperlink ref="M22" location="RF_532" display="532" xr:uid="{F3C22CBB-E357-4F11-8BAD-9C0A40FE7476}"/>
    <hyperlink ref="L28" location="SHI_160" display="SHI_160" xr:uid="{897FF869-D4FD-4FE8-97D5-56A205076A28}"/>
    <hyperlink ref="M28" location="SHI_161" display="SHI_161" xr:uid="{E7901648-ADBB-48AF-9EE8-9727112ECF3D}"/>
    <hyperlink ref="N28" location="SHI_162" display="SHI_162" xr:uid="{7384A96A-A2DA-48AD-BDE5-C6B0225BF966}"/>
    <hyperlink ref="L29" location="SHI_166" display="SHI_166" xr:uid="{07585A49-4F20-4C3C-A15C-A0F6ACA71396}"/>
    <hyperlink ref="M31" location="NWA_10495" display="005" xr:uid="{C2B18431-B530-4E82-A74C-9E42C20DF44C}"/>
    <hyperlink ref="L26" location="SAU_169" display="169" xr:uid="{33E68580-E64F-4F24-B2A0-62CF46D42D29}"/>
    <hyperlink ref="M26" location="SAU_300" display="300" xr:uid="{9ADABB71-C7AC-43CA-9340-7B2DA54FAD1A}"/>
    <hyperlink ref="N26" location="SAU_449" display="449" xr:uid="{21B140CD-D892-4501-B5EB-8C15EC1353A6}"/>
    <hyperlink ref="K95" location="NWA_16256" display="NWA_16256" xr:uid="{B3CFC582-51BE-4DEB-B94D-C2CF66319B6F}"/>
    <hyperlink ref="B44:E44" location="Asuka_88" display="881757" xr:uid="{E9711A53-55C0-422B-8168-414B65E2D804}"/>
    <hyperlink ref="L81" location="NWA_16761" display="NWA_16761" xr:uid="{855C9B7A-1D6E-486D-97C6-E7849337038A}"/>
    <hyperlink ref="F58" location="HaZ_001" display="001" xr:uid="{84BA24A8-9605-41FB-889C-4CFAFDFAA35C}"/>
    <hyperlink ref="L82" location="NWA_16784" display="NWA_16784" xr:uid="{B6311D2C-7987-4159-A41F-01406F86079F}"/>
    <hyperlink ref="K45" location="NEA_063" display="063" xr:uid="{40162AA2-DA8D-487C-A965-3B2671C76F3E}"/>
    <hyperlink ref="K119" location="NWA_16557" display="NWA_16557" xr:uid="{552EB65B-CBF7-47C6-B92A-BA611CCE7137}"/>
    <hyperlink ref="L71" location="NWA_16660" display="NWA_16660" xr:uid="{339ECC1A-3123-46CC-8208-44A0FD564AE0}"/>
    <hyperlink ref="L72" location="NWA_16683" display="NWA_16683" xr:uid="{0F6C8F72-7287-4F7B-9F6C-15CE1BDA65EF}"/>
    <hyperlink ref="L70" location="NWA_16557" display="NWA_16557" xr:uid="{14E67C68-CF53-4174-A2BB-D8632081E480}"/>
    <hyperlink ref="D27" location="AQS_001" display="001" xr:uid="{57122FB6-4480-40B9-B9E4-027B4DD81889}"/>
    <hyperlink ref="L80" location="NWA_16760" display="NWA_16760" xr:uid="{92F64EC6-87B5-421C-B328-EFC0209741C8}"/>
    <hyperlink ref="L84" location="NWA_16882" display="NWA_16882" xr:uid="{04A69229-D9BF-44E4-85DE-59A9E875BC93}"/>
    <hyperlink ref="B21:C21" location="AgMa001" display="001" xr:uid="{49199A23-4C4A-4E9F-BE28-D4CCC37B638A}"/>
    <hyperlink ref="D21" location="AgMa001" display="002" xr:uid="{C951E7E8-BF0E-4CDB-BF9F-41CDD173D2CE}"/>
    <hyperlink ref="M24" location="Regg_007" display="007" xr:uid="{57D09F8F-2630-40CA-95B9-AB72E8107B85}"/>
    <hyperlink ref="L76" location="NWA_16717" display="NWA_16717" xr:uid="{43E7941A-DEBB-44F0-8996-DABD92D2C117}"/>
    <hyperlink ref="L78" location="NWA_16720" display="NWA_16720" xr:uid="{BA36F3DF-71CC-42FF-94C2-A11888ABD94E}"/>
    <hyperlink ref="L87" location="NWA_16914" display="NWA_16914" xr:uid="{3335A23F-5DF1-46FD-B33E-2766AA514152}"/>
    <hyperlink ref="L88" location="NWA_16974" display="NWA_16974" xr:uid="{373AB4F1-1BE3-4C50-AFCF-CE2DE7AE65E6}"/>
    <hyperlink ref="L89" location="NWA_14526" display="NWA_14526" xr:uid="{D23B3EC9-E4CB-4805-85E7-F9D77C01BCC5}"/>
    <hyperlink ref="I53:K53" location="OEA_001" display="001" xr:uid="{D1EE0652-4D8B-45A8-96C2-2C499EB8FE8B}"/>
    <hyperlink ref="K104" location="NWA_16315" display="NWA_16315" xr:uid="{57BB25DE-4AE6-4851-91F0-7C6F4DBDE345}"/>
    <hyperlink ref="L86" location="NWA_16894" display="NWA_16894" xr:uid="{59D3FECB-0E89-4188-BEDD-2343D79F83B3}"/>
    <hyperlink ref="J688:N688" r:id="rId12" display="Some Meteorite Information" xr:uid="{DC0AE6C6-5E46-4113-8D2C-687911513E13}"/>
    <hyperlink ref="J689:N689" r:id="rId13" display="Identifying Meteorites" xr:uid="{A916F934-8FF1-436F-9C7F-629203A6B300}"/>
    <hyperlink ref="L85" location="NWA_16888" display="NWA_16888" xr:uid="{0C4FFDBC-82DB-48C3-A1E4-5762D514B5E1}"/>
    <hyperlink ref="L83" location="NWA_16881" display="NWA_16881" xr:uid="{839E1771-41B5-4E4C-9D93-683C68C20E69}"/>
    <hyperlink ref="L90" location="NWA_17060" display="NWA_17060" xr:uid="{FEC2EC85-9335-40D9-80E2-63D5F2A03B44}"/>
    <hyperlink ref="L91" location="NWA_17061" display="NWA_17061" xr:uid="{C92B274F-684E-430E-8CEB-4E27FCDA5AE2}"/>
    <hyperlink ref="L92" location="NWA_17209" display="NWA_17209" xr:uid="{A39B7052-ECF7-4603-AD92-8D45D91D7772}"/>
    <hyperlink ref="L93" location="NWA_17217" display="NWA_17217" xr:uid="{E6E4D741-8660-49B8-A3C5-7F43E2724464}"/>
    <hyperlink ref="I27" location="Lahmada_020" display="020" xr:uid="{FD4E799C-CE49-44BB-AEFE-E28B13278ABC}"/>
    <hyperlink ref="I46" location="NEA_075" display="075" xr:uid="{209B978C-1187-4F46-B81F-1730F82EBE94}"/>
    <hyperlink ref="L94" location="NWA_17241" display="NWA_17241" xr:uid="{4B9ED4FE-F308-4250-9CC9-31A82C00F202}"/>
    <hyperlink ref="B48:C48" location="Bechar_003" display="012" xr:uid="{E81CA718-B572-4ECD-AD68-9BD7F76DD66E}"/>
    <hyperlink ref="G17" location="DeA_003" display="003" xr:uid="{CCB8055E-EDEF-4C3E-BA85-BE3E35180B27}"/>
    <hyperlink ref="L98" location="NWA_17294" display="NWA_17294" xr:uid="{0ABA2936-8496-4FFF-837F-15E91AA9D1B8}"/>
    <hyperlink ref="L77" location="NWA_16718" display="NWA_16718" xr:uid="{08E35B32-BCA4-4183-BA5D-AC603535009C}"/>
    <hyperlink ref="L99" location="NWA_17295" display="NWA_17295" xr:uid="{6FF2868E-7A4C-4BCC-AC9C-DA4F35AADC54}"/>
    <hyperlink ref="L103" location="NWA_17351" display="NWA_17351" xr:uid="{A6DED962-C66B-422A-ADBF-836D3B04A29E}"/>
    <hyperlink ref="J81" location="NWA_14526" display="NWA_14526" xr:uid="{36987431-EB64-4CD8-A448-3C71761B9A58}"/>
    <hyperlink ref="M45" location="TE_004" display="004" xr:uid="{A4D71C64-C29B-4C3C-83DD-3456FAF7E67C}"/>
    <hyperlink ref="L102" location="NWA_17307" display="NWA_17307" xr:uid="{DA845E89-1E07-4D60-8822-0F1D7D075E92}"/>
    <hyperlink ref="L105" location="NWA_17353" display="NWA_17353" xr:uid="{0DCD0FC4-0D24-4F8B-BF43-D1769713800D}"/>
    <hyperlink ref="L50" location="Tiss_003" display="006" xr:uid="{985C188C-4806-491B-B54F-809A58E720D7}"/>
    <hyperlink ref="L104" location="NWA_17353" display="NWA_17353" xr:uid="{EF8797FF-9B31-4581-B912-5CD7D4275754}"/>
    <hyperlink ref="L110" location="NWA_17353" display="NWA_17353" xr:uid="{6EE9E026-1EC9-4B61-A83F-2241D0072714}"/>
    <hyperlink ref="N49" location="Tiss_003" display="005" xr:uid="{543B7AD0-72FE-4971-9D3F-BF14BD59D71B}"/>
    <hyperlink ref="L95" location="NWA_17270" display="NWA_17270" xr:uid="{96F8249F-F8FE-4A1E-AE1A-4F40CE736988}"/>
    <hyperlink ref="L96" location="NWA_17271" display="NWA_17271" xr:uid="{2C9C8177-7CA1-47E8-BDB3-454CAC11DDD8}"/>
    <hyperlink ref="L97" location="NWA_17276" display="NWA_17276" xr:uid="{FB741FE7-9BF2-4970-B10D-DBE07064C676}"/>
    <hyperlink ref="J46" location="NEA_076" display="076" xr:uid="{A3DC08B0-8C3F-42BD-BBEB-794E10EC413F}"/>
    <hyperlink ref="I47" location="NEA_079" display="079" xr:uid="{E78FD163-00A4-42CD-89F5-69EEFCCF9D53}"/>
    <hyperlink ref="K46" location="NEA_078" display="078" xr:uid="{EDC72BF3-A699-49E5-80D2-D912B67194AC}"/>
    <hyperlink ref="H54" location="Heb_006" display="006" xr:uid="{4BA52116-DC30-46B4-8AD6-3FFDBC5AA9C7}"/>
    <hyperlink ref="L107" location="NWA_17405" display="NWA_17405" xr:uid="{C329BFC2-AC78-494F-AE17-3C761BFC6CF5}"/>
    <hyperlink ref="L106" location="NWA_17355" display="NWA_17355" xr:uid="{39C229B0-ABD6-4630-86E2-43D5435D75A1}"/>
    <hyperlink ref="B56:E56" location="Choum_001" display="001" xr:uid="{A83B088B-6D02-488A-B723-D1F72B372DCF}"/>
    <hyperlink ref="B40:C40" location="Aridal_022" display="022" xr:uid="{A738EDA7-B59A-415F-8732-30752F630A33}"/>
    <hyperlink ref="L112" location="NWA_17586" display="NWA_17586" xr:uid="{03A74F72-D1C7-41AD-8275-66DFA798F9B4}"/>
    <hyperlink ref="L113" location="NWA_17587" display="NWA_17587" xr:uid="{055AE846-2990-4067-8A00-E182A23DCE4B}"/>
    <hyperlink ref="H38" location="Gad_002" display="008" xr:uid="{F40B419E-E873-4469-B34B-6F73E77505AC}"/>
    <hyperlink ref="G58" location="HaZ_004" display="004" xr:uid="{40211313-C98C-465E-90D7-664567FA3856}"/>
    <hyperlink ref="L108" location="NWA_17471" display="NWA_17471" xr:uid="{BCF901CE-6F1F-44C9-8232-8A74138FE6A3}"/>
    <hyperlink ref="L111" location="NWA_17581" display="NWA_17581" xr:uid="{F8FD5B1D-156C-4974-A678-6AD72A08783E}"/>
    <hyperlink ref="B23:C23" location="Ajd" display="001" xr:uid="{058A429E-71BC-4A12-8357-BAF609A7C298}"/>
    <hyperlink ref="D23" location="Ajd_007" display="007" xr:uid="{4EECECC3-F960-41B0-ADB8-AB9C9E878F14}"/>
    <hyperlink ref="D35" location="Araouane_001" display="001" xr:uid="{E53B119A-587F-48A7-A0BB-B0748B99419E}"/>
    <hyperlink ref="L115" location="NWA_17679" display="NWA_17679" xr:uid="{2D4ABC31-6AE2-4EA5-BD25-F0080166DC6C}"/>
    <hyperlink ref="B27:C27" location="AQS_001" display="001" xr:uid="{ED0F7CDB-72A8-42DE-97BF-736D9D11C0F1}"/>
    <hyperlink ref="M70" location="NWA_17716" display="NWA_17716" xr:uid="{DD127B36-A32B-4627-8A1F-D476D71F4935}"/>
    <hyperlink ref="M71" location="NWA_17721" display="NWA_17721" xr:uid="{3FF2A073-255B-4400-9C15-2F05C42C2164}"/>
    <hyperlink ref="M72" location="NWA_17747" display="NWA_17747" xr:uid="{3D84DDEB-DEE5-4EA1-9196-BCD1A4FFCB8C}"/>
    <hyperlink ref="I49" location="Ouargla_004" display="004" xr:uid="{461E3DF2-BDC0-4270-8244-A1A18058432E}"/>
    <hyperlink ref="F52" location="Guemar_002" display="002" xr:uid="{37408691-7DCF-4872-99BF-F545B6914FC6}"/>
    <hyperlink ref="J49" location="Ouargla_004" display="007" xr:uid="{57318F7B-2F2B-4EA4-A28E-9B06A4924E8A}"/>
    <hyperlink ref="M43" location="Timetrine_001" display="001" xr:uid="{310A5B9A-1BA5-4DD3-92AB-B149588D4DE0}"/>
    <hyperlink ref="M52" location="Touat_005" display="005" xr:uid="{97974F3D-B3F2-4BFB-842B-F148F7977BFD}"/>
    <hyperlink ref="N52" location="Touat_008" display="008" xr:uid="{33AC426E-503A-48B0-847B-BF891A2CD330}"/>
    <hyperlink ref="L53" location="Touat_011" display="011" xr:uid="{0196711D-AEBE-43C0-A25B-C69EB258D4BB}"/>
    <hyperlink ref="M74" location="NWA_17859" display="NWA_17859" xr:uid="{1317EC92-6BBB-4DCE-9313-2C24F08E3904}"/>
    <hyperlink ref="M77" location="NWA_17869" display="NWA_17869" xr:uid="{4FBBACD6-0512-445D-AEBB-8934F9E2A8CB}"/>
    <hyperlink ref="D42" location="Ash_Shaq" display="002" xr:uid="{DAAB5372-F1D3-4D30-A41B-76E727E72CF2}"/>
    <hyperlink ref="J47" location="NEA_104" display="NEA_104" xr:uid="{B7A8B8CA-56B5-437A-974D-B094053D7241}"/>
    <hyperlink ref="L100" location="NWA_17302" display="NWA_17302" xr:uid="{5099C000-3F2F-4AEA-9EE9-FF9F24C5BE73}"/>
    <hyperlink ref="L101" location="NWA_17313" display="NWA_17313" xr:uid="{13970663-1492-4F3E-A05B-4C106FB3A58E}"/>
    <hyperlink ref="L109" location="NWA_17497" display="NWA_17497" xr:uid="{610AAF2A-A4AE-4200-9161-59AFF78FE344}"/>
    <hyperlink ref="L117" location="NWA_17687" display="NWA_17687" xr:uid="{4016F9A2-F601-4E2A-A9C1-2DD8F90609BD}"/>
    <hyperlink ref="L118" location="NWA_17688" display="NWA_17688" xr:uid="{C37EA504-EC50-4DB8-B5B7-2FFDF2A54A2D}"/>
    <hyperlink ref="L119" location="NWA_17689" display="NWA_17689" xr:uid="{31C75E53-49D4-4105-A6A1-99B2ACBFD176}"/>
    <hyperlink ref="J24" location="NWA_10509" display="La'gad 003" xr:uid="{0C740849-628F-46E2-A78F-A8BAB85A22C3}"/>
    <hyperlink ref="I24" location="NWA_8455" display="La'gad" xr:uid="{F4EFEE47-906A-4415-B9DE-9C11F9F8A040}"/>
    <hyperlink ref="L114" location="NWA_17651" display="NWA_17651" xr:uid="{5CEDA1FA-2A60-49CA-A943-45FB2A067E7D}"/>
    <hyperlink ref="L116" location="NWA_17680" display="NWA_17680" xr:uid="{DE992EC5-2441-4E50-8DEE-60096B2BF742}"/>
    <hyperlink ref="L120" location="NWA_17700" display="NWA_17700" xr:uid="{C4A92DE2-217B-4073-8F76-E558274CE627}"/>
    <hyperlink ref="M69" location="NWA_17706" display="NWA_17706" xr:uid="{8EAF8B7B-A291-44AA-8E97-0B5ECB30DC4B}"/>
    <hyperlink ref="M73" location="NWA_17826" display="NWA_17826" xr:uid="{AD7736E9-95D8-43D5-A4F1-B603D5DA8077}"/>
    <hyperlink ref="M75" location="NWA_17861" display="NWA_17861" xr:uid="{488C0317-D25E-4D54-B0F8-58BB0719DB12}"/>
    <hyperlink ref="M76" location="NWA_17865" display="NWA_17865" xr:uid="{A11E0A1B-C31E-4E73-8758-DD64004307A4}"/>
    <hyperlink ref="B17:C17" location="Adrar_017" display="017" xr:uid="{823D50A2-9C7F-4E67-BCF5-BE26600F04BF}"/>
    <hyperlink ref="G25" location="ElAtch_024" display="024" xr:uid="{A6DFC919-491F-403D-B6BB-117BED93EC88}"/>
    <hyperlink ref="F14" location="DAG_262" display="DAG_262" xr:uid="{CB02E22A-85BB-446E-84C3-1FC9296CFE5F}"/>
    <hyperlink ref="F15" location="DAG_262" display="DAG_262" xr:uid="{5201B0DA-B251-4740-AC22-4568541C0236}"/>
    <hyperlink ref="K49" location="Ouargla_008" display="008" xr:uid="{25B1E02E-2510-4521-8F55-79BC1CD7CE51}"/>
  </hyperlinks>
  <pageMargins left="0.75" right="0.75" top="1" bottom="1" header="0.5" footer="0.5"/>
  <pageSetup orientation="portrait" r:id="rId14"/>
  <drawing r:id="rId15"/>
  <legacyDrawing r:id="rId16"/>
  <webPublishItems count="1">
    <webPublishItem id="30737" divId="moon_meteorites_list_alumina_30737" sourceType="sheet" destinationFile="C:\Users\RLKor\Documents\moon_meteorites_list_alumina.htm" title="List of Lunar Meteorites - Feldspathic to Basaltic Order" autoRepublish="1"/>
  </webPublishItem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504</vt:i4>
      </vt:variant>
    </vt:vector>
  </HeadingPairs>
  <TitlesOfParts>
    <vt:vector size="505" baseType="lpstr">
      <vt:lpstr>moon_meteorites_list_alumina</vt:lpstr>
      <vt:lpstr>ABAR</vt:lpstr>
      <vt:lpstr>Adrar_012</vt:lpstr>
      <vt:lpstr>Adrar_014</vt:lpstr>
      <vt:lpstr>Adrar_017</vt:lpstr>
      <vt:lpstr>AeF_001</vt:lpstr>
      <vt:lpstr>AgMa001</vt:lpstr>
      <vt:lpstr>Ajd</vt:lpstr>
      <vt:lpstr>Ajd_007</vt:lpstr>
      <vt:lpstr>AlAw</vt:lpstr>
      <vt:lpstr>ALHA_81005</vt:lpstr>
      <vt:lpstr>ALL</vt:lpstr>
      <vt:lpstr>AQS_001</vt:lpstr>
      <vt:lpstr>Araouane_001</vt:lpstr>
      <vt:lpstr>Arguin_002</vt:lpstr>
      <vt:lpstr>Aridal_019</vt:lpstr>
      <vt:lpstr>Aridal_020</vt:lpstr>
      <vt:lpstr>Aridal_022</vt:lpstr>
      <vt:lpstr>ArPe007</vt:lpstr>
      <vt:lpstr>Ash_Shaq</vt:lpstr>
      <vt:lpstr>Asuka_88</vt:lpstr>
      <vt:lpstr>ATOP</vt:lpstr>
      <vt:lpstr>Bechar_003</vt:lpstr>
      <vt:lpstr>BiG_003</vt:lpstr>
      <vt:lpstr>Bir_Ounane_005</vt:lpstr>
      <vt:lpstr>moon_meteorites_list_alumina!CALCR</vt:lpstr>
      <vt:lpstr>Choum_001</vt:lpstr>
      <vt:lpstr>DAG_262</vt:lpstr>
      <vt:lpstr>DAG_400</vt:lpstr>
      <vt:lpstr>DeA_003</vt:lpstr>
      <vt:lpstr>DEW_12007</vt:lpstr>
      <vt:lpstr>DHO_025</vt:lpstr>
      <vt:lpstr>DHO_026</vt:lpstr>
      <vt:lpstr>DHO_081</vt:lpstr>
      <vt:lpstr>DHO_1180</vt:lpstr>
      <vt:lpstr>DHO_1428</vt:lpstr>
      <vt:lpstr>DHO_1436</vt:lpstr>
      <vt:lpstr>DHO_1442</vt:lpstr>
      <vt:lpstr>DHO_1527</vt:lpstr>
      <vt:lpstr>DHO_1528</vt:lpstr>
      <vt:lpstr>DHO_1627</vt:lpstr>
      <vt:lpstr>DHO_1629</vt:lpstr>
      <vt:lpstr>DHO_1673</vt:lpstr>
      <vt:lpstr>DHO_1769</vt:lpstr>
      <vt:lpstr>Dho_2122</vt:lpstr>
      <vt:lpstr>DHO_287</vt:lpstr>
      <vt:lpstr>DHO_302</vt:lpstr>
      <vt:lpstr>DHO_303</vt:lpstr>
      <vt:lpstr>DHO_490</vt:lpstr>
      <vt:lpstr>DHO_733</vt:lpstr>
      <vt:lpstr>DHO_925</vt:lpstr>
      <vt:lpstr>DOM_18262</vt:lpstr>
      <vt:lpstr>EA_005</vt:lpstr>
      <vt:lpstr>EET_87521</vt:lpstr>
      <vt:lpstr>ElAtch_024</vt:lpstr>
      <vt:lpstr>ElH_001</vt:lpstr>
      <vt:lpstr>ElMilhas_001</vt:lpstr>
      <vt:lpstr>ElMilhas_002</vt:lpstr>
      <vt:lpstr>ElMilhas007</vt:lpstr>
      <vt:lpstr>Errachidia</vt:lpstr>
      <vt:lpstr>Gad_002</vt:lpstr>
      <vt:lpstr>Ghadd_001</vt:lpstr>
      <vt:lpstr>GHARD_001</vt:lpstr>
      <vt:lpstr>GRA_06157</vt:lpstr>
      <vt:lpstr>Grizim_002</vt:lpstr>
      <vt:lpstr>GRV_150357</vt:lpstr>
      <vt:lpstr>Guemar_002</vt:lpstr>
      <vt:lpstr>HasTou001</vt:lpstr>
      <vt:lpstr>HaZ_001</vt:lpstr>
      <vt:lpstr>HaZ_004</vt:lpstr>
      <vt:lpstr>HeB_004</vt:lpstr>
      <vt:lpstr>Heb_006</vt:lpstr>
      <vt:lpstr>InI</vt:lpstr>
      <vt:lpstr>Istifane</vt:lpstr>
      <vt:lpstr>JaH_1118</vt:lpstr>
      <vt:lpstr>JAH_348</vt:lpstr>
      <vt:lpstr>JAH_838</vt:lpstr>
      <vt:lpstr>KAL_008</vt:lpstr>
      <vt:lpstr>Laay_002</vt:lpstr>
      <vt:lpstr>Lahmada_020</vt:lpstr>
      <vt:lpstr>LAP_02205</vt:lpstr>
      <vt:lpstr>LAR_06638</vt:lpstr>
      <vt:lpstr>moon_meteorites_list_alumina!LYNCH</vt:lpstr>
      <vt:lpstr>MAC_88</vt:lpstr>
      <vt:lpstr>MET_01210</vt:lpstr>
      <vt:lpstr>MIL_05035</vt:lpstr>
      <vt:lpstr>MIL_07006</vt:lpstr>
      <vt:lpstr>MIL_090034</vt:lpstr>
      <vt:lpstr>MIL_090036</vt:lpstr>
      <vt:lpstr>MIL_13317</vt:lpstr>
      <vt:lpstr>NEA_001</vt:lpstr>
      <vt:lpstr>NEA_003</vt:lpstr>
      <vt:lpstr>nea_014</vt:lpstr>
      <vt:lpstr>NEA_039</vt:lpstr>
      <vt:lpstr>NEA_042</vt:lpstr>
      <vt:lpstr>NEA_063</vt:lpstr>
      <vt:lpstr>NEA_075</vt:lpstr>
      <vt:lpstr>NEA_076</vt:lpstr>
      <vt:lpstr>NEA_078</vt:lpstr>
      <vt:lpstr>NEA_079</vt:lpstr>
      <vt:lpstr>NEA_104</vt:lpstr>
      <vt:lpstr>NWA_032</vt:lpstr>
      <vt:lpstr>NWA_0482</vt:lpstr>
      <vt:lpstr>NWA_10073</vt:lpstr>
      <vt:lpstr>NWA_10141</vt:lpstr>
      <vt:lpstr>NWA_10404</vt:lpstr>
      <vt:lpstr>NWA_10447</vt:lpstr>
      <vt:lpstr>NWA_10495</vt:lpstr>
      <vt:lpstr>NWA_10509</vt:lpstr>
      <vt:lpstr>NWA_10608</vt:lpstr>
      <vt:lpstr>NWA_10626</vt:lpstr>
      <vt:lpstr>NWA_10665</vt:lpstr>
      <vt:lpstr>NWA_10678</vt:lpstr>
      <vt:lpstr>NWA_10713</vt:lpstr>
      <vt:lpstr>NWA_10783</vt:lpstr>
      <vt:lpstr>NWA_10973</vt:lpstr>
      <vt:lpstr>NWA_11006</vt:lpstr>
      <vt:lpstr>NWA_11061</vt:lpstr>
      <vt:lpstr>NWA_11077</vt:lpstr>
      <vt:lpstr>NWA_11127</vt:lpstr>
      <vt:lpstr>NWA_11159</vt:lpstr>
      <vt:lpstr>NWA_11182</vt:lpstr>
      <vt:lpstr>NWA_11223</vt:lpstr>
      <vt:lpstr>NWA_11243</vt:lpstr>
      <vt:lpstr>NWA_11352</vt:lpstr>
      <vt:lpstr>NWA_11367</vt:lpstr>
      <vt:lpstr>NWA_11457</vt:lpstr>
      <vt:lpstr>NWA_11472</vt:lpstr>
      <vt:lpstr>nwa_11474</vt:lpstr>
      <vt:lpstr>NWA_11523</vt:lpstr>
      <vt:lpstr>NWA_11524</vt:lpstr>
      <vt:lpstr>NWA_11783</vt:lpstr>
      <vt:lpstr>nwa_11801</vt:lpstr>
      <vt:lpstr>nwa_11828</vt:lpstr>
      <vt:lpstr>NWA_11851</vt:lpstr>
      <vt:lpstr>NWA_11871</vt:lpstr>
      <vt:lpstr>NWA_11886</vt:lpstr>
      <vt:lpstr>NWA_12008</vt:lpstr>
      <vt:lpstr>nwa_12216</vt:lpstr>
      <vt:lpstr>nwa_12248</vt:lpstr>
      <vt:lpstr>NWA_12270</vt:lpstr>
      <vt:lpstr>NWA_12279</vt:lpstr>
      <vt:lpstr>NWA_12368</vt:lpstr>
      <vt:lpstr>NWA_12384</vt:lpstr>
      <vt:lpstr>NWA_12393</vt:lpstr>
      <vt:lpstr>nwa_12422</vt:lpstr>
      <vt:lpstr>NWA_12427</vt:lpstr>
      <vt:lpstr>NWA_12428</vt:lpstr>
      <vt:lpstr>NWA_12592</vt:lpstr>
      <vt:lpstr>NWA_12603</vt:lpstr>
      <vt:lpstr>NWA_12604</vt:lpstr>
      <vt:lpstr>NWA_12643</vt:lpstr>
      <vt:lpstr>NWA_12697</vt:lpstr>
      <vt:lpstr>NWA_12765</vt:lpstr>
      <vt:lpstr>NWA_12788</vt:lpstr>
      <vt:lpstr>NWA_12789</vt:lpstr>
      <vt:lpstr>nwa_12790</vt:lpstr>
      <vt:lpstr>nwa_12826</vt:lpstr>
      <vt:lpstr>NWA_12830</vt:lpstr>
      <vt:lpstr>NWA_12831</vt:lpstr>
      <vt:lpstr>NWA_12839</vt:lpstr>
      <vt:lpstr>nwa_12870</vt:lpstr>
      <vt:lpstr>NWA_12909</vt:lpstr>
      <vt:lpstr>NWA_12952</vt:lpstr>
      <vt:lpstr>NWA_12971</vt:lpstr>
      <vt:lpstr>nwa_12980</vt:lpstr>
      <vt:lpstr>nwa_12985</vt:lpstr>
      <vt:lpstr>nwa_13036</vt:lpstr>
      <vt:lpstr>nwa_13112</vt:lpstr>
      <vt:lpstr>nwa_13119</vt:lpstr>
      <vt:lpstr>nwa_13138</vt:lpstr>
      <vt:lpstr>nwa_13185</vt:lpstr>
      <vt:lpstr>nwa_13191</vt:lpstr>
      <vt:lpstr>nwa_13216</vt:lpstr>
      <vt:lpstr>nwa_13225</vt:lpstr>
      <vt:lpstr>NWA_13256</vt:lpstr>
      <vt:lpstr>nwa_13259</vt:lpstr>
      <vt:lpstr>nwa_13283</vt:lpstr>
      <vt:lpstr>NWA_13306</vt:lpstr>
      <vt:lpstr>NWA_13346</vt:lpstr>
      <vt:lpstr>nwa_13408</vt:lpstr>
      <vt:lpstr>NWA_13450</vt:lpstr>
      <vt:lpstr>NWA_13478</vt:lpstr>
      <vt:lpstr>nwa_13484</vt:lpstr>
      <vt:lpstr>NWA_13531</vt:lpstr>
      <vt:lpstr>NWA_13546</vt:lpstr>
      <vt:lpstr>NWA_13568</vt:lpstr>
      <vt:lpstr>NWA_13582</vt:lpstr>
      <vt:lpstr>NWA_13625</vt:lpstr>
      <vt:lpstr>NWA_13638</vt:lpstr>
      <vt:lpstr>NWA_13676</vt:lpstr>
      <vt:lpstr>NWA_13714</vt:lpstr>
      <vt:lpstr>NWA_13715</vt:lpstr>
      <vt:lpstr>NWA_13717</vt:lpstr>
      <vt:lpstr>NWA_13779</vt:lpstr>
      <vt:lpstr>nwa_13785</vt:lpstr>
      <vt:lpstr>nwa_13788</vt:lpstr>
      <vt:lpstr>NWA_13837</vt:lpstr>
      <vt:lpstr>NWA_13859</vt:lpstr>
      <vt:lpstr>NWA_13892</vt:lpstr>
      <vt:lpstr>NWA_13896</vt:lpstr>
      <vt:lpstr>NWA_13899</vt:lpstr>
      <vt:lpstr>nwa_13907</vt:lpstr>
      <vt:lpstr>NWA_13916</vt:lpstr>
      <vt:lpstr>NWA_13930</vt:lpstr>
      <vt:lpstr>nwa_13937</vt:lpstr>
      <vt:lpstr>NWA_13942</vt:lpstr>
      <vt:lpstr>NWA_13951</vt:lpstr>
      <vt:lpstr>NWA_13957</vt:lpstr>
      <vt:lpstr>NWA_13964</vt:lpstr>
      <vt:lpstr>nwa_13967</vt:lpstr>
      <vt:lpstr>nwa_13974</vt:lpstr>
      <vt:lpstr>NWA_13979</vt:lpstr>
      <vt:lpstr>NWA_13989</vt:lpstr>
      <vt:lpstr>NWA_13992</vt:lpstr>
      <vt:lpstr>NWA_14005</vt:lpstr>
      <vt:lpstr>nwa_14012</vt:lpstr>
      <vt:lpstr>NWA_14019</vt:lpstr>
      <vt:lpstr>NWA_14035</vt:lpstr>
      <vt:lpstr>NWA_14041</vt:lpstr>
      <vt:lpstr>NWA_14050</vt:lpstr>
      <vt:lpstr>NWA_14063</vt:lpstr>
      <vt:lpstr>NWA_14071</vt:lpstr>
      <vt:lpstr>NWA_14088</vt:lpstr>
      <vt:lpstr>NWA_14137</vt:lpstr>
      <vt:lpstr>NWA_14140</vt:lpstr>
      <vt:lpstr>NWA_14178</vt:lpstr>
      <vt:lpstr>NWA_14188</vt:lpstr>
      <vt:lpstr>NWA_14202</vt:lpstr>
      <vt:lpstr>NWA_14258</vt:lpstr>
      <vt:lpstr>NWA_14280</vt:lpstr>
      <vt:lpstr>NWA_14323</vt:lpstr>
      <vt:lpstr>NWA_14338</vt:lpstr>
      <vt:lpstr>NWA_14341</vt:lpstr>
      <vt:lpstr>NWA_14358</vt:lpstr>
      <vt:lpstr>NWA_14372</vt:lpstr>
      <vt:lpstr>NWA_14415</vt:lpstr>
      <vt:lpstr>NWA_14446</vt:lpstr>
      <vt:lpstr>NWA_14523</vt:lpstr>
      <vt:lpstr>NWA_14524</vt:lpstr>
      <vt:lpstr>NWA_14526</vt:lpstr>
      <vt:lpstr>NWA_14527</vt:lpstr>
      <vt:lpstr>NWA_14531</vt:lpstr>
      <vt:lpstr>NWA_14540</vt:lpstr>
      <vt:lpstr>NWA_14576</vt:lpstr>
      <vt:lpstr>NWA_14577</vt:lpstr>
      <vt:lpstr>NWA_14594</vt:lpstr>
      <vt:lpstr>NWA_14657</vt:lpstr>
      <vt:lpstr>NWA_14681</vt:lpstr>
      <vt:lpstr>NWA_14686</vt:lpstr>
      <vt:lpstr>NWA_14687</vt:lpstr>
      <vt:lpstr>NWA_14695</vt:lpstr>
      <vt:lpstr>NWA_14703</vt:lpstr>
      <vt:lpstr>NWA_14704</vt:lpstr>
      <vt:lpstr>NWA_14705</vt:lpstr>
      <vt:lpstr>NWA_14706</vt:lpstr>
      <vt:lpstr>NWA_14727</vt:lpstr>
      <vt:lpstr>NWA_14729</vt:lpstr>
      <vt:lpstr>NWA_14730</vt:lpstr>
      <vt:lpstr>NWA_14741</vt:lpstr>
      <vt:lpstr>NWA_14747</vt:lpstr>
      <vt:lpstr>NWA_14755</vt:lpstr>
      <vt:lpstr>NWA_14769</vt:lpstr>
      <vt:lpstr>NWA_14798</vt:lpstr>
      <vt:lpstr>NWA_14836</vt:lpstr>
      <vt:lpstr>NWA_14884</vt:lpstr>
      <vt:lpstr>NWA_14900</vt:lpstr>
      <vt:lpstr>NWA_14905</vt:lpstr>
      <vt:lpstr>NWA_14908</vt:lpstr>
      <vt:lpstr>NWA_14969</vt:lpstr>
      <vt:lpstr>NWA_14977</vt:lpstr>
      <vt:lpstr>NWA_15018</vt:lpstr>
      <vt:lpstr>nwa_15026</vt:lpstr>
      <vt:lpstr>NWA_15051</vt:lpstr>
      <vt:lpstr>NWA_15052</vt:lpstr>
      <vt:lpstr>NWA_15059</vt:lpstr>
      <vt:lpstr>NWA_15062</vt:lpstr>
      <vt:lpstr>NWA_15069</vt:lpstr>
      <vt:lpstr>NWA_15099</vt:lpstr>
      <vt:lpstr>NWA_15169</vt:lpstr>
      <vt:lpstr>NWA_15172</vt:lpstr>
      <vt:lpstr>NWA_15192</vt:lpstr>
      <vt:lpstr>NWA_15286</vt:lpstr>
      <vt:lpstr>NWA_15288</vt:lpstr>
      <vt:lpstr>NWA_15300</vt:lpstr>
      <vt:lpstr>NWA_15312</vt:lpstr>
      <vt:lpstr>NWA_15343</vt:lpstr>
      <vt:lpstr>NWA_15348</vt:lpstr>
      <vt:lpstr>NWA_15349</vt:lpstr>
      <vt:lpstr>NWA_15367</vt:lpstr>
      <vt:lpstr>NWA_15368</vt:lpstr>
      <vt:lpstr>NWA_15373</vt:lpstr>
      <vt:lpstr>NWA_15374</vt:lpstr>
      <vt:lpstr>NWA_15375</vt:lpstr>
      <vt:lpstr>NWA_15377</vt:lpstr>
      <vt:lpstr>NWA_15431</vt:lpstr>
      <vt:lpstr>NWA_15432</vt:lpstr>
      <vt:lpstr>NWA_15433</vt:lpstr>
      <vt:lpstr>nwa_15482</vt:lpstr>
      <vt:lpstr>NWA_15483</vt:lpstr>
      <vt:lpstr>NWA_15500</vt:lpstr>
      <vt:lpstr>NWA_15528</vt:lpstr>
      <vt:lpstr>NWA_15533</vt:lpstr>
      <vt:lpstr>NWA_15583</vt:lpstr>
      <vt:lpstr>nwa_15603</vt:lpstr>
      <vt:lpstr>nwa_15604</vt:lpstr>
      <vt:lpstr>nwa_15605</vt:lpstr>
      <vt:lpstr>nwa_15612</vt:lpstr>
      <vt:lpstr>NWA_15629</vt:lpstr>
      <vt:lpstr>NWA_15655</vt:lpstr>
      <vt:lpstr>NWA_15686</vt:lpstr>
      <vt:lpstr>nwa_15714</vt:lpstr>
      <vt:lpstr>NWA_15782</vt:lpstr>
      <vt:lpstr>NWA_15800</vt:lpstr>
      <vt:lpstr>NWA_15806</vt:lpstr>
      <vt:lpstr>NWA_15807</vt:lpstr>
      <vt:lpstr>NWA_15859</vt:lpstr>
      <vt:lpstr>NWA_15945</vt:lpstr>
      <vt:lpstr>NWA_15952</vt:lpstr>
      <vt:lpstr>NWA_15954</vt:lpstr>
      <vt:lpstr>NWA_15963</vt:lpstr>
      <vt:lpstr>NWA_16002</vt:lpstr>
      <vt:lpstr>NWA_16008</vt:lpstr>
      <vt:lpstr>NWA_16095</vt:lpstr>
      <vt:lpstr>NWA_16106</vt:lpstr>
      <vt:lpstr>NWA_16132</vt:lpstr>
      <vt:lpstr>NWA_16134</vt:lpstr>
      <vt:lpstr>NWA_16173</vt:lpstr>
      <vt:lpstr>NWA_16189</vt:lpstr>
      <vt:lpstr>NWA_16200</vt:lpstr>
      <vt:lpstr>NWA_16238</vt:lpstr>
      <vt:lpstr>NWA_16256</vt:lpstr>
      <vt:lpstr>NWA_16267</vt:lpstr>
      <vt:lpstr>NWA_16277</vt:lpstr>
      <vt:lpstr>NWA_16278</vt:lpstr>
      <vt:lpstr>NWA_16282</vt:lpstr>
      <vt:lpstr>NWA_16283</vt:lpstr>
      <vt:lpstr>NWA_16286</vt:lpstr>
      <vt:lpstr>NWA_16292</vt:lpstr>
      <vt:lpstr>NWA_16294</vt:lpstr>
      <vt:lpstr>NWA_16315</vt:lpstr>
      <vt:lpstr>NWA_16349</vt:lpstr>
      <vt:lpstr>NWA_16366</vt:lpstr>
      <vt:lpstr>NWA_16372</vt:lpstr>
      <vt:lpstr>NWA_16400</vt:lpstr>
      <vt:lpstr>NWA_16460</vt:lpstr>
      <vt:lpstr>NWA_16470</vt:lpstr>
      <vt:lpstr>NWA_16484</vt:lpstr>
      <vt:lpstr>NWA_16507</vt:lpstr>
      <vt:lpstr>NWA_16520</vt:lpstr>
      <vt:lpstr>NWA_16530</vt:lpstr>
      <vt:lpstr>NWA_16531</vt:lpstr>
      <vt:lpstr>NWA_16535</vt:lpstr>
      <vt:lpstr>NWA_16557</vt:lpstr>
      <vt:lpstr>NWA_16625</vt:lpstr>
      <vt:lpstr>NWA_16626</vt:lpstr>
      <vt:lpstr>NWA_16657</vt:lpstr>
      <vt:lpstr>NWA_16660</vt:lpstr>
      <vt:lpstr>NWA_16683</vt:lpstr>
      <vt:lpstr>NWA_16684</vt:lpstr>
      <vt:lpstr>NWA_16690</vt:lpstr>
      <vt:lpstr>NWA_16716</vt:lpstr>
      <vt:lpstr>NWA_16717</vt:lpstr>
      <vt:lpstr>NWA_16718</vt:lpstr>
      <vt:lpstr>NWA_16720</vt:lpstr>
      <vt:lpstr>NWA_16727</vt:lpstr>
      <vt:lpstr>NWA_16760</vt:lpstr>
      <vt:lpstr>NWA_16761</vt:lpstr>
      <vt:lpstr>NWA_16784</vt:lpstr>
      <vt:lpstr>NWA_16881</vt:lpstr>
      <vt:lpstr>NWA_16882</vt:lpstr>
      <vt:lpstr>NWA_16888</vt:lpstr>
      <vt:lpstr>NWA_16894</vt:lpstr>
      <vt:lpstr>NWA_16914</vt:lpstr>
      <vt:lpstr>NWA_16974</vt:lpstr>
      <vt:lpstr>NWA_17060</vt:lpstr>
      <vt:lpstr>NWA_17061</vt:lpstr>
      <vt:lpstr>NWA_17209</vt:lpstr>
      <vt:lpstr>NWA_17217</vt:lpstr>
      <vt:lpstr>NWA_17241</vt:lpstr>
      <vt:lpstr>NWA_17270</vt:lpstr>
      <vt:lpstr>NWA_17271</vt:lpstr>
      <vt:lpstr>NWA_17276</vt:lpstr>
      <vt:lpstr>NWA_17294</vt:lpstr>
      <vt:lpstr>NWA_17295</vt:lpstr>
      <vt:lpstr>NWA_17302</vt:lpstr>
      <vt:lpstr>NWA_17307</vt:lpstr>
      <vt:lpstr>NWA_17313</vt:lpstr>
      <vt:lpstr>NWA_17351</vt:lpstr>
      <vt:lpstr>NWA_17353</vt:lpstr>
      <vt:lpstr>NWA_17355</vt:lpstr>
      <vt:lpstr>NWA_17405</vt:lpstr>
      <vt:lpstr>NWA_17471</vt:lpstr>
      <vt:lpstr>NWA_17497</vt:lpstr>
      <vt:lpstr>NWA_17581</vt:lpstr>
      <vt:lpstr>NWA_17586</vt:lpstr>
      <vt:lpstr>NWA_17587</vt:lpstr>
      <vt:lpstr>NWA_17651</vt:lpstr>
      <vt:lpstr>NWA_17679</vt:lpstr>
      <vt:lpstr>NWA_17680</vt:lpstr>
      <vt:lpstr>NWA_17687</vt:lpstr>
      <vt:lpstr>NWA_17688</vt:lpstr>
      <vt:lpstr>NWA_17689</vt:lpstr>
      <vt:lpstr>NWA_17700</vt:lpstr>
      <vt:lpstr>NWA_17706</vt:lpstr>
      <vt:lpstr>NWA_17716</vt:lpstr>
      <vt:lpstr>NWA_17721</vt:lpstr>
      <vt:lpstr>NWA_17747</vt:lpstr>
      <vt:lpstr>NWA_17826</vt:lpstr>
      <vt:lpstr>NWA_17859</vt:lpstr>
      <vt:lpstr>NWA_17861</vt:lpstr>
      <vt:lpstr>NWA_17865</vt:lpstr>
      <vt:lpstr>NWA_17869</vt:lpstr>
      <vt:lpstr>NWA_2200</vt:lpstr>
      <vt:lpstr>NWA_2420</vt:lpstr>
      <vt:lpstr>NWA_2995</vt:lpstr>
      <vt:lpstr>NWA_2998</vt:lpstr>
      <vt:lpstr>NWA_3136</vt:lpstr>
      <vt:lpstr>NWA_3163</vt:lpstr>
      <vt:lpstr>NWA_4472</vt:lpstr>
      <vt:lpstr>NWA_4734</vt:lpstr>
      <vt:lpstr>NWA_4819</vt:lpstr>
      <vt:lpstr>NWA_482</vt:lpstr>
      <vt:lpstr>NWA_4884</vt:lpstr>
      <vt:lpstr>NWA_4898</vt:lpstr>
      <vt:lpstr>NWA_4932</vt:lpstr>
      <vt:lpstr>NWA_4936</vt:lpstr>
      <vt:lpstr>NWA_5000</vt:lpstr>
      <vt:lpstr>NWA_5153</vt:lpstr>
      <vt:lpstr>NWA_5207</vt:lpstr>
      <vt:lpstr>NWA_5744</vt:lpstr>
      <vt:lpstr>NWA_6481</vt:lpstr>
      <vt:lpstr>NWA_6578</vt:lpstr>
      <vt:lpstr>NWA_6687</vt:lpstr>
      <vt:lpstr>NWA_6721</vt:lpstr>
      <vt:lpstr>NWA_6831</vt:lpstr>
      <vt:lpstr>NWA_6888</vt:lpstr>
      <vt:lpstr>NWA_7022</vt:lpstr>
      <vt:lpstr>NWA_7274</vt:lpstr>
      <vt:lpstr>NWA_7493</vt:lpstr>
      <vt:lpstr>NWA_7611</vt:lpstr>
      <vt:lpstr>NWA_773</vt:lpstr>
      <vt:lpstr>NWA_7834</vt:lpstr>
      <vt:lpstr>NWA_7931</vt:lpstr>
      <vt:lpstr>NWA_7959</vt:lpstr>
      <vt:lpstr>NWA_8001</vt:lpstr>
      <vt:lpstr>NWA_8010</vt:lpstr>
      <vt:lpstr>NWA_8022</vt:lpstr>
      <vt:lpstr>NWA_8046</vt:lpstr>
      <vt:lpstr>NWA_8046_pairs</vt:lpstr>
      <vt:lpstr>NWA_8055</vt:lpstr>
      <vt:lpstr>NWA_8182</vt:lpstr>
      <vt:lpstr>NWA_8222</vt:lpstr>
      <vt:lpstr>NWA_8455</vt:lpstr>
      <vt:lpstr>NWA_8586</vt:lpstr>
      <vt:lpstr>NWA_8632</vt:lpstr>
      <vt:lpstr>NWA_8641</vt:lpstr>
      <vt:lpstr>NWA_8673</vt:lpstr>
      <vt:lpstr>NWA_8701</vt:lpstr>
      <vt:lpstr>NWA_8753</vt:lpstr>
      <vt:lpstr>OEA_001</vt:lpstr>
      <vt:lpstr>OUA_001</vt:lpstr>
      <vt:lpstr>Ouargla_004</vt:lpstr>
      <vt:lpstr>Ouargla_008</vt:lpstr>
      <vt:lpstr>Pake_005</vt:lpstr>
      <vt:lpstr>PCA_02007</vt:lpstr>
      <vt:lpstr>QUE_93069</vt:lpstr>
      <vt:lpstr>QUE_94281</vt:lpstr>
      <vt:lpstr>QUEDMYA</vt:lpstr>
      <vt:lpstr>Rafsa_002</vt:lpstr>
      <vt:lpstr>Regg_007</vt:lpstr>
      <vt:lpstr>RF_532</vt:lpstr>
      <vt:lpstr>RF_600</vt:lpstr>
      <vt:lpstr>RS_007</vt:lpstr>
      <vt:lpstr>RS_008</vt:lpstr>
      <vt:lpstr>SAU_169</vt:lpstr>
      <vt:lpstr>SAU_300</vt:lpstr>
      <vt:lpstr>SAU_449</vt:lpstr>
      <vt:lpstr>SHI_160</vt:lpstr>
      <vt:lpstr>SHI_161</vt:lpstr>
      <vt:lpstr>SHI_162</vt:lpstr>
      <vt:lpstr>SHI_166</vt:lpstr>
      <vt:lpstr>Swa_001</vt:lpstr>
      <vt:lpstr>Swa_003</vt:lpstr>
      <vt:lpstr>moon_meteorites_list_alumina!TABLE</vt:lpstr>
      <vt:lpstr>Tata_001</vt:lpstr>
      <vt:lpstr>TE_004</vt:lpstr>
      <vt:lpstr>TH_001</vt:lpstr>
      <vt:lpstr>Tichiya_003</vt:lpstr>
      <vt:lpstr>Tichiya001</vt:lpstr>
      <vt:lpstr>Tifariti_002</vt:lpstr>
      <vt:lpstr>Timetrine_001</vt:lpstr>
      <vt:lpstr>Tiris_001</vt:lpstr>
      <vt:lpstr>Tiss_003</vt:lpstr>
      <vt:lpstr>Tisserlitine_001</vt:lpstr>
      <vt:lpstr>Touat_004</vt:lpstr>
      <vt:lpstr>Touat_005</vt:lpstr>
      <vt:lpstr>Touat_008</vt:lpstr>
      <vt:lpstr>Touat_011</vt:lpstr>
      <vt:lpstr>Y_791197</vt:lpstr>
      <vt:lpstr>Y_793169</vt:lpstr>
      <vt:lpstr>Y_793274</vt:lpstr>
      <vt:lpstr>Y_82192</vt:lpstr>
      <vt:lpstr>Y_983885</vt:lpstr>
      <vt:lpstr>YANAI_1153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List of Lunar Meteorites - Alumina Concentration Order</dc:title>
  <dc:creator>Randy</dc:creator>
  <cp:keywords>&lt;body&gt;</cp:keywords>
  <cp:lastModifiedBy>Randy Korotev</cp:lastModifiedBy>
  <dcterms:created xsi:type="dcterms:W3CDTF">2015-09-10T17:45:52Z</dcterms:created>
  <dcterms:modified xsi:type="dcterms:W3CDTF">2025-09-22T14:23:55Z</dcterms:modified>
</cp:coreProperties>
</file>